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Dell\OneDrive\Desktop\Github\FS Utility\"/>
    </mc:Choice>
  </mc:AlternateContent>
  <bookViews>
    <workbookView xWindow="0" yWindow="0" windowWidth="20490" windowHeight="9630" tabRatio="938" firstSheet="10" activeTab="11"/>
  </bookViews>
  <sheets>
    <sheet name="SheetWithVisibilityInfo" sheetId="113" state="hidden" r:id="rId1"/>
    <sheet name="Info" sheetId="120" state="hidden" r:id="rId2"/>
    <sheet name="Recharge Summary" sheetId="132" state="hidden" r:id="rId3"/>
    <sheet name="Additional &amp; Presentation Entry" sheetId="85" state="hidden" r:id="rId4"/>
    <sheet name="Grouping Master Data" sheetId="83" state="hidden" r:id="rId5"/>
    <sheet name="Master Data" sheetId="75" state="hidden" r:id="rId6"/>
    <sheet name="TB Link" sheetId="90" state="hidden" r:id="rId7"/>
    <sheet name="TB to be sent to client" sheetId="130" state="hidden" r:id="rId8"/>
    <sheet name="Sheet1" sheetId="129" state="hidden" r:id="rId9"/>
    <sheet name="Additional entries-Pivot" sheetId="131" state="hidden" r:id="rId10"/>
    <sheet name="TB Grouping" sheetId="82" r:id="rId11"/>
    <sheet name="Balance Sheet" sheetId="94" r:id="rId12"/>
    <sheet name="Profit and Loss" sheetId="87" r:id="rId13"/>
    <sheet name="Cash Flow" sheetId="6" r:id="rId14"/>
    <sheet name="Accounting Policies" sheetId="95" r:id="rId15"/>
    <sheet name="Liabilities" sheetId="14" r:id="rId16"/>
    <sheet name="Assets" sheetId="92" r:id="rId17"/>
    <sheet name="FAR" sheetId="93" r:id="rId18"/>
    <sheet name="Notes To P&amp;L" sheetId="31" r:id="rId19"/>
    <sheet name="AS 15 Disclosures" sheetId="98" r:id="rId20"/>
    <sheet name="AS 19 Disclosures" sheetId="126" r:id="rId21"/>
    <sheet name="AS 18 Disclosures" sheetId="100" r:id="rId22"/>
    <sheet name="Addl Info to the FS" sheetId="96" r:id="rId23"/>
    <sheet name="Disclosures under AS" sheetId="97" r:id="rId24"/>
    <sheet name="AS 22 Disclosures" sheetId="106" r:id="rId25"/>
    <sheet name="AS 17 Disclosures" sheetId="99" r:id="rId26"/>
    <sheet name="Balance Sheet-FY 22-23" sheetId="127" state="hidden" r:id="rId27"/>
    <sheet name="Add. Regulatory Disc." sheetId="105" r:id="rId28"/>
    <sheet name="Qualitative Disclosures for AS" sheetId="107" state="hidden" r:id="rId29"/>
    <sheet name="Master TB" sheetId="81" r:id="rId30"/>
    <sheet name="Sheet2" sheetId="133" state="hidden" r:id="rId31"/>
    <sheet name="FAR Working" sheetId="121" state="hidden" r:id="rId32"/>
    <sheet name="Balance Sheet-FY 22" sheetId="122" state="hidden" r:id="rId33"/>
    <sheet name="Footnotes" sheetId="109" state="hidden" r:id="rId34"/>
    <sheet name="AS 27 Disclosures" sheetId="101" state="hidden" r:id="rId35"/>
    <sheet name="AS 29 Disclosures" sheetId="102" state="hidden" r:id="rId36"/>
    <sheet name="Details of ESOP" sheetId="103" state="hidden" r:id="rId37"/>
    <sheet name="RPT Disclosure-Transactions" sheetId="123" state="hidden" r:id="rId38"/>
    <sheet name="RPT Disclosure-Balances" sheetId="128" state="hidden" r:id="rId39"/>
    <sheet name="Gratuity-FY 23-24" sheetId="124" state="hidden" r:id="rId40"/>
    <sheet name="Deferred Tax Calculation" sheetId="115" state="hidden" r:id="rId41"/>
    <sheet name="AS 19 Disclosure" sheetId="125" state="hidden" r:id="rId42"/>
    <sheet name="Qualitative Disclosures" sheetId="91" state="hidden" r:id="rId43"/>
    <sheet name="Rough 2" sheetId="116" state="hidden" r:id="rId44"/>
    <sheet name="Rough 3" sheetId="117" state="hidden" r:id="rId45"/>
    <sheet name="Backup Data" sheetId="80" state="hidden" r:id="rId46"/>
    <sheet name="Help" sheetId="84" state="hidden" r:id="rId47"/>
  </sheets>
  <definedNames>
    <definedName name="\"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a">#N/A</definedName>
    <definedName name="\e">#REF!</definedName>
    <definedName name="\f">#REF!</definedName>
    <definedName name="\g">#REF!</definedName>
    <definedName name="\h">#REF!</definedName>
    <definedName name="\i">#REF!</definedName>
    <definedName name="\j">#REF!</definedName>
    <definedName name="\l">#REF!</definedName>
    <definedName name="\o">#REF!</definedName>
    <definedName name="\p">#REF!</definedName>
    <definedName name="\q">#REF!</definedName>
    <definedName name="\r">#REF!</definedName>
    <definedName name="\s">#REF!</definedName>
    <definedName name="\t">#REF!</definedName>
    <definedName name="\v">#REF!</definedName>
    <definedName name="\w">#REF!</definedName>
    <definedName name="\x">#REF!</definedName>
    <definedName name="\y">#REF!</definedName>
    <definedName name="\z">#REF!</definedName>
    <definedName name="____________________sec3" hidden="1">#REF!</definedName>
    <definedName name="___________________sec3" hidden="1">#REF!</definedName>
    <definedName name="__________________sec3" hidden="1">#REF!</definedName>
    <definedName name="_________________sec3" hidden="1">#REF!</definedName>
    <definedName name="________________sec3" hidden="1">#REF!</definedName>
    <definedName name="_______________sec3" hidden="1">#REF!</definedName>
    <definedName name="______________sec3" hidden="1">#REF!</definedName>
    <definedName name="_____________sec3" hidden="1">#REF!</definedName>
    <definedName name="____________sec3" hidden="1">#REF!</definedName>
    <definedName name="___________sec3" hidden="1">#REF!</definedName>
    <definedName name="__________sec3" hidden="1">#REF!</definedName>
    <definedName name="_________sec3" hidden="1">#REF!</definedName>
    <definedName name="________sec3" hidden="1">#REF!</definedName>
    <definedName name="_______sec3" hidden="1">#REF!</definedName>
    <definedName name="______aaa1" hidden="1">{#N/A,#N/A,FALSE,"Model";#N/A,#N/A,FALSE,"Division"}</definedName>
    <definedName name="______c" hidden="1">{#N/A,#N/A,FALSE,"Layout Cash Flow"}</definedName>
    <definedName name="______fy97" hidden="1">{#N/A,#N/A,FALSE,"FY97";#N/A,#N/A,FALSE,"FY98";#N/A,#N/A,FALSE,"FY99";#N/A,#N/A,FALSE,"FY00";#N/A,#N/A,FALSE,"FY01"}</definedName>
    <definedName name="______r" hidden="1">{"consolidated",#N/A,FALSE,"Sheet1";"cms",#N/A,FALSE,"Sheet1";"fse",#N/A,FALSE,"Sheet1"}</definedName>
    <definedName name="______sec3" hidden="1">#REF!</definedName>
    <definedName name="______wrn1" hidden="1">{#N/A,#N/A,FALSE,"DCF";#N/A,#N/A,FALSE,"WACC";#N/A,#N/A,FALSE,"Sales_EBIT";#N/A,#N/A,FALSE,"Capex_Depreciation";#N/A,#N/A,FALSE,"WC";#N/A,#N/A,FALSE,"Interest";#N/A,#N/A,FALSE,"Assumptions"}</definedName>
    <definedName name="_____aaa1" hidden="1">{#N/A,#N/A,FALSE,"Model";#N/A,#N/A,FALSE,"Division"}</definedName>
    <definedName name="_____c" hidden="1">{#N/A,#N/A,FALSE,"Layout Cash Flow"}</definedName>
    <definedName name="_____fy97" hidden="1">{#N/A,#N/A,FALSE,"FY97";#N/A,#N/A,FALSE,"FY98";#N/A,#N/A,FALSE,"FY99";#N/A,#N/A,FALSE,"FY00";#N/A,#N/A,FALSE,"FY01"}</definedName>
    <definedName name="_____r" hidden="1">{"consolidated",#N/A,FALSE,"Sheet1";"cms",#N/A,FALSE,"Sheet1";"fse",#N/A,FALSE,"Sheet1"}</definedName>
    <definedName name="_____sec3" hidden="1">#REF!</definedName>
    <definedName name="_____wrn1" hidden="1">{#N/A,#N/A,FALSE,"DCF";#N/A,#N/A,FALSE,"WACC";#N/A,#N/A,FALSE,"Sales_EBIT";#N/A,#N/A,FALSE,"Capex_Depreciation";#N/A,#N/A,FALSE,"WC";#N/A,#N/A,FALSE,"Interest";#N/A,#N/A,FALSE,"Assumptions"}</definedName>
    <definedName name="____aaa1" hidden="1">{#N/A,#N/A,FALSE,"Model";#N/A,#N/A,FALSE,"Division"}</definedName>
    <definedName name="____c" hidden="1">{#N/A,#N/A,FALSE,"Layout Cash Flow"}</definedName>
    <definedName name="____fy97" hidden="1">{#N/A,#N/A,FALSE,"FY97";#N/A,#N/A,FALSE,"FY98";#N/A,#N/A,FALSE,"FY99";#N/A,#N/A,FALSE,"FY00";#N/A,#N/A,FALSE,"FY01"}</definedName>
    <definedName name="____q2">#REF!</definedName>
    <definedName name="____q3">#REF!</definedName>
    <definedName name="____q5">#REF!</definedName>
    <definedName name="____q6">#REF!</definedName>
    <definedName name="____r" hidden="1">{"consolidated",#N/A,FALSE,"Sheet1";"cms",#N/A,FALSE,"Sheet1";"fse",#N/A,FALSE,"Sheet1"}</definedName>
    <definedName name="____sec3" hidden="1">#REF!</definedName>
    <definedName name="____wrn1" hidden="1">{#N/A,#N/A,FALSE,"DCF";#N/A,#N/A,FALSE,"WACC";#N/A,#N/A,FALSE,"Sales_EBIT";#N/A,#N/A,FALSE,"Capex_Depreciation";#N/A,#N/A,FALSE,"WC";#N/A,#N/A,FALSE,"Interest";#N/A,#N/A,FALSE,"Assumptions"}</definedName>
    <definedName name="___aaa1" hidden="1">{#N/A,#N/A,FALSE,"Model";#N/A,#N/A,FALSE,"Division"}</definedName>
    <definedName name="___Ack3" hidden="1">{#N/A,#N/A,FALSE,"COMP"}</definedName>
    <definedName name="___c" hidden="1">{#N/A,#N/A,FALSE,"Layout Cash Flow"}</definedName>
    <definedName name="___col1">#REF!</definedName>
    <definedName name="___col10">#REF!</definedName>
    <definedName name="___col11">#REF!</definedName>
    <definedName name="___col12">#REF!</definedName>
    <definedName name="___col13">#REF!</definedName>
    <definedName name="___col2">#REF!</definedName>
    <definedName name="___col3">#REF!</definedName>
    <definedName name="___col4">#REF!</definedName>
    <definedName name="___col5">#REF!</definedName>
    <definedName name="___col6">#REF!</definedName>
    <definedName name="___col7">#REF!</definedName>
    <definedName name="___col8">#REF!</definedName>
    <definedName name="___col9">#REF!</definedName>
    <definedName name="___DAT10">#REF!</definedName>
    <definedName name="___DAT3">#REF!</definedName>
    <definedName name="___DAT4">#REF!</definedName>
    <definedName name="___DAT5">#REF!</definedName>
    <definedName name="___DAT6">#REF!</definedName>
    <definedName name="___DAT8">#REF!</definedName>
    <definedName name="___DAT9">#REF!</definedName>
    <definedName name="___fy97" hidden="1">{#N/A,#N/A,FALSE,"FY97";#N/A,#N/A,FALSE,"FY98";#N/A,#N/A,FALSE,"FY99";#N/A,#N/A,FALSE,"FY00";#N/A,#N/A,FALSE,"FY01"}</definedName>
    <definedName name="___INDEX_SHEET___ASAP_Utilities">#REF!</definedName>
    <definedName name="___mon1">#REF!</definedName>
    <definedName name="___mon10">#REF!</definedName>
    <definedName name="___mon11">#REF!</definedName>
    <definedName name="___mon12">#REF!</definedName>
    <definedName name="___mon2">#REF!</definedName>
    <definedName name="___mon3">#REF!</definedName>
    <definedName name="___mon4">#REF!</definedName>
    <definedName name="___mon5">#REF!</definedName>
    <definedName name="___mon6">#REF!</definedName>
    <definedName name="___mon7">#REF!</definedName>
    <definedName name="___mon8">#REF!</definedName>
    <definedName name="___mon9">#REF!</definedName>
    <definedName name="___q1">#REF!</definedName>
    <definedName name="___q2">#REF!</definedName>
    <definedName name="___q3">#REF!</definedName>
    <definedName name="___q5">#REF!</definedName>
    <definedName name="___q6">#REF!</definedName>
    <definedName name="___r" hidden="1">{"consolidated",#N/A,FALSE,"Sheet1";"cms",#N/A,FALSE,"Sheet1";"fse",#N/A,FALSE,"Sheet1"}</definedName>
    <definedName name="___SCH1">#REF!</definedName>
    <definedName name="___SCH111213">#REF!</definedName>
    <definedName name="___sch1314">#REF!</definedName>
    <definedName name="___SCH1415">#REF!</definedName>
    <definedName name="___SCH1519">#REF!</definedName>
    <definedName name="___SCH2">#REF!</definedName>
    <definedName name="___sch34">#REF!</definedName>
    <definedName name="___SCH910">#REF!</definedName>
    <definedName name="___sec3" hidden="1">#REF!</definedName>
    <definedName name="___SSK1" hidden="1">{#N/A,#N/A,FALSE,"COMP"}</definedName>
    <definedName name="___SSK1_1" hidden="1">{#N/A,#N/A,FALSE,"COMP"}</definedName>
    <definedName name="___SSK1_2" hidden="1">{#N/A,#N/A,FALSE,"COMP"}</definedName>
    <definedName name="___SSK1_3" hidden="1">{#N/A,#N/A,FALSE,"COMP"}</definedName>
    <definedName name="___SSK1_4" hidden="1">{#N/A,#N/A,FALSE,"COMP"}</definedName>
    <definedName name="___SSK1_5" hidden="1">{#N/A,#N/A,FALSE,"COMP"}</definedName>
    <definedName name="___vm01">#REF!</definedName>
    <definedName name="___vm02">#REF!</definedName>
    <definedName name="___vm03">#REF!</definedName>
    <definedName name="___vm04">#REF!</definedName>
    <definedName name="___vm05">#REF!</definedName>
    <definedName name="___vm06">#REF!</definedName>
    <definedName name="___vm07">#REF!</definedName>
    <definedName name="___vm08">#REF!</definedName>
    <definedName name="___vm09">#REF!</definedName>
    <definedName name="___vm10">#REF!</definedName>
    <definedName name="___vm11">#REF!</definedName>
    <definedName name="___vm12">#REF!</definedName>
    <definedName name="___wrn1" hidden="1">{#N/A,#N/A,FALSE,"DCF";#N/A,#N/A,FALSE,"WACC";#N/A,#N/A,FALSE,"Sales_EBIT";#N/A,#N/A,FALSE,"Capex_Depreciation";#N/A,#N/A,FALSE,"WC";#N/A,#N/A,FALSE,"Interest";#N/A,#N/A,FALSE,"Assumptions"}</definedName>
    <definedName name="___xlnm.Print_Area">#REF!</definedName>
    <definedName name="___ZZ150">#REF!</definedName>
    <definedName name="__123Graph_A" hidden="1">#REF!</definedName>
    <definedName name="__123Graph_ACAD1" hidden="1">#N/A</definedName>
    <definedName name="__123Graph_ACAD2" hidden="1">#N/A</definedName>
    <definedName name="__123Graph_ACHART1" hidden="1">#REF!</definedName>
    <definedName name="__123Graph_ACHART2" hidden="1">#REF!</definedName>
    <definedName name="__123Graph_ACOL" hidden="1">#REF!</definedName>
    <definedName name="__123Graph_ACOL2" hidden="1">#REF!</definedName>
    <definedName name="__123Graph_ACOL3" hidden="1">#REF!</definedName>
    <definedName name="__123Graph_ACURRENT" hidden="1">#REF!</definedName>
    <definedName name="__123Graph_ADOMSAL" hidden="1">#REF!</definedName>
    <definedName name="__123Graph_AEXPSAL" hidden="1">#REF!</definedName>
    <definedName name="__123Graph_AFLOW" hidden="1">#REF!</definedName>
    <definedName name="__123Graph_AGROSSEARN" hidden="1">#REF!</definedName>
    <definedName name="__123Graph_AKNS" hidden="1">#REF!</definedName>
    <definedName name="__123Graph_AKVS" hidden="1">#REF!</definedName>
    <definedName name="__123Graph_AMONTH" hidden="1">#REF!</definedName>
    <definedName name="__123Graph_ANETWORTH" hidden="1">#REF!</definedName>
    <definedName name="__123Graph_AOUTPUT" hidden="1">#REF!</definedName>
    <definedName name="__123Graph_APROFIT" hidden="1">#REF!</definedName>
    <definedName name="__123Graph_ATREND" hidden="1">#REF!</definedName>
    <definedName name="__123Graph_AYEAR" hidden="1">#REF!</definedName>
    <definedName name="__123Graph_B" hidden="1">#REF!</definedName>
    <definedName name="__123Graph_BCAD1" hidden="1">#N/A</definedName>
    <definedName name="__123Graph_BCAD2" hidden="1">#N/A</definedName>
    <definedName name="__123Graph_BCHART1" hidden="1">#REF!</definedName>
    <definedName name="__123Graph_BCHART2" hidden="1">#REF!</definedName>
    <definedName name="__123Graph_BCOL" hidden="1">#REF!</definedName>
    <definedName name="__123Graph_BCOL2" hidden="1">#REF!</definedName>
    <definedName name="__123Graph_BCOL3" hidden="1">#REF!</definedName>
    <definedName name="__123Graph_BCURRENT" hidden="1">#REF!</definedName>
    <definedName name="__123Graph_BMONTH" hidden="1">#REF!</definedName>
    <definedName name="__123Graph_BTREND" hidden="1">#REF!</definedName>
    <definedName name="__123Graph_BYEAR" hidden="1">#REF!</definedName>
    <definedName name="__123Graph_C" hidden="1">#REF!</definedName>
    <definedName name="__123Graph_CCAD" hidden="1">#N/A</definedName>
    <definedName name="__123Graph_CCAD1" hidden="1">#N/A</definedName>
    <definedName name="__123Graph_CCAD2" hidden="1">#N/A</definedName>
    <definedName name="__123Graph_CCHART1" hidden="1">#REF!</definedName>
    <definedName name="__123Graph_CCHART2" hidden="1">#REF!</definedName>
    <definedName name="__123Graph_CCOL" hidden="1">#REF!</definedName>
    <definedName name="__123Graph_CCOL2" hidden="1">#REF!</definedName>
    <definedName name="__123Graph_CCOL3" hidden="1">#REF!</definedName>
    <definedName name="__123Graph_CCURRENT" hidden="1">#REF!</definedName>
    <definedName name="__123Graph_D" hidden="1">#REF!</definedName>
    <definedName name="__123Graph_DCAD" hidden="1">#N/A</definedName>
    <definedName name="__123Graph_DCAD1" hidden="1">#N/A</definedName>
    <definedName name="__123Graph_DCAD2" hidden="1">#N/A</definedName>
    <definedName name="__123Graph_DCHART1" hidden="1">#REF!</definedName>
    <definedName name="__123Graph_DCHART2" hidden="1">#REF!</definedName>
    <definedName name="__123Graph_DCOL" hidden="1">#REF!</definedName>
    <definedName name="__123Graph_DCOL2" hidden="1">#REF!</definedName>
    <definedName name="__123Graph_DCOL3" hidden="1">#REF!</definedName>
    <definedName name="__123Graph_DCURRENT" hidden="1">#REF!</definedName>
    <definedName name="__123Graph_DOUTPUT" hidden="1">#REF!</definedName>
    <definedName name="__123Graph_E" hidden="1">#REF!</definedName>
    <definedName name="__123Graph_ECAD" hidden="1">#N/A</definedName>
    <definedName name="__123Graph_ECAD1" hidden="1">#N/A</definedName>
    <definedName name="__123Graph_ECAD2" hidden="1">#N/A</definedName>
    <definedName name="__123Graph_ECHART1" hidden="1">#REF!</definedName>
    <definedName name="__123Graph_ECHART2" hidden="1">#REF!</definedName>
    <definedName name="__123Graph_ECOL" hidden="1">#REF!</definedName>
    <definedName name="__123Graph_ECOL2" hidden="1">#REF!</definedName>
    <definedName name="__123Graph_ECOL3" hidden="1">#REF!</definedName>
    <definedName name="__123Graph_ECURRENT" hidden="1">#REF!</definedName>
    <definedName name="__123Graph_EOUTPUT" hidden="1">#REF!</definedName>
    <definedName name="__123Graph_F" hidden="1">#REF!</definedName>
    <definedName name="__123Graph_FCAD2" hidden="1">#N/A</definedName>
    <definedName name="__123Graph_FCHART1" hidden="1">#REF!</definedName>
    <definedName name="__123Graph_FCHART2" hidden="1">#REF!</definedName>
    <definedName name="__123Graph_FCOL3" hidden="1">#REF!</definedName>
    <definedName name="__123Graph_FCURRENT" hidden="1">#REF!</definedName>
    <definedName name="__123Graph_LBL_A" hidden="1">#REF!</definedName>
    <definedName name="__123Graph_LBL_ADOMSAL" hidden="1">#REF!</definedName>
    <definedName name="__123Graph_LBL_AEXPSAL" hidden="1">#REF!</definedName>
    <definedName name="__123Graph_LBL_AGROSSEARN" hidden="1">#REF!</definedName>
    <definedName name="__123Graph_LBL_AMONTH" hidden="1">#REF!</definedName>
    <definedName name="__123Graph_LBL_ANETWORTH" hidden="1">#REF!</definedName>
    <definedName name="__123Graph_LBL_AOUTPUT" hidden="1">#REF!</definedName>
    <definedName name="__123Graph_LBL_APROFIT" hidden="1">#REF!</definedName>
    <definedName name="__123Graph_LBL_ATREND" hidden="1">#REF!</definedName>
    <definedName name="__123Graph_LBL_AYEAR" hidden="1">#REF!</definedName>
    <definedName name="__123Graph_LBL_B" hidden="1">#REF!</definedName>
    <definedName name="__123Graph_LBL_BMONTH" hidden="1">#REF!</definedName>
    <definedName name="__123Graph_LBL_BTREND" hidden="1">#REF!</definedName>
    <definedName name="__123Graph_LBL_BYEAR" hidden="1">#REF!</definedName>
    <definedName name="__123Graph_LBL_C" hidden="1">#REF!</definedName>
    <definedName name="__123Graph_LBL_D" hidden="1">#REF!</definedName>
    <definedName name="__123Graph_LBL_DOUTPUT" hidden="1">#REF!</definedName>
    <definedName name="__123Graph_LBL_E" hidden="1">#REF!</definedName>
    <definedName name="__123Graph_X" hidden="1">#REF!</definedName>
    <definedName name="__123Graph_XCAD1" hidden="1">#N/A</definedName>
    <definedName name="__123Graph_XCAD2" hidden="1">#N/A</definedName>
    <definedName name="__123Graph_XCHART1" hidden="1">#REF!</definedName>
    <definedName name="__123Graph_XCHART2" hidden="1">#REF!</definedName>
    <definedName name="__123Graph_XCOL" hidden="1">#REF!</definedName>
    <definedName name="__123Graph_XCOL2" hidden="1">#REF!</definedName>
    <definedName name="__123Graph_XCOL3" hidden="1">#REF!</definedName>
    <definedName name="__123Graph_XCURRENT" hidden="1">#REF!</definedName>
    <definedName name="__123Graph_XDOMSAL" hidden="1">#REF!</definedName>
    <definedName name="__123Graph_XEXPSAL" hidden="1">#REF!</definedName>
    <definedName name="__123Graph_XGROSSEARN" hidden="1">#REF!</definedName>
    <definedName name="__123Graph_XIRG" hidden="1">#REF!</definedName>
    <definedName name="__123Graph_XKNS" hidden="1">#REF!</definedName>
    <definedName name="__123Graph_XKVS" hidden="1">#REF!</definedName>
    <definedName name="__123Graph_XMONTH" hidden="1">#REF!</definedName>
    <definedName name="__123Graph_XNETWORTH" hidden="1">#REF!</definedName>
    <definedName name="__123Graph_XOUTPUT" hidden="1">#REF!</definedName>
    <definedName name="__123Graph_XPROFIT" hidden="1">#REF!</definedName>
    <definedName name="__123Graph_XTREND" hidden="1">#REF!</definedName>
    <definedName name="__123Graph_XYEAR" hidden="1">#REF!</definedName>
    <definedName name="__a1" hidden="1">{#N/A,#N/A,TRUE,"A-site";#N/A,#N/A,TRUE,"B-Buildings";#N/A,#N/A,TRUE,"c-out-of-fence";#N/A,#N/A,TRUE,"d-proj.infr.";#N/A,#N/A,TRUE,"e- land"}</definedName>
    <definedName name="__a2" hidden="1">{#N/A,#N/A,FALSE,"Hip.Bas";#N/A,#N/A,FALSE,"ventas";#N/A,#N/A,FALSE,"ingre-Año";#N/A,#N/A,FALSE,"ventas-Año";#N/A,#N/A,FALSE,"Costepro";#N/A,#N/A,FALSE,"inversion";#N/A,#N/A,FALSE,"personal";#N/A,#N/A,FALSE,"Gastos-V";#N/A,#N/A,FALSE,"Circulante";#N/A,#N/A,FALSE,"CONSOLI";#N/A,#N/A,FALSE,"Es-Fin";#N/A,#N/A,FALSE,"Margen-P"}</definedName>
    <definedName name="__a3" hidden="1">{#N/A,#N/A,TRUE,"A-site";#N/A,#N/A,TRUE,"B-Buildings";#N/A,#N/A,TRUE,"c-out-of-fence";#N/A,#N/A,TRUE,"d-proj.infr.";#N/A,#N/A,TRUE,"e- land"}</definedName>
    <definedName name="__a4" hidden="1">{#N/A,#N/A,TRUE,"A-site";#N/A,#N/A,TRUE,"B-Buildings";#N/A,#N/A,TRUE,"c-out-of-fence";#N/A,#N/A,TRUE,"d-proj.infr.";#N/A,#N/A,TRUE,"e- land"}</definedName>
    <definedName name="__a5" hidden="1">{#N/A,#N/A,TRUE,"A-site";#N/A,#N/A,TRUE,"B-Buildings";#N/A,#N/A,TRUE,"c-out-of-fence";#N/A,#N/A,TRUE,"d-proj.infr.";#N/A,#N/A,TRUE,"e- land"}</definedName>
    <definedName name="__a6" hidden="1">{#N/A,#N/A,TRUE,"A-site";#N/A,#N/A,TRUE,"B-Buildings";#N/A,#N/A,TRUE,"c-out-of-fence";#N/A,#N/A,TRUE,"d-proj.infr.";#N/A,#N/A,TRUE,"e- land"}</definedName>
    <definedName name="__a7" hidden="1">{#N/A,#N/A,TRUE,"A-site";#N/A,#N/A,TRUE,"B-Buildings";#N/A,#N/A,TRUE,"c-out-of-fence";#N/A,#N/A,TRUE,"d-proj.infr.";#N/A,#N/A,TRUE,"e- land"}</definedName>
    <definedName name="__aaa1" hidden="1">{#N/A,#N/A,FALSE,"Model";#N/A,#N/A,FALSE,"Division"}</definedName>
    <definedName name="__Ack3" hidden="1">{#N/A,#N/A,FALSE,"COMP"}</definedName>
    <definedName name="__Actuals_for_total_of_12_Time_selections_Ledger_1" hidden="1">#REF!</definedName>
    <definedName name="__bookmark_2">#REF!</definedName>
    <definedName name="__c" hidden="1">{#N/A,#N/A,FALSE,"Layout Cash Flow"}</definedName>
    <definedName name="__col11">#REF!</definedName>
    <definedName name="__col12">#REF!</definedName>
    <definedName name="__col13">#REF!</definedName>
    <definedName name="__col2">#REF!</definedName>
    <definedName name="__col3">#REF!</definedName>
    <definedName name="__col4">#REF!</definedName>
    <definedName name="__col5">#REF!</definedName>
    <definedName name="__col6">#REF!</definedName>
    <definedName name="__col7">#REF!</definedName>
    <definedName name="__col8">#REF!</definedName>
    <definedName name="__col9">#REF!</definedName>
    <definedName name="__DAT6">#REF!</definedName>
    <definedName name="__DCF1" hidden="1">{#N/A,#N/A,FALSE,"DCF Summary";#N/A,#N/A,FALSE,"Casema";#N/A,#N/A,FALSE,"Casema NoTel";#N/A,#N/A,FALSE,"UK";#N/A,#N/A,FALSE,"RCF";#N/A,#N/A,FALSE,"Intercable CZ";#N/A,#N/A,FALSE,"Interkabel P"}</definedName>
    <definedName name="__FDS_HYPERLINK_TOGGLE_STATE__" hidden="1">"ON"</definedName>
    <definedName name="__FDS_UNIQUE_RANGE_ID_GENERATOR_COUNTER" hidden="1">5</definedName>
    <definedName name="__fy97" hidden="1">{#N/A,#N/A,FALSE,"FY97";#N/A,#N/A,FALSE,"FY98";#N/A,#N/A,FALSE,"FY99";#N/A,#N/A,FALSE,"FY00";#N/A,#N/A,FALSE,"FY01"}</definedName>
    <definedName name="__GROSS_SALES_T">#REF!</definedName>
    <definedName name="__IntlFixup" hidden="1">TRUE</definedName>
    <definedName name="__KKS1" hidden="1">{#N/A,#N/A,FALSE,"12"}</definedName>
    <definedName name="__kn1" hidden="1">{#N/A,#N/A,TRUE,"A-site";#N/A,#N/A,TRUE,"B-Buildings";#N/A,#N/A,TRUE,"c-out-of-fence";#N/A,#N/A,TRUE,"d-proj.infr.";#N/A,#N/A,TRUE,"e- land"}</definedName>
    <definedName name="__mon1">#REF!</definedName>
    <definedName name="__mon10">#REF!</definedName>
    <definedName name="__mon11">#REF!</definedName>
    <definedName name="__mon12">#REF!</definedName>
    <definedName name="__mon2">#REF!</definedName>
    <definedName name="__mon3">#REF!</definedName>
    <definedName name="__mon4">#REF!</definedName>
    <definedName name="__mon5">#REF!</definedName>
    <definedName name="__mon6">#REF!</definedName>
    <definedName name="__mon7">#REF!</definedName>
    <definedName name="__mon8">#REF!</definedName>
    <definedName name="__mon9">#REF!</definedName>
    <definedName name="__NET_SALES_TO_">#REF!</definedName>
    <definedName name="__PG1">#REF!</definedName>
    <definedName name="__pur10" hidden="1">#REF!</definedName>
    <definedName name="__q1">#REF!</definedName>
    <definedName name="__q2">#REF!</definedName>
    <definedName name="__q3">#REF!</definedName>
    <definedName name="__q5">#REF!</definedName>
    <definedName name="__q6">#REF!</definedName>
    <definedName name="__r" hidden="1">{"consolidated",#N/A,FALSE,"Sheet1";"cms",#N/A,FALSE,"Sheet1";"fse",#N/A,FALSE,"Sheet1"}</definedName>
    <definedName name="__RT1">#REF!</definedName>
    <definedName name="__RT2">#REF!</definedName>
    <definedName name="__RT3">#REF!</definedName>
    <definedName name="__s3" hidden="1">{#N/A,#N/A,TRUE,"CONTENTS";#N/A,#N/A,TRUE,"M2";#N/A,#N/A,TRUE,"M2a";#N/A,#N/A,TRUE,"M2b";#N/A,#N/A,TRUE,"M3";#N/A,#N/A,TRUE,"M3a";#N/A,#N/A,TRUE,"M4-P";#N/A,#N/A,TRUE,"M5";#N/A,#N/A,TRUE,"M6";#N/A,#N/A,TRUE,"M7";#N/A,#N/A,TRUE,"M8";#N/A,#N/A,TRUE,"M9";#N/A,#N/A,TRUE,"M10";#N/A,#N/A,TRUE,"M11";#N/A,#N/A,TRUE,"M13";#N/A,#N/A,TRUE,"M14";#N/A,#N/A,TRUE,"M15";#N/A,#N/A,TRUE,"K1"}</definedName>
    <definedName name="__sch1314">#REF!</definedName>
    <definedName name="__SCH1415">#REF!</definedName>
    <definedName name="__SCH1519">#REF!</definedName>
    <definedName name="__SCH2">#REF!</definedName>
    <definedName name="__sch34">#REF!</definedName>
    <definedName name="__SCH910">#REF!</definedName>
    <definedName name="__sec3" hidden="1">#REF!</definedName>
    <definedName name="__SSK1" hidden="1">{#N/A,#N/A,FALSE,"COMP"}</definedName>
    <definedName name="__SSK1_1" hidden="1">{#N/A,#N/A,FALSE,"COMP"}</definedName>
    <definedName name="__SSK1_2" hidden="1">{#N/A,#N/A,FALSE,"COMP"}</definedName>
    <definedName name="__SSK1_3" hidden="1">{#N/A,#N/A,FALSE,"COMP"}</definedName>
    <definedName name="__SSK1_4" hidden="1">{#N/A,#N/A,FALSE,"COMP"}</definedName>
    <definedName name="__SSK1_5" hidden="1">{#N/A,#N/A,FALSE,"COMP"}</definedName>
    <definedName name="__vm01">#REF!</definedName>
    <definedName name="__vm02">#REF!</definedName>
    <definedName name="__vm03">#REF!</definedName>
    <definedName name="__vm04">#REF!</definedName>
    <definedName name="__vm05">#REF!</definedName>
    <definedName name="__vm06">#REF!</definedName>
    <definedName name="__vm07">#REF!</definedName>
    <definedName name="__vm08">#REF!</definedName>
    <definedName name="__vm09">#REF!</definedName>
    <definedName name="__vm10">#REF!</definedName>
    <definedName name="__vm11">#REF!</definedName>
    <definedName name="__vm12">#REF!</definedName>
    <definedName name="__wr1" hidden="1">{"hist_bs",#N/A,FALSE,"Exhibit D,E1,E2";#N/A,#N/A,FALSE,"Exhibit E3";#N/A,#N/A,FALSE,"Mgmt. Projtn";#N/A,#N/A,FALSE,"Exhibit B-1";#N/A,#N/A,FALSE,"Exhibit A";#N/A,#N/A,FALSE,"WACC";#N/A,#N/A,FALSE,"Control";"hist_inc",#N/A,FALSE,"Exhibit D,E1,E2"}</definedName>
    <definedName name="__wrn1" hidden="1">{#N/A,#N/A,FALSE,"DCF";#N/A,#N/A,FALSE,"WACC";#N/A,#N/A,FALSE,"Sales_EBIT";#N/A,#N/A,FALSE,"Capex_Depreciation";#N/A,#N/A,FALSE,"WC";#N/A,#N/A,FALSE,"Interest";#N/A,#N/A,FALSE,"Assumptions"}</definedName>
    <definedName name="__xlfn.BAHTTEXT" hidden="1">#NAME?</definedName>
    <definedName name="__xlnm.Print_Area">#REF!</definedName>
    <definedName name="__xx1" hidden="1">{#N/A,#N/A,TRUE,"A-site";#N/A,#N/A,TRUE,"B-Buildings";#N/A,#N/A,TRUE,"c-out-of-fence";#N/A,#N/A,TRUE,"d-proj.infr.";#N/A,#N/A,TRUE,"e- land"}</definedName>
    <definedName name="__ZZ150">#REF!</definedName>
    <definedName name="_100n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0n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0n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0n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1n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1n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1n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1n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2n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2n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3n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3n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4n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4n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5n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5n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6n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6n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7Note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7Note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8Note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8Note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9Note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9Note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0ABB_6" localSheetId="39">#REF!</definedName>
    <definedName name="_10ABB_6">#REF!</definedName>
    <definedName name="_10Excel_BuiltIn_Print_Area_8">#REF!</definedName>
    <definedName name="_110Note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0Note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1Note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1Note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2Note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2Note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3Note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3Note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4Note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4Note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5Note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5Note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6Note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6Note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7Note1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7Note1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8Note1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8Note1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9Note1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9Note1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1ABB_7" localSheetId="39">#REF!</definedName>
    <definedName name="_11ABB_7">#REF!</definedName>
    <definedName name="_12__123Graph_BMKT_YTD" hidden="1">#REF!</definedName>
    <definedName name="_120Note1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0Note1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1Note1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1Note1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2Note1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2Note1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3Note1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3Note1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4Note1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4Note1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5Note1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5Note1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6Note1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6Note1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27Others_1" localSheetId="39">#REF!</definedName>
    <definedName name="_127Others_1">#REF!</definedName>
    <definedName name="_128Others_2" localSheetId="39">#REF!</definedName>
    <definedName name="_128Others_2">#REF!</definedName>
    <definedName name="_129Others_3" localSheetId="39">#REF!</definedName>
    <definedName name="_129Others_3">#REF!</definedName>
    <definedName name="_12ABB_2" localSheetId="39">#REF!</definedName>
    <definedName name="_12ABB_2">#REF!</definedName>
    <definedName name="_12ABB_8" localSheetId="39">#REF!</definedName>
    <definedName name="_12ABB_8">#REF!</definedName>
    <definedName name="_12Excel_BuiltIn_Print_Area_4_1" localSheetId="39">#REF!</definedName>
    <definedName name="_12Excel_BuiltIn_Print_Area_4_1">#REF!</definedName>
    <definedName name="_130p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0p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1p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1p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2p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2p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3p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3p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4p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4p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5p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5p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6p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6p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7p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7p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8p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8p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9p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9p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3ABB_9" localSheetId="39">#REF!</definedName>
    <definedName name="_13ABB_9">#REF!</definedName>
    <definedName name="_140PCSA_1" localSheetId="39">#REF!</definedName>
    <definedName name="_140PCSA_1">#REF!</definedName>
    <definedName name="_141PCSA_2" localSheetId="39">#REF!</definedName>
    <definedName name="_141PCSA_2">#REF!</definedName>
    <definedName name="_142PCSA_3" localSheetId="39">#REF!</definedName>
    <definedName name="_142PCSA_3">#REF!</definedName>
    <definedName name="_143REIMB_1" localSheetId="39">#REF!</definedName>
    <definedName name="_143REIMB_1">#REF!</definedName>
    <definedName name="_144REIMB_2" localSheetId="39">#REF!</definedName>
    <definedName name="_144REIMB_2">#REF!</definedName>
    <definedName name="_145REIMB_3" localSheetId="39">#REF!</definedName>
    <definedName name="_145REIMB_3">#REF!</definedName>
    <definedName name="_146st_1" localSheetId="39">#REF!</definedName>
    <definedName name="_146st_1">#REF!</definedName>
    <definedName name="_147st_2" localSheetId="39">#REF!</definedName>
    <definedName name="_147st_2">#REF!</definedName>
    <definedName name="_148st_3" localSheetId="39">#REF!</definedName>
    <definedName name="_148st_3">#REF!</definedName>
    <definedName name="_149tr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49tr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4Add_1" localSheetId="39">#REF!</definedName>
    <definedName name="_14Add_1">#REF!</definedName>
    <definedName name="_14Excel_BuiltIn_Print_Area_4_2" localSheetId="39">#REF!</definedName>
    <definedName name="_14Excel_BuiltIn_Print_Area_4_2">#REF!</definedName>
    <definedName name="_15__123Graph_LBL_AMKT_MONTH" hidden="1">#REF!</definedName>
    <definedName name="_150tr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0tr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1tr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1tr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2tr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2tr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3tr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3tr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4tr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4tr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5tr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5tr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6tr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6tr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7tr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7tr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8tr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8tr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9wrn.MDS1.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9wrn.MDS1.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5Add_2" localSheetId="39">#REF!</definedName>
    <definedName name="_15Add_2">#REF!</definedName>
    <definedName name="_160wrn.MDS1.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0wrn.MDS1.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1wrn.MDS1.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1wrn.MDS1.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2wrn.MDS1.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2wrn.MDS1.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3wrn.MDS1.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3wrn.MDS1.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4wrn.MDS1.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4wrn.MDS1.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5wrn.MDS1.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5wrn.MDS1.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6wrn.MDS1.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6wrn.MDS1.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7wrn.MDS1.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7wrn.MDS1.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8wrn.MDS1.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8wrn.MDS1.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9WRN.NDS2.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9WRN.NDS2.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6Add_3" localSheetId="39">#REF!</definedName>
    <definedName name="_16Add_3">#REF!</definedName>
    <definedName name="_16Excel_BuiltIn_Print_Area_4_3" localSheetId="39">#REF!</definedName>
    <definedName name="_16Excel_BuiltIn_Print_Area_4_3">#REF!</definedName>
    <definedName name="_170WRN.NDS2.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0WRN.NDS2.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1WRN.NDS2.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1WRN.NDS2.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2WRN.NDS2.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2WRN.NDS2.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3WRN.NDS2.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3WRN.NDS2.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4WRN.NDS2.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4WRN.NDS2.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5WRN.NDS2.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5WRN.NDS2.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6WRN.NDS2.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6WRN.NDS2.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7WRN.NDS2.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7WRN.NDS2.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8WRN.NDS2.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8WRN.NDS2.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9xx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9xx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7Additions_1">#REF!</definedName>
    <definedName name="_18__123Graph_LBL_AMKT_YTD" hidden="1">#REF!</definedName>
    <definedName name="_180xx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0xx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1xx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1xx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2xx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2xx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3xx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3xx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4xx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4xx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5xx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5xx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6xx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6xx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7xx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7xx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8xx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8xx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18ABB_3" localSheetId="39">#REF!</definedName>
    <definedName name="_18ABB_3">#REF!</definedName>
    <definedName name="_18Additions_2">#REF!</definedName>
    <definedName name="_18Excel_BuiltIn_Print_Area_4_4" localSheetId="39">#REF!</definedName>
    <definedName name="_18Excel_BuiltIn_Print_Area_4_4">#REF!</definedName>
    <definedName name="_196__123Graph_ACHART_1" hidden="1">#REF!</definedName>
    <definedName name="_197__123Graph_ACHART_3" hidden="1">#REF!</definedName>
    <definedName name="_19Additions_3">#REF!</definedName>
    <definedName name="_1ABB_1" localSheetId="39">#REF!</definedName>
    <definedName name="_1ABB_1">#REF!</definedName>
    <definedName name="_2__123Graph_AR_M_MARG" hidden="1">#REF!</definedName>
    <definedName name="_20axx_1" localSheetId="39">#REF!</definedName>
    <definedName name="_20axx_1">#REF!</definedName>
    <definedName name="_21__123Graph_LBL_BMKT_MONTH" hidden="1">#REF!</definedName>
    <definedName name="_21axx_2" localSheetId="39">#REF!</definedName>
    <definedName name="_21axx_2">#REF!</definedName>
    <definedName name="_225__123Graph_BCHART_1" hidden="1">#REF!</definedName>
    <definedName name="_226__123Graph_BCHART_3" hidden="1">#REF!</definedName>
    <definedName name="_22axx_3" localSheetId="39">#REF!</definedName>
    <definedName name="_22axx_3">#REF!</definedName>
    <definedName name="_23CCSA_1" localSheetId="39">#REF!</definedName>
    <definedName name="_23CCSA_1">#REF!</definedName>
    <definedName name="_24__123Graph_LBL_BMKT_YTD" hidden="1">#REF!</definedName>
    <definedName name="_24ABB_4" localSheetId="39">#REF!</definedName>
    <definedName name="_24ABB_4">#REF!</definedName>
    <definedName name="_24CCSA_2" localSheetId="39">#REF!</definedName>
    <definedName name="_24CCSA_2">#REF!</definedName>
    <definedName name="_254__123Graph_DCHART_1" hidden="1">#REF!</definedName>
    <definedName name="_25CCSA_3" localSheetId="39">#REF!</definedName>
    <definedName name="_25CCSA_3">#REF!</definedName>
    <definedName name="_25Excel_BuiltIn_Print_Area_1">#REF!</definedName>
    <definedName name="_26cr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26cr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26Excel_BuiltIn_Print_Area_13">#REF!</definedName>
    <definedName name="_27__123Graph_XMKT_MONTH" hidden="1">#REF!</definedName>
    <definedName name="_27cr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27cr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282__123Graph_LBL_ACHART_1" hidden="1">#REF!</definedName>
    <definedName name="_283__123Graph_LBL_ACHART_3" hidden="1">#REF!</definedName>
    <definedName name="_28cr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28cr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28Excel_BuiltIn_Print_Area_8">#REF!</definedName>
    <definedName name="_29cr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29cr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2ABB_1" localSheetId="39">#REF!</definedName>
    <definedName name="_2ABB_1">#REF!</definedName>
    <definedName name="_2ABB_10" localSheetId="39">#REF!</definedName>
    <definedName name="_2ABB_10">#REF!</definedName>
    <definedName name="_2ABB_2" localSheetId="39">#REF!</definedName>
    <definedName name="_2ABB_2">#REF!</definedName>
    <definedName name="_2B_9">#REF!</definedName>
    <definedName name="_3__123Graph_AMKT_MONTH" hidden="1">#REF!</definedName>
    <definedName name="_30__123Graph_XMKT_YTD" hidden="1">#REF!</definedName>
    <definedName name="_30cr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0cr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0Excel_BuiltIn_Print_Area_4_1" localSheetId="39">#REF!</definedName>
    <definedName name="_30Excel_BuiltIn_Print_Area_4_1">#REF!</definedName>
    <definedName name="_311__123Graph_LBL_DCHART_1" hidden="1">#REF!</definedName>
    <definedName name="_31cr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1cr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2cr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2cr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3cr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3cr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4cr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4cr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4Excel_BuiltIn_Print_Area_4_1" localSheetId="39">#REF!</definedName>
    <definedName name="_34Excel_BuiltIn_Print_Area_4_1">#REF!</definedName>
    <definedName name="_35__123Graph_ACHART_1" hidden="1">#REF!</definedName>
    <definedName name="_35cr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5cr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36__123Graph_ACHART_3" hidden="1">#REF!</definedName>
    <definedName name="_36CSA_1" localSheetId="39">#REF!</definedName>
    <definedName name="_36CSA_1">#REF!</definedName>
    <definedName name="_36Excel_BuiltIn_Print_Area_4_2" localSheetId="39">#REF!</definedName>
    <definedName name="_36Excel_BuiltIn_Print_Area_4_2">#REF!</definedName>
    <definedName name="_37CSA_2" localSheetId="39">#REF!</definedName>
    <definedName name="_37CSA_2">#REF!</definedName>
    <definedName name="_38CSA_3" localSheetId="39">#REF!</definedName>
    <definedName name="_38CSA_3">#REF!</definedName>
    <definedName name="_395_0_0Cwvu.GREY_A" hidden="1">#REF!</definedName>
    <definedName name="_39delet_1" localSheetId="39">#REF!</definedName>
    <definedName name="_39delet_1">#REF!</definedName>
    <definedName name="_3ABB_11" localSheetId="39">#REF!</definedName>
    <definedName name="_3ABB_11">#REF!</definedName>
    <definedName name="_3ABB_3" localSheetId="39">#REF!</definedName>
    <definedName name="_3ABB_3">#REF!</definedName>
    <definedName name="_40delet_2" localSheetId="39">#REF!</definedName>
    <definedName name="_40delet_2">#REF!</definedName>
    <definedName name="_40Excel_BuiltIn_Print_Area_4_2" localSheetId="39">#REF!</definedName>
    <definedName name="_40Excel_BuiltIn_Print_Area_4_2">#REF!</definedName>
    <definedName name="_41__123Graph_BCHART_1" hidden="1">#REF!</definedName>
    <definedName name="_41delet_3" localSheetId="39">#REF!</definedName>
    <definedName name="_41delet_3">#REF!</definedName>
    <definedName name="_42__123Graph_BCHART_3" hidden="1">#REF!</definedName>
    <definedName name="_42Deletions_1">#REF!</definedName>
    <definedName name="_42Excel_BuiltIn_Print_Area_4_3" localSheetId="39">#REF!</definedName>
    <definedName name="_42Excel_BuiltIn_Print_Area_4_3">#REF!</definedName>
    <definedName name="_43Deletions_2">#REF!</definedName>
    <definedName name="_44Deletions_3">#REF!</definedName>
    <definedName name="_45dsdas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5dsdas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6dsdas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6dsdas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6Excel_BuiltIn_Print_Area_4_3" localSheetId="39">#REF!</definedName>
    <definedName name="_46Excel_BuiltIn_Print_Area_4_3">#REF!</definedName>
    <definedName name="_47__123Graph_DCHART_1" hidden="1">#REF!</definedName>
    <definedName name="_47dsdas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7dsdas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8dsdas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8dsdas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8Excel_BuiltIn_Print_Area_4_4" localSheetId="39">#REF!</definedName>
    <definedName name="_48Excel_BuiltIn_Print_Area_4_4">#REF!</definedName>
    <definedName name="_49__123Graph_ACHART_6" hidden="1">#REF!</definedName>
    <definedName name="_49dsdas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9dsdas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4ABB_12" localSheetId="39">#REF!</definedName>
    <definedName name="_4ABB_12">#REF!</definedName>
    <definedName name="_4ABB_2" localSheetId="39">#REF!</definedName>
    <definedName name="_4ABB_2">#REF!</definedName>
    <definedName name="_4ABB_4" localSheetId="39">#REF!</definedName>
    <definedName name="_4ABB_4">#REF!</definedName>
    <definedName name="_50dsdas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0dsdas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1dsdas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1dsdas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2__123Graph_LBL_ACHART_1" hidden="1">#REF!</definedName>
    <definedName name="_52dsdas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2dsdas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2Excel_BuiltIn_Print_Area_4_4" localSheetId="39">#REF!</definedName>
    <definedName name="_52Excel_BuiltIn_Print_Area_4_4">#REF!</definedName>
    <definedName name="_53__123Graph_LBL_ACHART_3" hidden="1">#REF!</definedName>
    <definedName name="_53dsdas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3dsdas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4dsdas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4dsdas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55Excel_BuiltIn__FilterDatabase_1">#REF!</definedName>
    <definedName name="_56Excel_BuiltIn_Print_Area_11">#REF!</definedName>
    <definedName name="_57Excel_BuiltIn_Print_Area_2">#REF!</definedName>
    <definedName name="_58__123Graph_LBL_DCHART_1" hidden="1">#REF!</definedName>
    <definedName name="_58Excel_BuiltIn_Print_Area_7">#REF!</definedName>
    <definedName name="_59Excel_BuiltIn_Print_Area_8">#REF!</definedName>
    <definedName name="_5ABB_13" localSheetId="39">#REF!</definedName>
    <definedName name="_5ABB_13">#REF!</definedName>
    <definedName name="_5Excel_BuiltIn_Print_Area_4_1" localSheetId="39">#REF!</definedName>
    <definedName name="_5Excel_BuiltIn_Print_Area_4_1">#REF!</definedName>
    <definedName name="_6__123Graph_AMKT_YTD" hidden="1">#REF!</definedName>
    <definedName name="_60Excel_BuiltIn_Print_Area_4_1">#REF!</definedName>
    <definedName name="_61Excel_BuiltIn_Print_Area_4_10" localSheetId="39">#REF!</definedName>
    <definedName name="_61Excel_BuiltIn_Print_Area_4_10">#REF!</definedName>
    <definedName name="_62Excel_BuiltIn_Print_Area_4_11">#REF!</definedName>
    <definedName name="_63Excel_BuiltIn_Print_Area_4_12">#REF!</definedName>
    <definedName name="_64Excel_BuiltIn_Print_Area_4_13" localSheetId="39">#REF!</definedName>
    <definedName name="_64Excel_BuiltIn_Print_Area_4_13">#REF!</definedName>
    <definedName name="_65Excel_BuiltIn_Print_Area_4_2">#REF!</definedName>
    <definedName name="_66Excel_BuiltIn_Print_Area_4_3" localSheetId="39">#REF!</definedName>
    <definedName name="_66Excel_BuiltIn_Print_Area_4_3">#REF!</definedName>
    <definedName name="_67Excel_BuiltIn_Print_Area_4_4" localSheetId="39">#REF!</definedName>
    <definedName name="_67Excel_BuiltIn_Print_Area_4_4">#REF!</definedName>
    <definedName name="_68Excel_BuiltIn_Print_Area_4_5">#REF!</definedName>
    <definedName name="_69Excel_BuiltIn_Print_Area_4_6">#REF!</definedName>
    <definedName name="_6ABB_1" localSheetId="39">#REF!</definedName>
    <definedName name="_6ABB_1">#REF!</definedName>
    <definedName name="_6ABB_2" localSheetId="39">#REF!</definedName>
    <definedName name="_6ABB_2">#REF!</definedName>
    <definedName name="_6ABB_3" localSheetId="39">#REF!</definedName>
    <definedName name="_6ABB_3">#REF!</definedName>
    <definedName name="_6Excel_BuiltIn_Print_Area_4_2" localSheetId="39">#REF!</definedName>
    <definedName name="_6Excel_BuiltIn_Print_Area_4_2">#REF!</definedName>
    <definedName name="_70Excel_BuiltIn_Print_Area_4_7">#REF!</definedName>
    <definedName name="_71Excel_BuiltIn_Print_Area_4_8">#REF!</definedName>
    <definedName name="_72Excel_BuiltIn_Print_Area_4_9">#REF!</definedName>
    <definedName name="_73_0_0Cwvu.GREY_A" hidden="1">#REF!</definedName>
    <definedName name="_73Excel_BuiltIn_Print_Titles_2">#REF!</definedName>
    <definedName name="_74Fine_1" localSheetId="39">#REF!</definedName>
    <definedName name="_74Fine_1">#REF!</definedName>
    <definedName name="_75Fine_2" localSheetId="39">#REF!</definedName>
    <definedName name="_75Fine_2">#REF!</definedName>
    <definedName name="_76Fine_3" localSheetId="39">#REF!</definedName>
    <definedName name="_76Fine_3">#REF!</definedName>
    <definedName name="_77Frtout_1" localSheetId="39">#REF!</definedName>
    <definedName name="_77Frtout_1">#REF!</definedName>
    <definedName name="_78Frtout_2" localSheetId="39">#REF!</definedName>
    <definedName name="_78Frtout_2">#REF!</definedName>
    <definedName name="_79Frtout_3" localSheetId="39">#REF!</definedName>
    <definedName name="_79Frtout_3">#REF!</definedName>
    <definedName name="_7ABB_3" localSheetId="39">#REF!</definedName>
    <definedName name="_7ABB_3">#REF!</definedName>
    <definedName name="_7Excel_BuiltIn_Print_Area_4_3" localSheetId="39">#REF!</definedName>
    <definedName name="_7Excel_BuiltIn_Print_Area_4_3">#REF!</definedName>
    <definedName name="_80gfdr_1" localSheetId="39">#REF!</definedName>
    <definedName name="_80gfdr_1">#REF!</definedName>
    <definedName name="_81gfdr_2" localSheetId="39">#REF!</definedName>
    <definedName name="_81gfdr_2">#REF!</definedName>
    <definedName name="_82gfdr_3" localSheetId="39">#REF!</definedName>
    <definedName name="_82gfdr_3">#REF!</definedName>
    <definedName name="_83K_1" localSheetId="39">#REF!</definedName>
    <definedName name="_83K_1">#REF!</definedName>
    <definedName name="_84K_2" localSheetId="39">#REF!</definedName>
    <definedName name="_84K_2">#REF!</definedName>
    <definedName name="_85l_1" localSheetId="39">#REF!</definedName>
    <definedName name="_85l_1">#REF!</definedName>
    <definedName name="_86l_2" localSheetId="39">#REF!</definedName>
    <definedName name="_86l_2">#REF!</definedName>
    <definedName name="_87m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87m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88m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88m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89m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89m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8ABB_4" localSheetId="39">#REF!</definedName>
    <definedName name="_8ABB_4">#REF!</definedName>
    <definedName name="_8Excel_BuiltIn_Print_Area_4_4" localSheetId="39">#REF!</definedName>
    <definedName name="_8Excel_BuiltIn_Print_Area_4_4">#REF!</definedName>
    <definedName name="_9__123Graph_BMKT_MONTH" hidden="1">#REF!</definedName>
    <definedName name="_90m_3"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0m_3">{#N/A,#N/A,FALSE,"cash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1m_4"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1m_4">{#N/A,#N/A,FALSE,"cash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2m_5"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2m_5">{#N/A,#N/A,FALSE,"cash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3m_6"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3m_6">{#N/A,#N/A,FALSE,"cash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4m_7"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4m_7">{#N/A,#N/A,FALSE,"cash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5m_8"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5m_8">{#N/A,#N/A,FALSE,"cash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6m_9"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6m_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7n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7n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8n_10"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8n_10">{#N/A,#N/A,FALSE,"cash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9n_2"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9n_2">{#N/A,#N/A,FALSE,"cash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9ABB_5" localSheetId="39">#REF!</definedName>
    <definedName name="_9ABB_5">#REF!</definedName>
    <definedName name="_a">#REF!</definedName>
    <definedName name="_a1" hidden="1">{#N/A,#N/A,TRUE,"A-site";#N/A,#N/A,TRUE,"B-Buildings";#N/A,#N/A,TRUE,"c-out-of-fence";#N/A,#N/A,TRUE,"d-proj.infr.";#N/A,#N/A,TRUE,"e- land"}</definedName>
    <definedName name="_a2" hidden="1">{#N/A,#N/A,TRUE,"A-site";#N/A,#N/A,TRUE,"B-Buildings";#N/A,#N/A,TRUE,"c-out-of-fence";#N/A,#N/A,TRUE,"d-proj.infr.";#N/A,#N/A,TRUE,"e- land"}</definedName>
    <definedName name="_a3" hidden="1">{#N/A,#N/A,TRUE,"A-site";#N/A,#N/A,TRUE,"B-Buildings";#N/A,#N/A,TRUE,"c-out-of-fence";#N/A,#N/A,TRUE,"d-proj.infr.";#N/A,#N/A,TRUE,"e- land"}</definedName>
    <definedName name="_a4" hidden="1">{#N/A,#N/A,TRUE,"A-site";#N/A,#N/A,TRUE,"B-Buildings";#N/A,#N/A,TRUE,"c-out-of-fence";#N/A,#N/A,TRUE,"d-proj.infr.";#N/A,#N/A,TRUE,"e- land"}</definedName>
    <definedName name="_a5" hidden="1">{#N/A,#N/A,TRUE,"A-site";#N/A,#N/A,TRUE,"B-Buildings";#N/A,#N/A,TRUE,"c-out-of-fence";#N/A,#N/A,TRUE,"d-proj.infr.";#N/A,#N/A,TRUE,"e- land"}</definedName>
    <definedName name="_a6" hidden="1">{#N/A,#N/A,TRUE,"A-site";#N/A,#N/A,TRUE,"B-Buildings";#N/A,#N/A,TRUE,"c-out-of-fence";#N/A,#N/A,TRUE,"d-proj.infr.";#N/A,#N/A,TRUE,"e- land"}</definedName>
    <definedName name="_a7" hidden="1">{#N/A,#N/A,TRUE,"A-site";#N/A,#N/A,TRUE,"B-Buildings";#N/A,#N/A,TRUE,"c-out-of-fence";#N/A,#N/A,TRUE,"d-proj.infr.";#N/A,#N/A,TRUE,"e- land"}</definedName>
    <definedName name="_aa2" hidden="1">{#N/A,#N/A,FALSE,"Hip.Bas";#N/A,#N/A,FALSE,"ventas";#N/A,#N/A,FALSE,"ingre-Año";#N/A,#N/A,FALSE,"ventas-Año";#N/A,#N/A,FALSE,"Costepro";#N/A,#N/A,FALSE,"inversion";#N/A,#N/A,FALSE,"personal";#N/A,#N/A,FALSE,"Gastos-V";#N/A,#N/A,FALSE,"Circulante";#N/A,#N/A,FALSE,"CONSOLI";#N/A,#N/A,FALSE,"Es-Fin";#N/A,#N/A,FALSE,"Margen-P"}</definedName>
    <definedName name="_aa3" hidden="1">{#N/A,#N/A,FALSE,"Hip.Bas";#N/A,#N/A,FALSE,"ventas";#N/A,#N/A,FALSE,"ingre-Año";#N/A,#N/A,FALSE,"ventas-Año";#N/A,#N/A,FALSE,"Costepro";#N/A,#N/A,FALSE,"inversion";#N/A,#N/A,FALSE,"personal";#N/A,#N/A,FALSE,"Gastos-V";#N/A,#N/A,FALSE,"Circulante";#N/A,#N/A,FALSE,"CONSOLI";#N/A,#N/A,FALSE,"Es-Fin";#N/A,#N/A,FALSE,"Margen-P"}</definedName>
    <definedName name="_aaa1" hidden="1">{#N/A,#N/A,FALSE,"Model";#N/A,#N/A,FALSE,"Division"}</definedName>
    <definedName name="_abc1" hidden="1">{"'W.W. Summary'!$A$1:$K$37"}</definedName>
    <definedName name="_abc5" hidden="1">{"'W.W. Summary'!$A$1:$K$37"}</definedName>
    <definedName name="_Ack3" hidden="1">{#N/A,#N/A,FALSE,"COMP"}</definedName>
    <definedName name="_bdm._6DE9FD41CF0248559D918CB423239EC7" hidden="1">#REF!</definedName>
    <definedName name="_bdm.009D8938786F46E0B5A069FBF295F125.edm" hidden="1">#REF!</definedName>
    <definedName name="_bdm.01538417E31B4AF7857A980BA1A90657.edm" hidden="1">#REF!</definedName>
    <definedName name="_bdm.0361AAB0C8DF4B4F829B8B9D9F6E7739.edm" hidden="1">#REF!</definedName>
    <definedName name="_bdm.07994680F53B4D5A9E16DA1451EC95B0.edm" hidden="1">#REF!</definedName>
    <definedName name="_bdm.08248F6E4FAD4E70B33AD4D7B220B787.edm" hidden="1">#REF!</definedName>
    <definedName name="_bdm.08763FB2B0AD43229F5479F0721891AE.edm" hidden="1">#REF!</definedName>
    <definedName name="_bdm.08E94ECD949F45C692F32266AE8057B1.edm" hidden="1">#REF!</definedName>
    <definedName name="_bdm.0B582B8F13D74787BBFA522358CEE9F6.edm" hidden="1">#REF!</definedName>
    <definedName name="_bdm.0F3A02584C6842C6B88C64266649CFDD.edm" hidden="1">#REF!</definedName>
    <definedName name="_bdm.1005001E7CA34FA08435D955664FB3AD.edm" hidden="1">#REF!</definedName>
    <definedName name="_bdm.120CF732499E4BBC9366C054E3739509.edm" hidden="1">#REF!</definedName>
    <definedName name="_bdm.1636CB241427403B8D690FA04961A801.edm" hidden="1">#REF!</definedName>
    <definedName name="_bdm.17686CFFBE4A450B95D750F6CAF63F79.edm" hidden="1">#REF!</definedName>
    <definedName name="_bdm.1837948C9DFD4F478195D8D7C2B014C4.edm" hidden="1">#REF!</definedName>
    <definedName name="_bdm.19B6E50345314EAD93A54CD7A694D859.edm" hidden="1">#REF!</definedName>
    <definedName name="_bdm.1AE0E60C53774E6998E9075CB8641DEC.edm" hidden="1">#REF!</definedName>
    <definedName name="_bdm.1E11197879E148699BA81A66230AC518.edm" hidden="1">#REF!</definedName>
    <definedName name="_bdm.1E5CA6E3B5204C70A2F71F2ADC7DA213.edm" hidden="1">#REF!</definedName>
    <definedName name="_bdm.1E958923CB97465D873AE2981E7EF503.edm" hidden="1">#REF!</definedName>
    <definedName name="_bdm.205CE42F10B1402DAED71CCF9CE1735D.edm" hidden="1">#REF!</definedName>
    <definedName name="_bdm.22AEF38705EE4679A7004923B5451B99.edm" hidden="1">#REF!</definedName>
    <definedName name="_bdm.23D13E00A2CC4DA3AE2346EFF9C33B24.edm" hidden="1">#REF!</definedName>
    <definedName name="_bdm.25A249BEEF5C41918C4EF275AEC526FA.edm" hidden="1">#REF!</definedName>
    <definedName name="_bdm.27A3D57A7F1E4ED194098B7389CDD32A.edm" hidden="1">#REF!</definedName>
    <definedName name="_bdm.2AF1B31EE30F45778FD3F2A94A3EBB04.edm" hidden="1">#REF!</definedName>
    <definedName name="_bdm.2CB4BF74C4B048B5911F24941A31F5FE.edm" hidden="1">#REF!</definedName>
    <definedName name="_bdm.2DA1F808F0EE4DCABBBB206F6027FA7D.edm" hidden="1">#REF!</definedName>
    <definedName name="_bdm.34145880510C416C85644C58A8D12353.edm" hidden="1">#REF!</definedName>
    <definedName name="_bdm.35AE18F075EB4D8C8B3A482A51E3D08A.edm" hidden="1">#REF!</definedName>
    <definedName name="_bdm.3627893EB5D44F85A9898DB7E2735846.edm" hidden="1">#REF!</definedName>
    <definedName name="_bdm.36D2766ECD1049448968A9C485824191.edm" hidden="1">#REF!</definedName>
    <definedName name="_bdm.384EE96C742345499A1C166A07BD588D.edm" hidden="1">#REF!</definedName>
    <definedName name="_bdm.39D175483D364E2588F3E440F98C7725.edm" hidden="1">#REF!</definedName>
    <definedName name="_bdm.3A75987E2C7B41CDA0FEED8522EB73DE.edm" hidden="1">#REF!</definedName>
    <definedName name="_bdm.3BFF97D4B70541A1AB18440AF48B4030.edm" hidden="1">#REF!</definedName>
    <definedName name="_bdm.3E7A1EC9BD754784A7FEAF7D5A8BC9C2.edm" hidden="1">#REF!</definedName>
    <definedName name="_bdm.407CD10E83E84C1F9A80AFB27CE5D53A.edm" hidden="1">#REF!</definedName>
    <definedName name="_bdm.4379E51FFE244487883A18E1A12B5AF3.edm" hidden="1">#REF!</definedName>
    <definedName name="_bdm.46B50CECF8B1448D9BA71B58077B92DD.edm" hidden="1">#REF!</definedName>
    <definedName name="_bdm.485707491EC34E5AB7C4661D8C46033E.edm" hidden="1">#REF!</definedName>
    <definedName name="_bdm.49C69B5591F8437A940272489930B9EA.edm" hidden="1">#REF!</definedName>
    <definedName name="_bdm.4AC540F0263646A4B23B749E5A7CFD7E.edm" hidden="1">#REF!</definedName>
    <definedName name="_bdm.4BAAD788663C4927AC9B2D3273A30784.edm" hidden="1">#REF!</definedName>
    <definedName name="_bdm.4C0820FE73D94BA1B2B4A6A724A199CC.edm" hidden="1">#REF!</definedName>
    <definedName name="_bdm.4DB2644D35F448CD9B0013A0F3915E09.edm" hidden="1">#REF!</definedName>
    <definedName name="_bdm.5317156ED3834B09918F6E9C916C8030.edm" hidden="1">#REF!</definedName>
    <definedName name="_bdm.55EA4041DC1946C39D44477DE8810544.edm" hidden="1">#REF!</definedName>
    <definedName name="_bdm.5774105F019240CD8319D8CD8D95D706.edm" hidden="1">#REF!</definedName>
    <definedName name="_bdm.59F265021E2A4AFFA7E777FD2B2152A0.edm" hidden="1">#REF!</definedName>
    <definedName name="_bdm.5BE7C1E0BA264F22BE3CB7AE2C41ACBB.edm" hidden="1">#REF!</definedName>
    <definedName name="_bdm.60C1A0D19FAF481989BB82933BC0DB92.edm" hidden="1">#REF!</definedName>
    <definedName name="_bdm.639E0DA34E18487AB31CE96EC0A44870.edm" hidden="1">#REF!</definedName>
    <definedName name="_bdm.648AD1D8D6B744EFA7969766C1C9688A.edm" hidden="1">#REF!</definedName>
    <definedName name="_bdm.6631D025E3DA4129A5C05DEFF0A78E72.edm" hidden="1">#REF!</definedName>
    <definedName name="_bdm.6657855B840E42128A201BE863EC1AD9.edm" hidden="1">#REF!</definedName>
    <definedName name="_bdm.68C1455F3C744CD3B4FAFEA63902F454.edm" hidden="1">#REF!</definedName>
    <definedName name="_bdm.6936C4E0FED0400299837BC9C77AA2A3.edm" hidden="1">#REF!</definedName>
    <definedName name="_bdm.6AE9615F4D38445CA36BD2E96CE97066.edm" hidden="1">#REF!</definedName>
    <definedName name="_bdm.71F276D690224DD1BCBEF86202068D42.edm" hidden="1">#REF!</definedName>
    <definedName name="_bdm.74948890E52A4A12B6FEE1C8F759F4B3.edm" hidden="1">#REF!</definedName>
    <definedName name="_bdm.74A9476FAC55418499D93F7D398E7EF4.edm" hidden="1">#REF!</definedName>
    <definedName name="_bdm.760CE0791FFA4C46885A609CCE539100.edm" hidden="1">#REF!</definedName>
    <definedName name="_bdm.7840EB5D15424756B94CF933E38E96E2.edm" hidden="1">#REF!</definedName>
    <definedName name="_bdm.7AE6D4C9BFD44A24884B0E7783F34497.edm" hidden="1">#REF!</definedName>
    <definedName name="_bdm.7EC65D909DF840588A6CA3F04BE3A31E.edm" hidden="1">#REF!</definedName>
    <definedName name="_bdm.7F13F3083E614A29B32E7B4151F4A016.edm" hidden="1">#REF!</definedName>
    <definedName name="_bdm.805FFD14F628439A8928B3AF3F0F25B8.edm" hidden="1">#REF!</definedName>
    <definedName name="_bdm.81573537350B4CB6A16B8C7CDE21930A.edm" hidden="1">#REF!</definedName>
    <definedName name="_bdm.85BD2CFF29E5460BA0FF69972D5B588C.edm" hidden="1">#REF!</definedName>
    <definedName name="_bdm.8619819714C34785A60673868673C589.edm" hidden="1">#REF!</definedName>
    <definedName name="_bdm.8624F4AE44E14A7497E1D4088F797A76.edm" hidden="1">#REF!</definedName>
    <definedName name="_bdm.8A531667E06F41F589ECBE50EB131292.edm" hidden="1">#REF!</definedName>
    <definedName name="_bdm.9153024C63394F95B439E2F1733EFCDE.edm" hidden="1">#REF!</definedName>
    <definedName name="_bdm.91CD4DEC29C049BD929A8110F777B566.edm" hidden="1">#REF!</definedName>
    <definedName name="_bdm.92564AB83D164EFA997096DBE614ABE0.edm" hidden="1">#REF!</definedName>
    <definedName name="_bdm.932A88661F144B0EB0A1ABEBBFF74D41.edm" hidden="1">#REF!</definedName>
    <definedName name="_bdm.937E5C54C9C04661B537B3722FEFC15D.edm" hidden="1">#REF!</definedName>
    <definedName name="_bdm.93E88A72D9144BD9A88F5D8E349C4FC6.edm" hidden="1">#REF!</definedName>
    <definedName name="_bdm.94810449B91145CF8FE2D04E4EAC48FB.edm" hidden="1">#REF!</definedName>
    <definedName name="_bdm.955BB573355F4380B529B457D6A9B8DB.edm" hidden="1">#REF!</definedName>
    <definedName name="_bdm.96D833F6ECB84ED69D43C8F7783FCDA7.edm" hidden="1">#REF!</definedName>
    <definedName name="_bdm.972A0188B6C74475B4B9ABABAF0CE384.edm" hidden="1">#REF!</definedName>
    <definedName name="_bdm.9843AFC235C14AFC84C910A41F40EB0A.edm" hidden="1">#REF!</definedName>
    <definedName name="_bdm.9877ACEE390C45A196CB01D5E3BB3F25.edm" hidden="1">#REF!</definedName>
    <definedName name="_bdm.9D576385AB334E0F91FC7FB7CEA21807.edm" hidden="1">#REF!</definedName>
    <definedName name="_bdm.9D7AEA57863E4A2390DF02EEBA36AE3A.edm" hidden="1">#REF!</definedName>
    <definedName name="_bdm.A1817E7BA1FD45B7B1328270FF4FAF53.edm" hidden="1">#REF!</definedName>
    <definedName name="_bdm.A3FD5497DBE04494A34B6E84080D40A9.edm" hidden="1">#REF!</definedName>
    <definedName name="_bdm.A54D5D695461431FB103AA6944CF8D54.edm" hidden="1">#REF!</definedName>
    <definedName name="_bdm.A89FC4F87AEB428881A8D060C0D25C93.edm" hidden="1">#REF!</definedName>
    <definedName name="_bdm.AA800F43136D43E48FE84EB8F11154AC.edm" hidden="1">#REF!</definedName>
    <definedName name="_bdm.ABE8C9034EC54986B0EE063EDD66AB43.edm" hidden="1">#REF!</definedName>
    <definedName name="_bdm.AD41DDE7431F4602AB79648F8DFACF67.edm" hidden="1">#REF!</definedName>
    <definedName name="_bdm.ADD40332324C4D18A8C9D57083A36C27.edm" hidden="1">#REF!</definedName>
    <definedName name="_bdm.B1B8B01901474A3FAEDD99532F0512D9.edm" hidden="1">#REF!</definedName>
    <definedName name="_bdm.B2F3F41B90384D609C598ACA4C045722.edm" hidden="1">#REF!</definedName>
    <definedName name="_bdm.B3DE38E6475341E5820876AF2276B0CB.edm" hidden="1">#REF!</definedName>
    <definedName name="_bdm.B3E1854C8CFA4833BC002D14F0D3D6C1.edm" hidden="1">#REF!</definedName>
    <definedName name="_bdm.B44B39F24B8F404A9B79CFADC1040818.edm" hidden="1">#REF!</definedName>
    <definedName name="_bdm.B4B527CBA5E846F2810365EA88B44A58.edm" hidden="1">#REF!</definedName>
    <definedName name="_bdm.B4E0A942ACB6477BA9616C7683885D79.edm" hidden="1">#REF!</definedName>
    <definedName name="_bdm.B62AFDF0C9064AF3869DADD40F90B273.edm" hidden="1">#REF!</definedName>
    <definedName name="_bdm.B725C9C38DBC4EF480B8AD3B484E3030.edm" hidden="1">#REF!</definedName>
    <definedName name="_bdm.B75DFC9B2CE8450AA8877DDBEDBDE60B.edm" hidden="1">#REF!</definedName>
    <definedName name="_bdm.B94ED3E620B644C58A62EB65AAA1D7FF.edm" hidden="1">#REF!</definedName>
    <definedName name="_bdm.B993F17BDCB944D7B0FDD7C6618720FA.edm" hidden="1">#REF!</definedName>
    <definedName name="_bdm.B9A8D500C744459C9F195AC41BDB245D.edm" hidden="1">#REF!</definedName>
    <definedName name="_bdm.B9DF74829F3B4CD6988F4DE0DB1BCF38.edm" hidden="1">#REF!</definedName>
    <definedName name="_bdm.BA87B23BDD0045309F1DFE71D4C3B113.edm" hidden="1">#REF!</definedName>
    <definedName name="_bdm.BAD6743125F64CF5B46CFDEB8D68D329.edm" hidden="1">#REF!</definedName>
    <definedName name="_bdm.BAF090EDB36940DF8EAB5F8FDBC9917A.edm" hidden="1">#REF!</definedName>
    <definedName name="_bdm.BB998E3468A04264B722FFB382DAD4A6.edm" hidden="1">#REF!</definedName>
    <definedName name="_bdm.BF26B38A53B94A02B49ED20FDC7B90F7.edm" hidden="1">#REF!</definedName>
    <definedName name="_bdm.C0F450AE914E4376B0FFB9F969683C09.edm" hidden="1">#REF!</definedName>
    <definedName name="_bdm.C2B2D6ED6A2E46B79F04E519AC7AF970.edm" hidden="1">#REF!</definedName>
    <definedName name="_bdm.C339B5DB3E594D95A66F2D5E433755E4.edm" hidden="1">#REF!</definedName>
    <definedName name="_bdm.C6345258F3E545448338DE8A2C2D1933.edm" hidden="1">#REF!</definedName>
    <definedName name="_bdm.C752B30334FD4D6B911EEB3E8BFBCDB8.edm" hidden="1">#REF!</definedName>
    <definedName name="_bdm.CB1F284F6F3F44C7AA34271F2E4A7366.edm" hidden="1">#REF!</definedName>
    <definedName name="_bdm.CB22EAFD62BC44F2824F5B70DE2722FC.edm" hidden="1">#REF!</definedName>
    <definedName name="_bdm.CD26987DE32D4671AE827B5655D52F15.edm" hidden="1">#REF!</definedName>
    <definedName name="_bdm.D3EDFD64385E40D69A79C80D81B305D2.edm" hidden="1">#REF!</definedName>
    <definedName name="_bdm.D4CF1C6FAE0C4663851E52BF8B871FAD.edm" hidden="1">#REF!</definedName>
    <definedName name="_bdm.DA519DD06AD04286B81FAF2A763BFB6F.edm" hidden="1">#REF!</definedName>
    <definedName name="_bdm.DC9CA7F15CCA471EBCEE56A3A16E2C4E.edm" hidden="1">#REF!</definedName>
    <definedName name="_bdm.E9CF464F22A84AA6975FEE9F15F4A7FC.edm" hidden="1">#REF!</definedName>
    <definedName name="_bdm.EA90692A9A854C42A909A8D0E0E78763.edm" hidden="1">#REF!</definedName>
    <definedName name="_bdm.ED0C18D1621B4EAEA5215BE441249EBB.edm" hidden="1">#REF!</definedName>
    <definedName name="_bdm.F048E4FFE8AF40ACA97A8B2285A0B503.edm" hidden="1">#REF!</definedName>
    <definedName name="_bdm.F1E0FC2F3EB04B88AAA80D60A91C07BC.edm" hidden="1">#REF!</definedName>
    <definedName name="_bdm.F37276AFD694462CBFE4BB1A4661BFD7.edm" hidden="1">#REF!</definedName>
    <definedName name="_bdm.F3EFE946BB1645DCAAFE2F786B617A19.edm" hidden="1">#REF!</definedName>
    <definedName name="_bdm.F4735B91A25C4CABADFC787E8E20B729.edm" hidden="1">#REF!</definedName>
    <definedName name="_bdm.F74F088D4E344235A54774DAFAC46D4A.edm" hidden="1">#REF!</definedName>
    <definedName name="_bdm.F83612F9F2B74E8580278D9F885F56E7.edm" hidden="1">#REF!</definedName>
    <definedName name="_bdm.F8A8DCEB4DD84118B520FF6070B6FAA2.edm" hidden="1">#REF!</definedName>
    <definedName name="_bdm.FAA4AA31B4A048D29FC5CAB93BE9A429.edm" hidden="1">#REF!</definedName>
    <definedName name="_bdm.FC33060EBDC242D8A9AC035BB7340F1D.edm" hidden="1">#REF!</definedName>
    <definedName name="_bdm.FE2ACCB92A9846EFA811FA1F5B762938.edm" hidden="1">#REF!</definedName>
    <definedName name="_bdm.FF3A8A7D789B42489C38A7B7D5833FF5.edm" hidden="1">#REF!</definedName>
    <definedName name="_bg2" hidden="1">{#N/A,#N/A,TRUE,"Summary - 1";#N/A,#N/A,TRUE,"Summary - 2";#N/A,#N/A,TRUE,"Group Analysis";#N/A,#N/A,TRUE,"FM Analysis";#N/A,#N/A,TRUE,"T&amp;M-Onsite";#N/A,#N/A,TRUE,"FP-Onsite";#N/A,#N/A,TRUE,"NB-Onsite";#N/A,#N/A,TRUE,"T&amp;M-Offshore";#N/A,#N/A,TRUE,"FP-Offshore";#N/A,#N/A,TRUE,"Appendix-A";#N/A,#N/A,TRUE,"Appendix-B"}</definedName>
    <definedName name="_bg3" hidden="1">{#N/A,#N/A,TRUE,"Summary - 1";#N/A,#N/A,TRUE,"Summary - 2";#N/A,#N/A,TRUE,"Group Analysis";#N/A,#N/A,TRUE,"FM Analysis";#N/A,#N/A,TRUE,"T&amp;M-Onsite";#N/A,#N/A,TRUE,"FP-Onsite";#N/A,#N/A,TRUE,"NB-Onsite";#N/A,#N/A,TRUE,"T&amp;M-Offshore";#N/A,#N/A,TRUE,"FP-Offshore";#N/A,#N/A,TRUE,"Appendix-A";#N/A,#N/A,TRUE,"Appendix-B"}</definedName>
    <definedName name="_c" hidden="1">{#N/A,#N/A,FALSE,"Layout Cash Flow"}</definedName>
    <definedName name="_ccVersion">1.75</definedName>
    <definedName name="_CD201..D205__">#REF!</definedName>
    <definedName name="_col1">#REF!</definedName>
    <definedName name="_col10">#REF!</definedName>
    <definedName name="_col11">#REF!</definedName>
    <definedName name="_col12">#REF!</definedName>
    <definedName name="_col13">#REF!</definedName>
    <definedName name="_col2">#REF!</definedName>
    <definedName name="_col3">#REF!</definedName>
    <definedName name="_col4">#REF!</definedName>
    <definedName name="_col5">#REF!</definedName>
    <definedName name="_col6">#REF!</definedName>
    <definedName name="_col7">#REF!</definedName>
    <definedName name="_col8">#REF!</definedName>
    <definedName name="_col9">#REF!</definedName>
    <definedName name="_DAT6">#REF!</definedName>
    <definedName name="_DCF1" hidden="1">{#N/A,#N/A,FALSE,"DCF Summary";#N/A,#N/A,FALSE,"Casema";#N/A,#N/A,FALSE,"Casema NoTel";#N/A,#N/A,FALSE,"UK";#N/A,#N/A,FALSE,"RCF";#N/A,#N/A,FALSE,"Intercable CZ";#N/A,#N/A,FALSE,"Interkabel P"}</definedName>
    <definedName name="_Dist_Bin" hidden="1">#REF!</definedName>
    <definedName name="_Dist_Values" hidden="1">#REF!</definedName>
    <definedName name="_DOWN_">#REF!</definedName>
    <definedName name="_EDIT__HOME__DE">#REF!</definedName>
    <definedName name="_eps94">#REF!</definedName>
    <definedName name="_Fill" hidden="1">#REF!</definedName>
    <definedName name="_xlnm._FilterDatabase" localSheetId="14" hidden="1">'Accounting Policies'!$C$13:$D$249</definedName>
    <definedName name="_xlnm._FilterDatabase" localSheetId="3" hidden="1">'Additional &amp; Presentation Entry'!$B$10:$I$554</definedName>
    <definedName name="_xlnm._FilterDatabase" localSheetId="9" hidden="1">'Additional entries-Pivot'!$D$3:$E$356</definedName>
    <definedName name="_xlnm._FilterDatabase" localSheetId="16" hidden="1">Assets!$K$9:$P$428</definedName>
    <definedName name="_xlnm._FilterDatabase" localSheetId="11" hidden="1">'Balance Sheet'!$C$13:$T$70</definedName>
    <definedName name="_xlnm._FilterDatabase" localSheetId="32" hidden="1">'Balance Sheet-FY 22'!$C$13:$S$70</definedName>
    <definedName name="_xlnm._FilterDatabase" localSheetId="26" hidden="1">'Balance Sheet-FY 22-23'!$C$13:$S$70</definedName>
    <definedName name="_xlnm._FilterDatabase" localSheetId="31" hidden="1">'FAR Working'!$B$7:$U$50</definedName>
    <definedName name="_xlnm._FilterDatabase" localSheetId="29" hidden="1">'Master TB'!$B$10:$W$70</definedName>
    <definedName name="_xlnm._FilterDatabase" localSheetId="8" hidden="1">Sheet1!$C$4:$I$360</definedName>
    <definedName name="_xlnm._FilterDatabase" localSheetId="10" hidden="1">'TB Grouping'!$B$10:$I$10</definedName>
    <definedName name="_xlnm._FilterDatabase" localSheetId="7" hidden="1">'TB to be sent to client'!$B$7:$L$378</definedName>
    <definedName name="_xlnm._FilterDatabase" hidden="1">#REF!</definedName>
    <definedName name="_FilterDatabase1" hidden="1">#REF!</definedName>
    <definedName name="_fix1" hidden="1">{"assets_99",#N/A,FALSE,"CONSOL";"liabilities_99",#N/A,FALSE,"CONSOL";"pl_99",#N/A,FALSE,"CONSOL";"Corp_99_assets",#N/A,FALSE,"CORP";"Corp_99_liab",#N/A,FALSE,"CORP";"Corp_99_PL",#N/A,FALSE,"CORP";"SMT_99_assets",#N/A,FALSE,"SMTEK";"SMT_99_liab",#N/A,FALSE,"SMTEK";"SMT_99_PL",#N/A,FALSE,"SMTEK";"Jolt_99_assets",#N/A,FALSE,"JOLT";"Jolt_99_liab",#N/A,FALSE,"JOLT";"Jolt_99_PL",#N/A,FALSE,"JOLT";"Irlan_99_assets",#N/A,FALSE,"IRLAN";"Irlan_99_liab",#N/A,FALSE,"IRLAN";"Irlan_99_PL",#N/A,FALSE,"IRLAN";"DDL-E_99_assets",#N/A,FALSE,"DDL-E";"DDL-E_99_liab",#N/A,FALSE,"DDL-E";"DDL-E_99_PL",#N/A,FALSE,"DDL-E"}</definedName>
    <definedName name="_fy97" hidden="1">{#N/A,#N/A,FALSE,"FY97";#N/A,#N/A,FALSE,"FY98";#N/A,#N/A,FALSE,"FY99";#N/A,#N/A,FALSE,"FY00";#N/A,#N/A,FALSE,"FY01"}</definedName>
    <definedName name="_GSRATES_COUNT" hidden="1">1</definedName>
    <definedName name="_kay1" hidden="1">#REF!</definedName>
    <definedName name="_Key1" hidden="1">#REF!</definedName>
    <definedName name="_Key2" hidden="1">#REF!</definedName>
    <definedName name="_KKS1" hidden="1">{#N/A,#N/A,FALSE,"12"}</definedName>
    <definedName name="_kn1" hidden="1">{#N/A,#N/A,TRUE,"A-site";#N/A,#N/A,TRUE,"B-Buildings";#N/A,#N/A,TRUE,"c-out-of-fence";#N/A,#N/A,TRUE,"d-proj.infr.";#N/A,#N/A,TRUE,"e- land"}</definedName>
    <definedName name="_mds1"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mds2"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mon10">#REF!</definedName>
    <definedName name="_mon11">#REF!</definedName>
    <definedName name="_mon12">#REF!</definedName>
    <definedName name="_mon2">#REF!</definedName>
    <definedName name="_mon3">#REF!</definedName>
    <definedName name="_mon4">#REF!</definedName>
    <definedName name="_mon5">#REF!</definedName>
    <definedName name="_mon6">#REF!</definedName>
    <definedName name="_mon7">#REF!</definedName>
    <definedName name="_mon8">#REF!</definedName>
    <definedName name="_mon9">#REF!</definedName>
    <definedName name="_mor1" hidden="1">#REF!</definedName>
    <definedName name="_nds2"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nds3"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_OIL310106" hidden="1">{#N/A,#N/A,FALSE,"PMTABB";#N/A,#N/A,FALSE,"PMTABB"}</definedName>
    <definedName name="_OIL310701" hidden="1">{#N/A,#N/A,FALSE,"PMTABB";#N/A,#N/A,FALSE,"PMTABB"}</definedName>
    <definedName name="_Order1" hidden="1">255</definedName>
    <definedName name="_Order2" hidden="1">255</definedName>
    <definedName name="_Parse_In" hidden="1">#REF!</definedName>
    <definedName name="_Parse_Out" hidden="1">#REF!</definedName>
    <definedName name="_pcSlicerSheet1_Slicer1" hidden="1">#REF!</definedName>
    <definedName name="_pct1">#REF!</definedName>
    <definedName name="_pct2">#REF!</definedName>
    <definedName name="_PG1">#REF!</definedName>
    <definedName name="_pur10" hidden="1">#REF!</definedName>
    <definedName name="_q1">#REF!</definedName>
    <definedName name="_q2">#REF!</definedName>
    <definedName name="_q3">#REF!</definedName>
    <definedName name="_q5">#REF!</definedName>
    <definedName name="_q6">#REF!</definedName>
    <definedName name="_r" hidden="1">{"consolidated",#N/A,FALSE,"Sheet1";"cms",#N/A,FALSE,"Sheet1";"fse",#N/A,FALSE,"Sheet1"}</definedName>
    <definedName name="_Regression_Int" hidden="1">1</definedName>
    <definedName name="_Regression_Out" hidden="1">#REF!</definedName>
    <definedName name="_REV01">#REF!</definedName>
    <definedName name="_RT1">#REF!</definedName>
    <definedName name="_RT2">#REF!</definedName>
    <definedName name="_RT3">#REF!</definedName>
    <definedName name="_RV__">#REF!</definedName>
    <definedName name="_s3" hidden="1">{#N/A,#N/A,TRUE,"CONTENTS";#N/A,#N/A,TRUE,"M2";#N/A,#N/A,TRUE,"M2a";#N/A,#N/A,TRUE,"M2b";#N/A,#N/A,TRUE,"M3";#N/A,#N/A,TRUE,"M3a";#N/A,#N/A,TRUE,"M4-P";#N/A,#N/A,TRUE,"M5";#N/A,#N/A,TRUE,"M6";#N/A,#N/A,TRUE,"M7";#N/A,#N/A,TRUE,"M8";#N/A,#N/A,TRUE,"M9";#N/A,#N/A,TRUE,"M10";#N/A,#N/A,TRUE,"M11";#N/A,#N/A,TRUE,"M13";#N/A,#N/A,TRUE,"M14";#N/A,#N/A,TRUE,"M15";#N/A,#N/A,TRUE,"K1"}</definedName>
    <definedName name="_SCH111213">#REF!</definedName>
    <definedName name="_sch1314">#REF!</definedName>
    <definedName name="_SCH1415">#REF!</definedName>
    <definedName name="_SCH1519">#REF!</definedName>
    <definedName name="_SCH2">#REF!</definedName>
    <definedName name="_sch34">#REF!</definedName>
    <definedName name="_SCH910">#REF!</definedName>
    <definedName name="_sec3" hidden="1">#REF!</definedName>
    <definedName name="_Sort" hidden="1">#REF!</definedName>
    <definedName name="_SSK1" hidden="1">{#N/A,#N/A,FALSE,"COMP"}</definedName>
    <definedName name="_SSK1_1" hidden="1">{#N/A,#N/A,FALSE,"COMP"}</definedName>
    <definedName name="_SSK1_2" hidden="1">{#N/A,#N/A,FALSE,"COMP"}</definedName>
    <definedName name="_SSK1_3" hidden="1">{#N/A,#N/A,FALSE,"COMP"}</definedName>
    <definedName name="_SSK1_4" hidden="1">{#N/A,#N/A,FALSE,"COMP"}</definedName>
    <definedName name="_SSK1_5" hidden="1">{#N/A,#N/A,FALSE,"COMP"}</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ble3_In2" hidden="1">#REF!</definedName>
    <definedName name="_Toc260418863">#REF!</definedName>
    <definedName name="_Toc260418864">#REF!</definedName>
    <definedName name="_Toc260418865">#REF!</definedName>
    <definedName name="_Toc260418866">#REF!</definedName>
    <definedName name="_Toc260418866_1">#REF!</definedName>
    <definedName name="_Toc260418868">#REF!</definedName>
    <definedName name="_Toc260418869">#REF!</definedName>
    <definedName name="_Toc260418872">#REF!</definedName>
    <definedName name="_Toc260418875">#REF!</definedName>
    <definedName name="_Toc260418876">#REF!</definedName>
    <definedName name="_Toc260418877">#REF!</definedName>
    <definedName name="_Toc260418879">#REF!</definedName>
    <definedName name="_Toc260418880">#REF!</definedName>
    <definedName name="_Toc260418880_1">#REF!</definedName>
    <definedName name="_Toc260418884">#REF!</definedName>
    <definedName name="_Toc260418886">#REF!</definedName>
    <definedName name="_Toc260418887">#REF!</definedName>
    <definedName name="_Toc260418887_1">#REF!</definedName>
    <definedName name="_vm01">#REF!</definedName>
    <definedName name="_vm02">#REF!</definedName>
    <definedName name="_vm03">#REF!</definedName>
    <definedName name="_vm04">#REF!</definedName>
    <definedName name="_vm05">#REF!</definedName>
    <definedName name="_vm06">#REF!</definedName>
    <definedName name="_vm07">#REF!</definedName>
    <definedName name="_vm08">#REF!</definedName>
    <definedName name="_vm09">#REF!</definedName>
    <definedName name="_vm10">#REF!</definedName>
    <definedName name="_vm11">#REF!</definedName>
    <definedName name="_vm12">#REF!</definedName>
    <definedName name="_wr1" hidden="1">{"hist_bs",#N/A,FALSE,"Exhibit D,E1,E2";#N/A,#N/A,FALSE,"Exhibit E3";#N/A,#N/A,FALSE,"Mgmt. Projtn";#N/A,#N/A,FALSE,"Exhibit B-1";#N/A,#N/A,FALSE,"Exhibit A";#N/A,#N/A,FALSE,"WACC";#N/A,#N/A,FALSE,"Control";"hist_inc",#N/A,FALSE,"Exhibit D,E1,E2"}</definedName>
    <definedName name="_wrn1" hidden="1">{#N/A,#N/A,FALSE,"DCF";#N/A,#N/A,FALSE,"WACC";#N/A,#N/A,FALSE,"Sales_EBIT";#N/A,#N/A,FALSE,"Capex_Depreciation";#N/A,#N/A,FALSE,"WC";#N/A,#N/A,FALSE,"Interest";#N/A,#N/A,FALSE,"Assumptions"}</definedName>
    <definedName name="_xleta.SHEET" hidden="1" xlm="1">#NAME?</definedName>
    <definedName name="_xleta.SUM" hidden="1" xlm="1">#NAME?</definedName>
    <definedName name="_xleta.SUMIFS" hidden="1" xlm="1">#NAME?</definedName>
    <definedName name="_xx1" hidden="1">{#N/A,#N/A,TRUE,"A-site";#N/A,#N/A,TRUE,"B-Buildings";#N/A,#N/A,TRUE,"c-out-of-fence";#N/A,#N/A,TRUE,"d-proj.infr.";#N/A,#N/A,TRUE,"e- land"}</definedName>
    <definedName name="A" localSheetId="20">IF(#REF!="m",INDEX(#REF!, MATCH(#REF!,#REF!,), MATCH(#REF!,#REF!,)),0)</definedName>
    <definedName name="A">#REF!</definedName>
    <definedName name="A\" hidden="1">#REF!</definedName>
    <definedName name="AA">#REF!</definedName>
    <definedName name="aaa" hidden="1">#REF!</definedName>
    <definedName name="AAA_DOCTOPS" hidden="1">"AAA_SET"</definedName>
    <definedName name="AAA_duser" hidden="1">"OFF"</definedName>
    <definedName name="aaaa" hidden="1">{#N/A,#N/A,FALSE,"Model";#N/A,#N/A,FALSE,"Division"}</definedName>
    <definedName name="aaaaa" hidden="1">{TRUE,TRUE,-1.25,-15.5,456.75,279.75,FALSE,FALSE,TRUE,TRUE,0,1,21,1,127,6,3,4,TRUE,TRUE,3,TRUE,1,TRUE,100,"Swvu.profits.","ACwvu.profits.",1,FALSE,FALSE,0.511811023622047,0.511811023622047,0.511811023622047,0.511811023622047,1,"","",FALSE,FALSE,FALSE,FALSE,1,#N/A,1,1,#DIV/0!,FALSE,"Rwvu.profits.",#N/A,FALSE,FALSE}</definedName>
    <definedName name="aaaaaa" hidden="1">{#N/A,#N/A,FALSE,"Title Page";#N/A,#N/A,FALSE,"Conclusions";#N/A,#N/A,FALSE,"Assum.";#N/A,#N/A,FALSE,"Sun  DCF-WC-Dep";#N/A,#N/A,FALSE,"MarketValue";#N/A,#N/A,FALSE,"BalSheet";#N/A,#N/A,FALSE,"WACC";#N/A,#N/A,FALSE,"PC+ Info.";#N/A,#N/A,FALSE,"PC+Info_2"}</definedName>
    <definedName name="aaaaaaaa" hidden="1">#REF!</definedName>
    <definedName name="aaaaab" hidden="1">{#N/A,#N/A,FALSE,"Model";#N/A,#N/A,FALSE,"Division"}</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bbb" hidden="1">{#N/A,#N/A,FALSE,"Hip.Bas";#N/A,#N/A,FALSE,"ventas";#N/A,#N/A,FALSE,"ingre-Año";#N/A,#N/A,FALSE,"ventas-Año";#N/A,#N/A,FALSE,"Costepro";#N/A,#N/A,FALSE,"inversion";#N/A,#N/A,FALSE,"personal";#N/A,#N/A,FALSE,"Gastos-V";#N/A,#N/A,FALSE,"Circulante";#N/A,#N/A,FALSE,"CONSOLI";#N/A,#N/A,FALSE,"Es-Fin";#N/A,#N/A,FALSE,"Margen-P"}</definedName>
    <definedName name="AB" localSheetId="20">#REF!</definedName>
    <definedName name="ab">NA()</definedName>
    <definedName name="ABB" localSheetId="39">#REF!</definedName>
    <definedName name="ABB">#REF!</definedName>
    <definedName name="ABB_1" localSheetId="39">#REF!</definedName>
    <definedName name="ABB_1">#REF!</definedName>
    <definedName name="ABB_2" localSheetId="39">#REF!</definedName>
    <definedName name="ABB_2">#REF!</definedName>
    <definedName name="ABB_3" localSheetId="39">#REF!</definedName>
    <definedName name="ABB_3">#REF!</definedName>
    <definedName name="ABB_4" localSheetId="39">#REF!</definedName>
    <definedName name="ABB_4">#REF!</definedName>
    <definedName name="ABB_5" localSheetId="39">#REF!</definedName>
    <definedName name="ABB_5">#REF!</definedName>
    <definedName name="ABB_6" localSheetId="39">#REF!</definedName>
    <definedName name="ABB_6">#REF!</definedName>
    <definedName name="ABC">#REF!</definedName>
    <definedName name="ABCD" hidden="1">{"'CQ1-4'!$B$1:$L$49"}</definedName>
    <definedName name="abcde" hidden="1">{#N/A,#N/A,FALSE,"Title Page";#N/A,#N/A,FALSE,"Conclusions";#N/A,#N/A,FALSE,"Assum.";#N/A,#N/A,FALSE,"Sun  DCF-WC-Dep";#N/A,#N/A,FALSE,"MarketValue";#N/A,#N/A,FALSE,"BalSheet";#N/A,#N/A,FALSE,"WACC";#N/A,#N/A,FALSE,"PC+ Info.";#N/A,#N/A,FALSE,"PC+Info_2"}</definedName>
    <definedName name="abd" hidden="1">#REF!</definedName>
    <definedName name="ac" hidden="1">{#N/A,#N/A,FALSE,"Status of Projects";#N/A,#N/A,FALSE,"CEA-TEC";#N/A,#N/A,FALSE,"U-Constr.";#N/A,#N/A,FALSE,"summary";#N/A,#N/A,FALSE,"PPP-3 yrs"}</definedName>
    <definedName name="acc" hidden="1">{#N/A,#N/A,FALSE,"Calc";#N/A,#N/A,FALSE,"Sensitivity";#N/A,#N/A,FALSE,"LT Earn.Dil.";#N/A,#N/A,FALSE,"Dil. AVP"}</definedName>
    <definedName name="AccessDatabase" hidden="1">"G:\EXCEL\PETTER\VAKANS\1996\VAK9609\VAK9609.mdb"</definedName>
    <definedName name="accumulated_depn_end">#REF!</definedName>
    <definedName name="act">#REF!</definedName>
    <definedName name="Act_Qty">#REF!</definedName>
    <definedName name="Act_Rate">#REF!</definedName>
    <definedName name="ActDepr">#REF!</definedName>
    <definedName name="Actual" hidden="1">{#N/A,#N/A,TRUE,"Historicals";#N/A,#N/A,TRUE,"Charts";#N/A,#N/A,TRUE,"Forecasts"}</definedName>
    <definedName name="Actual_Mix">#REF!</definedName>
    <definedName name="Actual_Price">#REF!</definedName>
    <definedName name="Actual_Qty_in_budgetd_Mix">#REF!</definedName>
    <definedName name="Actual_Quantity">#REF!</definedName>
    <definedName name="Actual_Rate">#REF!</definedName>
    <definedName name="Actual_Value">#REF!</definedName>
    <definedName name="ad" hidden="1">{#N/A,#N/A,FALSE,"Status of Projects";#N/A,#N/A,FALSE,"CEA-TEC";#N/A,#N/A,FALSE,"U-Constr.";#N/A,#N/A,FALSE,"summary";#N/A,#N/A,FALSE,"PPP-3 yrs"}</definedName>
    <definedName name="ada" hidden="1">{TRUE,TRUE,-1.25,-15.5,484.5,255,FALSE,FALSE,TRUE,FALSE,0,2,16,1,6,13,5,4,TRUE,TRUE,3,TRUE,1,TRUE,75,"Swvu.A.","ACwvu.A.",#N/A,FALSE,FALSE,0.2,0.22,1,0.641,2,"&amp;L&amp;""Arial,Bold""&amp;11Essar Projects Limited
EOL Refinery Project&amp;C&amp;""Arial,Bold""&amp;14TOTAL REFINERY PROJECT
REFINERY FACILITIES AND TERMINAL/MARKETING FACILITIES&amp;R&amp;""Arial,Bold""&amp;12Updated as on 17th November, 1997","&amp;L&amp;""Poster Bodoni ATT,Bold""&amp;12Prepared By : EPL (Planning and Cost Control)&amp;R&amp;D, &amp;T",TRUE,FALSE,FALSE,FALSE,1,#N/A,1,1,#DIV/0!,"=R1:R5","Rwvu.A.","Cwvu.A.",FALSE,FALSE,FALSE,8,65532,65532,FALSE,FALSE,TRUE,TRUE,TRUE}</definedName>
    <definedName name="Add" localSheetId="39">#REF!</definedName>
    <definedName name="Add">#REF!</definedName>
    <definedName name="Add_1" localSheetId="39">#REF!</definedName>
    <definedName name="Add_1">#REF!</definedName>
    <definedName name="Add_2" localSheetId="39">#REF!</definedName>
    <definedName name="Add_2">#REF!</definedName>
    <definedName name="Add_3" localSheetId="39">#REF!</definedName>
    <definedName name="Add_3">#REF!</definedName>
    <definedName name="additional" hidden="1">#REF!</definedName>
    <definedName name="additional_charge">#REF!</definedName>
    <definedName name="Additions">#REF!</definedName>
    <definedName name="additions_1" localSheetId="20" hidden="1">{#N/A,#N/A,FALSE,"COMP"}</definedName>
    <definedName name="Additions_1">#REF!</definedName>
    <definedName name="additions_2" localSheetId="20" hidden="1">{#N/A,#N/A,FALSE,"COMP"}</definedName>
    <definedName name="Additions_2">#REF!</definedName>
    <definedName name="additions_3" localSheetId="20" hidden="1">{#N/A,#N/A,FALSE,"COMP"}</definedName>
    <definedName name="Additions_3">#REF!</definedName>
    <definedName name="additions_4" hidden="1">{#N/A,#N/A,FALSE,"COMP"}</definedName>
    <definedName name="additions_5" hidden="1">{#N/A,#N/A,FALSE,"COMP"}</definedName>
    <definedName name="ADDS_AUS">0.4937</definedName>
    <definedName name="ADDS_MTL">0.39</definedName>
    <definedName name="ADDS_SIN">0.5834</definedName>
    <definedName name="ADDS_STG">0.42</definedName>
    <definedName name="adfadf" hidden="1">{#N/A,#N/A,FALSE,"Hip.Bas";#N/A,#N/A,FALSE,"ventas";#N/A,#N/A,FALSE,"ingre-Año";#N/A,#N/A,FALSE,"ventas-Año";#N/A,#N/A,FALSE,"Costepro";#N/A,#N/A,FALSE,"inversion";#N/A,#N/A,FALSE,"personal";#N/A,#N/A,FALSE,"Gastos-V";#N/A,#N/A,FALSE,"Circulante";#N/A,#N/A,FALSE,"CONSOLI";#N/A,#N/A,FALSE,"Es-Fin";#N/A,#N/A,FALSE,"Margen-P"}</definedName>
    <definedName name="Adjusted_Net_Operating_Profit">#REF!</definedName>
    <definedName name="AdmExp">#REF!</definedName>
    <definedName name="AdmExpSer" hidden="1">#REF!</definedName>
    <definedName name="adpd" hidden="1">{#N/A,#N/A,FALSE,"COMP"}</definedName>
    <definedName name="afdadfasdfsd" hidden="1">{#N/A,#N/A,FALSE,"Hip.Bas";#N/A,#N/A,FALSE,"ventas";#N/A,#N/A,FALSE,"ingre-Año";#N/A,#N/A,FALSE,"ventas-Año";#N/A,#N/A,FALSE,"Costepro";#N/A,#N/A,FALSE,"inversion";#N/A,#N/A,FALSE,"personal";#N/A,#N/A,FALSE,"Gastos-V";#N/A,#N/A,FALSE,"Circulante";#N/A,#N/A,FALSE,"CONSOLI";#N/A,#N/A,FALSE,"Es-Fin";#N/A,#N/A,FALSE,"Margen-P"}</definedName>
    <definedName name="afdsasd" hidden="1">{#N/A,#N/A,FALSE,"Hip.Bas";#N/A,#N/A,FALSE,"ventas";#N/A,#N/A,FALSE,"ingre-Año";#N/A,#N/A,FALSE,"ventas-Año";#N/A,#N/A,FALSE,"Costepro";#N/A,#N/A,FALSE,"inversion";#N/A,#N/A,FALSE,"personal";#N/A,#N/A,FALSE,"Gastos-V";#N/A,#N/A,FALSE,"Circulante";#N/A,#N/A,FALSE,"CONSOLI";#N/A,#N/A,FALSE,"Es-Fin";#N/A,#N/A,FALSE,"Margen-P"}</definedName>
    <definedName name="AFSDF" hidden="1">{#N/A,#N/A,FALSE,"PMTABB";#N/A,#N/A,FALSE,"PMTABB"}</definedName>
    <definedName name="ag" hidden="1">{TRUE,TRUE,-1.25,-15.5,456.75,279.75,FALSE,FALSE,TRUE,TRUE,0,1,8,1,4,6,3,4,TRUE,TRUE,3,TRUE,1,TRUE,100,"Swvu.turnover.","ACwvu.turnover.",1,FALSE,FALSE,0.511811023622047,0.511811023622047,0.511811023622047,0.511811023622047,1,"","",FALSE,FALSE,FALSE,FALSE,1,#N/A,1,1,#DIV/0!,FALSE,"Rwvu.turnover.",#N/A,FALSE,FALSE}</definedName>
    <definedName name="again">GL #REF!</definedName>
    <definedName name="agfds" hidden="1">{TRUE,TRUE,-1.25,-15.5,456.75,279.75,FALSE,FALSE,TRUE,TRUE,0,1,8,1,4,6,3,4,TRUE,TRUE,3,TRUE,1,TRUE,100,"Swvu.turnover.","ACwvu.turnover.",1,FALSE,FALSE,0.511811023622047,0.511811023622047,0.511811023622047,0.511811023622047,1,"","",FALSE,FALSE,FALSE,FALSE,1,#N/A,1,1,#DIV/0!,FALSE,"Rwvu.turnover.",#N/A,FALSE,FALSE}</definedName>
    <definedName name="alokm" hidden="1">{#N/A,#N/A,FALSE,"Cash Flows";#N/A,#N/A,FALSE,"Fixed Assets";#N/A,#N/A,FALSE,"Balance Sheet";#N/A,#N/A,FALSE,"P &amp; L"}</definedName>
    <definedName name="amortisation_goodwill">#REF!</definedName>
    <definedName name="amortisation_other_intangibles">#REF!</definedName>
    <definedName name="Annex" hidden="1">{#N/A,#N/A,FALSE,"4"}</definedName>
    <definedName name="anscount" hidden="1">1</definedName>
    <definedName name="aoud" hidden="1">{#N/A,#N/A,FALSE,"COMP"}</definedName>
    <definedName name="APR">#REF!</definedName>
    <definedName name="ar" hidden="1">{#N/A,#N/A,FALSE,"Status of Projects";#N/A,#N/A,FALSE,"CEA-TEC";#N/A,#N/A,FALSE,"U-Constr.";#N/A,#N/A,FALSE,"summary";#N/A,#N/A,FALSE,"PPP-3 yrs"}</definedName>
    <definedName name="AR_Distribution_to_GL">#REF!</definedName>
    <definedName name="area">#REF!</definedName>
    <definedName name="as" hidden="1">{#N/A,#N/A,FALSE,"Balance Sheet";#N/A,#N/A,FALSE,"Income Statement";#N/A,#N/A,FALSE,"Changes in Financial Position"}</definedName>
    <definedName name="as\" hidden="1">{"'PS-SOTM'!$A$1","'PS-SOTM'!$A$2:$M$30","'PS-SOTM'!$A$31:$A$38"}</definedName>
    <definedName name="AS2DocOpenMode" hidden="1">"AS2DocumentEdit"</definedName>
    <definedName name="AS2HasNoAutoHeaderFooter" hidden="1">" "</definedName>
    <definedName name="AS2LinkLS" hidden="1">#REF!</definedName>
    <definedName name="AS2NamedRange" hidden="1">3</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as" hidden="1">{"Full view",#N/A,FALSE,"Market view";"Full view",#N/A,FALSE,"Market view"}</definedName>
    <definedName name="asasaasas" hidden="1">{"Full view",#N/A,FALSE,"Market view";"Full view",#N/A,FALSE,"Market view"}</definedName>
    <definedName name="asasaassaaqsq" hidden="1">{#N/A,#N/A,TRUE,"pd_SSS";#N/A,#N/A,TRUE,"fo_SSS";#N/A,#N/A,TRUE,"eqpt_SSS";#N/A,#N/A,TRUE,"ftrs_SSS"}</definedName>
    <definedName name="asasasasasasas" hidden="1">{#N/A,#N/A,TRUE,"pd_SSS";#N/A,#N/A,TRUE,"fo_SSS";#N/A,#N/A,TRUE,"eqpt_SSS";#N/A,#N/A,TRUE,"ftrs_SSS"}</definedName>
    <definedName name="ASD" hidden="1">#REF!</definedName>
    <definedName name="asda" hidden="1">{#N/A,#N/A,FALSE,"Cash Flows";#N/A,#N/A,FALSE,"Fixed Assets";#N/A,#N/A,FALSE,"Balance Sheet";#N/A,#N/A,FALSE,"P &amp; L"}</definedName>
    <definedName name="asda1" hidden="1">{#N/A,#N/A,FALSE,"Cash Flows";#N/A,#N/A,FALSE,"Fixed Assets";#N/A,#N/A,FALSE,"Balance Sheet";#N/A,#N/A,FALSE,"P &amp; L"}</definedName>
    <definedName name="asda2" hidden="1">{#N/A,#N/A,FALSE,"Cash Flows";#N/A,#N/A,FALSE,"Fixed Assets";#N/A,#N/A,FALSE,"Balance Sheet";#N/A,#N/A,FALSE,"P &amp; L"}</definedName>
    <definedName name="asdf" hidden="1">{"by departments",#N/A,TRUE,"FORECAST";"cap_headcount",#N/A,TRUE,"FORECAST";"summary",#N/A,TRUE,"FORECAST"}</definedName>
    <definedName name="asdfasdfasdf" hidden="1">{"SUMMARY",#N/A,TRUE,"SUMMARY";"compare",#N/A,TRUE,"Vs. Bus Plan";"ratios",#N/A,TRUE,"Ratios";"REVENUE",#N/A,TRUE,"Revenue";"expenses",#N/A,TRUE,"1996 budget";"payroll",#N/A,TRUE,"Payroll"}</definedName>
    <definedName name="asdfdfdjf"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asfg" hidden="1">{#N/A,#N/A,FALSE,"Balance Sheet";#N/A,#N/A,FALSE,"Income Statement";#N/A,#N/A,FALSE,"Changes in Financial Position"}</definedName>
    <definedName name="asfsdf" hidden="1">{#N/A,#N/A,FALSE,"COMP"}</definedName>
    <definedName name="ASIA_PLASTIC_in_KUSD">#REF!</definedName>
    <definedName name="ass" hidden="1">{#N/A,#N/A,FALSE,"Balance Sheet";#N/A,#N/A,FALSE,"Income Statement";#N/A,#N/A,FALSE,"Changes in Financial Position"}</definedName>
    <definedName name="assd" hidden="1">{#N/A,#N/A,TRUE,"constb"}</definedName>
    <definedName name="associate_dividends_received">#REF!</definedName>
    <definedName name="associates">#REF!</definedName>
    <definedName name="associates_pl">#REF!</definedName>
    <definedName name="associates_tax_charge">#REF!</definedName>
    <definedName name="AsstYr">#REF!</definedName>
    <definedName name="AU">#REF!</definedName>
    <definedName name="AUG">#REF!</definedName>
    <definedName name="Austr">#REF!</definedName>
    <definedName name="Average_invested_capital">#REF!</definedName>
    <definedName name="Average_invested_capital_DCF">#REF!</definedName>
    <definedName name="AvgDebt">#REF!</definedName>
    <definedName name="AvgIntRate">#REF!</definedName>
    <definedName name="AvgNW">#REF!</definedName>
    <definedName name="AvgSellPr" hidden="1">#REF!,#REF!,#REF!,#REF!,#REF!,#REF!,#REF!,#REF!</definedName>
    <definedName name="axedoc">#REF!</definedName>
    <definedName name="axx" localSheetId="39">#REF!</definedName>
    <definedName name="axx">#REF!</definedName>
    <definedName name="axx_1" localSheetId="39">#REF!</definedName>
    <definedName name="axx_1">#REF!</definedName>
    <definedName name="axx_2" localSheetId="39">#REF!</definedName>
    <definedName name="axx_2">#REF!</definedName>
    <definedName name="axx_3" localSheetId="39">#REF!</definedName>
    <definedName name="axx_3">#REF!</definedName>
    <definedName name="b" localSheetId="20" hidden="1">{#N/A,#N/A,FALSE,"Layout Aktiva";#N/A,#N/A,FALSE,"Layout Passiva"}</definedName>
    <definedName name="b" localSheetId="39">#REF!</definedName>
    <definedName name="b">#REF!</definedName>
    <definedName name="b_1" hidden="1">{"assumptions",#N/A,FALSE,"Scenario 1";"valuation",#N/A,FALSE,"Scenario 1"}</definedName>
    <definedName name="b_2" hidden="1">{"assumptions",#N/A,FALSE,"Scenario 1";"valuation",#N/A,FALSE,"Scenario 1"}</definedName>
    <definedName name="b_3" hidden="1">{"assumptions",#N/A,FALSE,"Scenario 1";"valuation",#N/A,FALSE,"Scenario 1"}</definedName>
    <definedName name="b_4" hidden="1">{"assumptions",#N/A,FALSE,"Scenario 1";"valuation",#N/A,FALSE,"Scenario 1"}</definedName>
    <definedName name="b_5" hidden="1">{"assumptions",#N/A,FALSE,"Scenario 1";"valuation",#N/A,FALSE,"Scenario 1"}</definedName>
    <definedName name="BACK_A">#REF!</definedName>
    <definedName name="back_page">#REF!</definedName>
    <definedName name="Backlog">#REF!</definedName>
    <definedName name="backroom_query">#REF!</definedName>
    <definedName name="bad_debt_provision">#REF!</definedName>
    <definedName name="Balance_Sheet">#REF!</definedName>
    <definedName name="balancesheet" localSheetId="39">#REF!</definedName>
    <definedName name="balancesheet">#REF!</definedName>
    <definedName name="Bank" hidden="1">{TRUE,TRUE,-1.25,-15.5,456.75,279.75,FALSE,FALSE,TRUE,TRUE,0,1,21,1,127,6,3,4,TRUE,TRUE,3,TRUE,1,TRUE,100,"Swvu.profits.","ACwvu.profits.",1,FALSE,FALSE,0.511811023622047,0.511811023622047,0.511811023622047,0.511811023622047,1,"","",FALSE,FALSE,FALSE,FALSE,1,#N/A,1,1,#DIV/0!,FALSE,"Rwvu.profits.",#N/A,FALSE,FALSE}</definedName>
    <definedName name="bank1" hidden="1">{TRUE,TRUE,-1.25,-15.5,456.75,279.75,FALSE,FALSE,TRUE,TRUE,0,1,21,1,127,6,3,4,TRUE,TRUE,3,TRUE,1,TRUE,100,"Swvu.profits.","ACwvu.profits.",1,FALSE,FALSE,0.511811023622047,0.511811023622047,0.511811023622047,0.511811023622047,1,"","",FALSE,FALSE,FALSE,FALSE,1,#N/A,1,1,#DIV/0!,FALSE,"Rwvu.profits.",#N/A,FALSE,FALSE}</definedName>
    <definedName name="base1" hidden="1">#REF!</definedName>
    <definedName name="BaseData_1" hidden="1">{#N/A,#N/A,FALSE,"Cash Flows";#N/A,#N/A,FALSE,"Fixed Assets";#N/A,#N/A,FALSE,"Balance Sheet";#N/A,#N/A,FALSE,"P &amp; L"}</definedName>
    <definedName name="bb" hidden="1">{"histincome",#N/A,FALSE,"hyfins";"closing balance",#N/A,FALSE,"hyfins"}</definedName>
    <definedName name="bbb" hidden="1">{#N/A,#N/A,FALSE,"Hip.Bas";#N/A,#N/A,FALSE,"ventas";#N/A,#N/A,FALSE,"ingre-Año";#N/A,#N/A,FALSE,"ventas-Año";#N/A,#N/A,FALSE,"Costepro";#N/A,#N/A,FALSE,"inversion";#N/A,#N/A,FALSE,"personal";#N/A,#N/A,FALSE,"Gastos-V";#N/A,#N/A,FALSE,"Circulante";#N/A,#N/A,FALSE,"CONSOLI";#N/A,#N/A,FALSE,"Es-Fin";#N/A,#N/A,FALSE,"Margen-P"}</definedName>
    <definedName name="bbbb" hidden="1">{#N/A,#N/A,FALSE,"Title Page";#N/A,#N/A,FALSE,"Conclusions";#N/A,#N/A,FALSE,"Assum.";#N/A,#N/A,FALSE,"Sun  DCF-WC-Dep";#N/A,#N/A,FALSE,"MarketValue";#N/A,#N/A,FALSE,"BalSheet";#N/A,#N/A,FALSE,"WACC";#N/A,#N/A,FALSE,"PC+ Info.";#N/A,#N/A,FALSE,"PC+Info_2"}</definedName>
    <definedName name="bbbbb" hidden="1">{"consolidated",#N/A,FALSE,"Sheet1";"cms",#N/A,FALSE,"Sheet1";"fse",#N/A,FALSE,"Sheet1"}</definedName>
    <definedName name="BBG_INPUT">#REF!</definedName>
    <definedName name="BE006K">700</definedName>
    <definedName name="BE010K">600</definedName>
    <definedName name="BE2.0">#REF!,#REF!,#REF!</definedName>
    <definedName name="BE3.0">#REF!,#REF!,#REF!</definedName>
    <definedName name="BE4.0">#REF!,#REF!,#REF!</definedName>
    <definedName name="BE5.0">#REF!,#REF!,#REF!</definedName>
    <definedName name="belnew" hidden="1">{"IS",#N/A,FALSE,"IS";"RPTIS",#N/A,FALSE,"RPTIS";"STATS",#N/A,FALSE,"STATS";"CELL",#N/A,FALSE,"CELL";"BS",#N/A,FALSE,"BS"}</definedName>
    <definedName name="BESale">#REF!</definedName>
    <definedName name="BESaleVal">#REF!</definedName>
    <definedName name="bfg" hidden="1">{#N/A,#N/A,FALSE,"COMP"}</definedName>
    <definedName name="bg" hidden="1">{#N/A,#N/A,TRUE,"Summary - 1";#N/A,#N/A,TRUE,"Summary - 2";#N/A,#N/A,TRUE,"Group Analysis";#N/A,#N/A,TRUE,"FM Analysis";#N/A,#N/A,TRUE,"T&amp;M-Onsite";#N/A,#N/A,TRUE,"FP-Onsite";#N/A,#N/A,TRUE,"NB-Onsite";#N/A,#N/A,TRUE,"T&amp;M-Offshore";#N/A,#N/A,TRUE,"FP-Offshore";#N/A,#N/A,TRUE,"Appendix-A";#N/A,#N/A,TRUE,"Appendix-B"}</definedName>
    <definedName name="BG_Del" hidden="1">15</definedName>
    <definedName name="BG_Ins" hidden="1">4</definedName>
    <definedName name="BG_Mod" hidden="1">6</definedName>
    <definedName name="bg3sheet" hidden="1">{#N/A,#N/A,TRUE,"Summary - 1";#N/A,#N/A,TRUE,"Summary - 2";#N/A,#N/A,TRUE,"Group Analysis";#N/A,#N/A,TRUE,"FM Analysis";#N/A,#N/A,TRUE,"T&amp;M-Onsite";#N/A,#N/A,TRUE,"FP-Onsite";#N/A,#N/A,TRUE,"NB-Onsite";#N/A,#N/A,TRUE,"T&amp;M-Offshore";#N/A,#N/A,TRUE,"FP-Offshore";#N/A,#N/A,TRUE,"Appendix-A";#N/A,#N/A,TRUE,"Appendix-B"}</definedName>
    <definedName name="bgh" hidden="1">{"histincome",#N/A,FALSE,"hyfins";"closing balance",#N/A,FALSE,"hyfins"}</definedName>
    <definedName name="bgisheet" hidden="1">{#N/A,#N/A,TRUE,"Summary - 1";#N/A,#N/A,TRUE,"Summary - 2";#N/A,#N/A,TRUE,"Group Analysis";#N/A,#N/A,TRUE,"FM Analysis";#N/A,#N/A,TRUE,"T&amp;M-Onsite";#N/A,#N/A,TRUE,"FP-Onsite";#N/A,#N/A,TRUE,"NB-Onsite";#N/A,#N/A,TRUE,"T&amp;M-Offshore";#N/A,#N/A,TRUE,"FP-Offshore";#N/A,#N/A,TRUE,"Appendix-A";#N/A,#N/A,TRUE,"Appendix-B"}</definedName>
    <definedName name="bha" hidden="1">{#N/A,#N/A,TRUE,"Summary";#N/A,#N/A,TRUE,"Balance Sheet";#N/A,#N/A,TRUE,"P &amp; L";#N/A,#N/A,TRUE,"Fixed Assets";#N/A,#N/A,TRUE,"Cash Flows"}</definedName>
    <definedName name="bhavesh" hidden="1">{#N/A,#N/A,FALSE,"Cash Flows";#N/A,#N/A,FALSE,"Fixed Assets";#N/A,#N/A,FALSE,"Balance Sheet";#N/A,#N/A,FALSE,"P &amp; L"}</definedName>
    <definedName name="bhaveshm" hidden="1">{#N/A,#N/A,FALSE,"Cash Flows";#N/A,#N/A,FALSE,"Fixed Assets";#N/A,#N/A,FALSE,"Balance Sheet";#N/A,#N/A,FALSE,"P &amp; L"}</definedName>
    <definedName name="BHUVAN" hidden="1">{"'subnets'!$A$1:$F$20"}</definedName>
    <definedName name="BIDDER_NAME">#REF!</definedName>
    <definedName name="BL2.0">#REF!,#REF!,#REF!</definedName>
    <definedName name="BL3.0">#REF!,#REF!,#REF!</definedName>
    <definedName name="BL4.0">#REF!,#REF!,#REF!</definedName>
    <definedName name="BL5.0">#REF!,#REF!,#REF!</definedName>
    <definedName name="BLPH1" hidden="1">#REF!</definedName>
    <definedName name="BLPH13" hidden="1">#REF!</definedName>
    <definedName name="BLPH14" hidden="1">#REF!</definedName>
    <definedName name="BLPH15" hidden="1">#REF!</definedName>
    <definedName name="BLPH2" hidden="1">#REF!</definedName>
    <definedName name="BLPH3" hidden="1">#REF!</definedName>
    <definedName name="BLPH5" hidden="1">#REF!</definedName>
    <definedName name="BLPH6" hidden="1">#REF!</definedName>
    <definedName name="BLPH7" hidden="1">#REF!</definedName>
    <definedName name="BLR" hidden="1">#REF!</definedName>
    <definedName name="BNDOUT">#REF!</definedName>
    <definedName name="BNE_MESSAGES_HIDDEN" hidden="1">#REF!</definedName>
    <definedName name="BNE_MESSAGES_HIDDEN_EU" hidden="1">#REF!</definedName>
    <definedName name="BNE_MESSAGES_HIDDEN_UK" hidden="1">#REF!</definedName>
    <definedName name="BNH">#REF!</definedName>
    <definedName name="bnnn" hidden="1">{"consolidated",#N/A,FALSE,"Sheet1";"cms",#N/A,FALSE,"Sheet1";"fse",#N/A,FALSE,"Sheet1"}</definedName>
    <definedName name="BOI_CSL">#REF!</definedName>
    <definedName name="BOI_CSL___0">#REF!</definedName>
    <definedName name="BOI_EF">#REF!</definedName>
    <definedName name="BOI_EF___0">#REF!</definedName>
    <definedName name="BOI_FRT">#REF!</definedName>
    <definedName name="BOI_FRT___0">#REF!</definedName>
    <definedName name="BOI_FRT_135">#REF!</definedName>
    <definedName name="BOI_FRT_135___0">#REF!</definedName>
    <definedName name="BOI_FRT_135___0___0">#REF!</definedName>
    <definedName name="BOI_FRT_135___0___0___0">#REF!</definedName>
    <definedName name="BOI_INSP">#REF!</definedName>
    <definedName name="BOI_INSP___0">#REF!</definedName>
    <definedName name="BOI_LBR">#REF!</definedName>
    <definedName name="BOI_LBR___0">#REF!</definedName>
    <definedName name="BOI_MAC">#REF!</definedName>
    <definedName name="BOI_MAC___0">#REF!</definedName>
    <definedName name="BOI_MAC_101">#REF!</definedName>
    <definedName name="BOI_MAC_101___0">#REF!</definedName>
    <definedName name="BOI_MAC_101___0___0">#REF!</definedName>
    <definedName name="BOI_MAC_101___0___0___0">#REF!</definedName>
    <definedName name="BOI_MS">#REF!</definedName>
    <definedName name="BOI_MS___0">#REF!</definedName>
    <definedName name="BOI_MS_105">#REF!</definedName>
    <definedName name="BOI_MS_105___0">#REF!</definedName>
    <definedName name="BOI_MS_105___0___0">#REF!</definedName>
    <definedName name="BOI_MS_105___0___0___0">#REF!</definedName>
    <definedName name="BOI_STL">#REF!</definedName>
    <definedName name="BOI_STL___0">#REF!</definedName>
    <definedName name="BOIMS">#REF!</definedName>
    <definedName name="BOLT_UP">#REF!</definedName>
    <definedName name="Bond">#REF!</definedName>
    <definedName name="book_nav_share">#REF!</definedName>
    <definedName name="BookDepr">#REF!</definedName>
    <definedName name="BOOKVALUE">#REF!</definedName>
    <definedName name="boomlift85">1194.38/65</definedName>
    <definedName name="Borrowings">'Grouping Master Data'!$I$2:$I$1048576</definedName>
    <definedName name="BROKER">#REF!</definedName>
    <definedName name="BS">#REF!</definedName>
    <definedName name="bs_jb">#REF!</definedName>
    <definedName name="bs_ratio_jb">#REF!</definedName>
    <definedName name="BS_total_assets">#REF!</definedName>
    <definedName name="BSCY" localSheetId="32">#REF!</definedName>
    <definedName name="BSCY" localSheetId="26">#REF!</definedName>
    <definedName name="BSCY">'Backup Data'!$C$15</definedName>
    <definedName name="BSDateSF">#REF!</definedName>
    <definedName name="BSDiff">#REF!</definedName>
    <definedName name="BSE">#REF!</definedName>
    <definedName name="BSPY" localSheetId="32">#REF!</definedName>
    <definedName name="BSPY" localSheetId="26">#REF!</definedName>
    <definedName name="BSPY">'Backup Data'!$C$16</definedName>
    <definedName name="BT074K">100</definedName>
    <definedName name="BT369K">100</definedName>
    <definedName name="Budget_Quantity">#REF!</definedName>
    <definedName name="Budget_Rate">#REF!</definedName>
    <definedName name="Budget_Value">#REF!</definedName>
    <definedName name="Budgeted_Mix">#REF!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0___0">#REF!</definedName>
    <definedName name="BuiltIn_Print_Area___0___0___0___0___0___0___0">#REF!</definedName>
    <definedName name="BuiltIn_Print_Area___1">#REF!</definedName>
    <definedName name="BuiltIn_Print_Titles">#REF!</definedName>
    <definedName name="BuiltIn_Print_Titles___0">#REF!</definedName>
    <definedName name="BuiltIn_Print_Titles___0___0">#REF!</definedName>
    <definedName name="BuiltIn_Print_Titles___0___0___0">#REF!</definedName>
    <definedName name="BuiltIn_Print_Titles___0___0___0___0">#REF!</definedName>
    <definedName name="Button_1">"pgpi_BOM_List"</definedName>
    <definedName name="BWFINANCIALS" hidden="1">{"'CQ1-4'!$B$1:$L$49"}</definedName>
    <definedName name="CA">#REF!</definedName>
    <definedName name="CABLE">#REF!</definedName>
    <definedName name="calc">#N/A</definedName>
    <definedName name="calendarization">#REF!</definedName>
    <definedName name="CallingApp" hidden="1">"Arrow"</definedName>
    <definedName name="Cap" hidden="1">{TRUE,TRUE,-1.25,-15.5,456.75,279.75,FALSE,FALSE,TRUE,TRUE,0,1,18,1,199,6,3,4,TRUE,TRUE,3,TRUE,1,TRUE,100,"Swvu.cash.","ACwvu.cash.",1,FALSE,FALSE,0.511811023622047,0.511811023622047,0.511811023622047,0.511811023622047,1,"","",FALSE,FALSE,FALSE,FALSE,1,#N/A,1,1,#DIV/0!,FALSE,"Rwvu.cash.",#N/A,FALSE,FALSE}</definedName>
    <definedName name="Capex_96">#REF!</definedName>
    <definedName name="CAPITAL_DEPLOYE">#REF!</definedName>
    <definedName name="CAPITAL_EMPLOYE">#REF!</definedName>
    <definedName name="capital_employed">#REF!</definedName>
    <definedName name="capital_employed_avg">#REF!</definedName>
    <definedName name="capital_expenditure">#REF!</definedName>
    <definedName name="capital_wip">#REF!</definedName>
    <definedName name="capitalised_int">#REF!</definedName>
    <definedName name="capitalized" hidden="1">{#N/A,#N/A,FALSE,"Title Page";#N/A,#N/A,FALSE,"Conclusions";#N/A,#N/A,FALSE,"Assum.";#N/A,#N/A,FALSE,"Sun  DCF-WC-Dep";#N/A,#N/A,FALSE,"MarketValue";#N/A,#N/A,FALSE,"BalSheet";#N/A,#N/A,FALSE,"WACC";#N/A,#N/A,FALSE,"PC+ Info.";#N/A,#N/A,FALSE,"PC+Info_2"}</definedName>
    <definedName name="car"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car">{#N/A,#N/A,FALSE,"cash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CASCSAC" hidden="1">{#N/A,#N/A,FALSE,"TOWNSHIP"}</definedName>
    <definedName name="Case">#REF!</definedName>
    <definedName name="cash">#REF!</definedName>
    <definedName name="cash_1q99">#REF!</definedName>
    <definedName name="Cash_and_Cash_Balances">'Grouping Master Data'!$T$2:$T$1048576</definedName>
    <definedName name="cash_bank">#REF!</definedName>
    <definedName name="Cash_DCF">#REF!</definedName>
    <definedName name="cash_flow_from_financing_activities">#REF!</definedName>
    <definedName name="cash_flow_from_investing_activities">#REF!</definedName>
    <definedName name="cash_flow_from_operating_activities">#REF!</definedName>
    <definedName name="Cash_Flow_Statement">#REF!</definedName>
    <definedName name="Cash_Flow_Working">NA()</definedName>
    <definedName name="Cash_Operating_Taxes">#REF!</definedName>
    <definedName name="cashburn">#REF!</definedName>
    <definedName name="CashChg">#REF!</definedName>
    <definedName name="CashCr">#REF!</definedName>
    <definedName name="CashPr">#REF!</definedName>
    <definedName name="Category">#REF!</definedName>
    <definedName name="cb_sChart155F5559_opts" hidden="1">"1, 1, 1, False, 2, False, False, , 0, False, False, 1, 1"</definedName>
    <definedName name="cb_sChart155F5734_opts" hidden="1">"1, 1, 1, False, 2, False, False, , 0, False, False, 2, 1"</definedName>
    <definedName name="cb_sChart155F57B3_opts" hidden="1">"1, 1, 1, False, 2, False, False, , 0, False, False, 1, 1"</definedName>
    <definedName name="cb_sChart16EBA7BA_opts" hidden="1">"1, 1, 1, False, 2, True, False, , 0, False, True, 1, 2"</definedName>
    <definedName name="cb_sChart1AC0211C_opts" hidden="1">"1, 1, 1, False, 2, False, False, , 0, False, False, 2, 2"</definedName>
    <definedName name="cb_sChart1AC021B3_opts" hidden="1">"1, 1, 1, False, 2, False, False, , 0, False, False, 2, 2"</definedName>
    <definedName name="cb_sChart1AC02226_opts" hidden="1">"1, 1, 1, False, 2, False, False, , 0, False, False, 2, 2"</definedName>
    <definedName name="cb_sChart1AC02446_opts" hidden="1">"1, 1, 1, False, 2, True, False, , 0, False, True, 2, 2"</definedName>
    <definedName name="cb_sChart1AC02765_opts" hidden="1">"1, 1, 1, False, 2, True, False, , 0, False, True, 2, 2"</definedName>
    <definedName name="cb_sChart1AC027D9_opts" hidden="1">"1, 1, 1, False, 2, True, False, , 0, False, True, 2, 2"</definedName>
    <definedName name="CBWorkbookPriority" hidden="1">-1103212323</definedName>
    <definedName name="cc">#REF!</definedName>
    <definedName name="CC_Listing">#REF!</definedName>
    <definedName name="cc_ReportCurrency">"INDR"</definedName>
    <definedName name="cc_ReportCurrencyUnit">"Rs"</definedName>
    <definedName name="cc_ReportCurrencyUnitFactor">1</definedName>
    <definedName name="ccc" hidden="1">{#N/A,#N/A,FALSE,"Calc";#N/A,#N/A,FALSE,"Sensitivity";#N/A,#N/A,FALSE,"LT Earn.Dil.";#N/A,#N/A,FALSE,"Dil. AVP"}</definedName>
    <definedName name="cccc" hidden="1">{#N/A,#N/A,FALSE,"Layout Cash Flow"}</definedName>
    <definedName name="ccccc" hidden="1">{#N/A,#N/A,FALSE,"Layout Cash Flow"}</definedName>
    <definedName name="ccccccccccc">#REF!</definedName>
    <definedName name="CCSA" localSheetId="39">#REF!</definedName>
    <definedName name="CCSA">#REF!</definedName>
    <definedName name="CCSA_1">#REF!</definedName>
    <definedName name="CCSA_2">#REF!</definedName>
    <definedName name="CCSA_3">#REF!</definedName>
    <definedName name="CEPS">#REF!</definedName>
    <definedName name="ceps_00">#REF!</definedName>
    <definedName name="ceps_01">#REF!</definedName>
    <definedName name="cf_jb">#REF!</definedName>
    <definedName name="CFDiff">#REF!</definedName>
    <definedName name="cfps">#REF!</definedName>
    <definedName name="cgfjhj" hidden="1">#REF!</definedName>
    <definedName name="CHABGE">YTD #REF!</definedName>
    <definedName name="ChallanDatabase">#REF!</definedName>
    <definedName name="ChallanSrnoList">#REF!</definedName>
    <definedName name="CHane">GL #REF!</definedName>
    <definedName name="change">#REF!</definedName>
    <definedName name="ChangeRange" hidden="1">#REF!</definedName>
    <definedName name="Charg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check">"V"</definedName>
    <definedName name="Check_5">#REF!</definedName>
    <definedName name="chg_in_current_liabilities">#REF!</definedName>
    <definedName name="chg_in_debt">#REF!</definedName>
    <definedName name="chg_in_debtors">#REF!</definedName>
    <definedName name="chg_in_inventory">#REF!</definedName>
    <definedName name="chg_in_investment">#REF!</definedName>
    <definedName name="chg_in_loans_advances">#REF!</definedName>
    <definedName name="chg_in_marketable_securities">#REF!</definedName>
    <definedName name="chg_in_other_current_assets">#REF!</definedName>
    <definedName name="chg_in_provisions">#REF!</definedName>
    <definedName name="chg_in_working_cap">#REF!</definedName>
    <definedName name="chgcvhgvvg" hidden="1">#REF!</definedName>
    <definedName name="CHINA_PLASTIC_in_KUSD">#REF!</definedName>
    <definedName name="Choices_Wrapper">#N/A</definedName>
    <definedName name="choose">#REF!</definedName>
    <definedName name="CIQWBGuid" hidden="1">"bbfce6a8-4482-47cd-9900-60bcc32a12b4"</definedName>
    <definedName name="CL">#REF!</definedName>
    <definedName name="Classfn">#REF!</definedName>
    <definedName name="ClDate">#REF!</definedName>
    <definedName name="ClEqSh">#REF!</definedName>
    <definedName name="CLIENT">#REF!</definedName>
    <definedName name="cma" hidden="1">#REF!</definedName>
    <definedName name="CMAFORM2">#REF!</definedName>
    <definedName name="CMH"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CMP">#REF!</definedName>
    <definedName name="Co_928">#REF!</definedName>
    <definedName name="Co_99">#REF!</definedName>
    <definedName name="Coco_Date">#REF!</definedName>
    <definedName name="Code" hidden="1">#REF!</definedName>
    <definedName name="Code_02_101">#REF!</definedName>
    <definedName name="Code_02_103">#REF!</definedName>
    <definedName name="Code_02_211">#REF!</definedName>
    <definedName name="Code_02_231">#REF!</definedName>
    <definedName name="Code_02_241">#REF!</definedName>
    <definedName name="Code_02_251">#REF!</definedName>
    <definedName name="Code_03_131">#REF!</definedName>
    <definedName name="Code_03_201">#REF!</definedName>
    <definedName name="Code_03_231">#REF!</definedName>
    <definedName name="Code_03_401">#REF!</definedName>
    <definedName name="Code_03_411">#REF!</definedName>
    <definedName name="Code_03_503">#REF!</definedName>
    <definedName name="Code_03_601">#REF!</definedName>
    <definedName name="Code_03_711">#REF!</definedName>
    <definedName name="Code_03_721">#REF!</definedName>
    <definedName name="Code_03_731">#REF!</definedName>
    <definedName name="Code_04_101">#REF!</definedName>
    <definedName name="Code_04_102">#REF!</definedName>
    <definedName name="Code_04_151">#REF!</definedName>
    <definedName name="Code_04_205">#REF!</definedName>
    <definedName name="Code_04_307">#REF!</definedName>
    <definedName name="Code_04_309">#REF!</definedName>
    <definedName name="Code_04_341">#REF!</definedName>
    <definedName name="Code_04_401">#REF!</definedName>
    <definedName name="Code_04_451">#REF!</definedName>
    <definedName name="Code_04_501">#REF!</definedName>
    <definedName name="Code_04_601">#REF!</definedName>
    <definedName name="Code_04_740">#REF!</definedName>
    <definedName name="Code_04_743">#REF!</definedName>
    <definedName name="Code_04_751">#REF!</definedName>
    <definedName name="Code_05_120">#REF!</definedName>
    <definedName name="Code_05_130">#REF!</definedName>
    <definedName name="Code_05_140">#REF!</definedName>
    <definedName name="Code_05_160">#REF!</definedName>
    <definedName name="Code_05_201">#REF!</definedName>
    <definedName name="Code_05_270">#REF!</definedName>
    <definedName name="Code_05_301">#REF!</definedName>
    <definedName name="Code_05_400">#REF!</definedName>
    <definedName name="Code_05_611">#REF!</definedName>
    <definedName name="Code_05_620">#REF!</definedName>
    <definedName name="Code_06_100">#REF!</definedName>
    <definedName name="Code_06_200">#REF!</definedName>
    <definedName name="Code_06_211">#REF!</definedName>
    <definedName name="Code_06_301">#REF!</definedName>
    <definedName name="Code_06_410">#REF!</definedName>
    <definedName name="Code_06_500">#REF!</definedName>
    <definedName name="Code_06_651">#REF!</definedName>
    <definedName name="Code_06_800">#REF!</definedName>
    <definedName name="Code_07_400">#REF!</definedName>
    <definedName name="Code_07_402">#REF!</definedName>
    <definedName name="Code_09_101">#REF!</definedName>
    <definedName name="Code_09_201">#REF!</definedName>
    <definedName name="Code_09_205">#REF!</definedName>
    <definedName name="Code_09_311">#REF!</definedName>
    <definedName name="Code_09_331">#REF!</definedName>
    <definedName name="Code_09_401">#REF!</definedName>
    <definedName name="Code_09_601">#REF!</definedName>
    <definedName name="Code_09_701">#REF!</definedName>
    <definedName name="Coding">#REF!</definedName>
    <definedName name="COG" hidden="1">#REF!</definedName>
    <definedName name="COGEN_MAC____0___0">#REF!</definedName>
    <definedName name="COGEN_MAC____0___0___0">#REF!</definedName>
    <definedName name="COGEN_MS_155">#REF!</definedName>
    <definedName name="COGEN_MS_155___0">#REF!</definedName>
    <definedName name="COGEN_MS_155___0___0">#REF!</definedName>
    <definedName name="COGEN_MS_155___0___0___0">#REF!</definedName>
    <definedName name="COGS_00">#REF!</definedName>
    <definedName name="COGS_01">#REF!</definedName>
    <definedName name="COGS_02">#REF!</definedName>
    <definedName name="COGS_03">#REF!</definedName>
    <definedName name="COGS_04">#REF!</definedName>
    <definedName name="COGS_05">#REF!</definedName>
    <definedName name="COGS_06">#REF!</definedName>
    <definedName name="COGS_07">#REF!</definedName>
    <definedName name="COGS_08">#REF!</definedName>
    <definedName name="COGS_99">#REF!</definedName>
    <definedName name="column_id">#REF!</definedName>
    <definedName name="ComBarTitle" hidden="1">"Risk Analysis [loa-category-risk_analysis_v3.7_de.xls]"</definedName>
    <definedName name="Comm_fee">#REF!</definedName>
    <definedName name="commission">#REF!</definedName>
    <definedName name="Company_Name" localSheetId="32">#REF!</definedName>
    <definedName name="Company_Name" localSheetId="26">#REF!</definedName>
    <definedName name="Company_Name">'Master Data'!$C$9</definedName>
    <definedName name="CoName" hidden="1">#REF!</definedName>
    <definedName name="Concat">#REF!</definedName>
    <definedName name="conf_balamended" hidden="1">{#N/A,#N/A,FALSE,"PMTABB";#N/A,#N/A,FALSE,"PMTABB"}</definedName>
    <definedName name="connection_revenue">#REF!</definedName>
    <definedName name="consumption">#REF!</definedName>
    <definedName name="cont_life">#REF!</definedName>
    <definedName name="Contents">#REF!</definedName>
    <definedName name="ContentsHelp" hidden="1">#REF!</definedName>
    <definedName name="ContrbUnit">#REF!</definedName>
    <definedName name="ContrbVal">#REF!</definedName>
    <definedName name="control1" hidden="1">{#N/A,#N/A,TRUE,"Summary - 1";#N/A,#N/A,TRUE,"Summary - 2";#N/A,#N/A,TRUE,"Group Analysis";#N/A,#N/A,TRUE,"FM Analysis";#N/A,#N/A,TRUE,"T&amp;M-Onsite";#N/A,#N/A,TRUE,"FP-Onsite";#N/A,#N/A,TRUE,"NB-Onsite";#N/A,#N/A,TRUE,"T&amp;M-Offshore";#N/A,#N/A,TRUE,"FP-Offshore";#N/A,#N/A,TRUE,"Appendix-A";#N/A,#N/A,TRUE,"Appendix-B"}</definedName>
    <definedName name="conv">#REF!</definedName>
    <definedName name="convertible_bonds">#REF!</definedName>
    <definedName name="Copy" hidden="1">{"'W.W. Summary'!$A$1:$K$37"}</definedName>
    <definedName name="cos">#REF!</definedName>
    <definedName name="cost_of_capital">#REF!</definedName>
    <definedName name="cost_of_debt">#REF!</definedName>
    <definedName name="cost_of_equity">#REF!</definedName>
    <definedName name="Cost_of_materials_consumed">'Grouping Master Data'!$D$2:$D$1048576</definedName>
    <definedName name="COST_OF_SALES">#REF!</definedName>
    <definedName name="Countries">#REF!</definedName>
    <definedName name="COUNTRY">#REF!</definedName>
    <definedName name="cov_perf_99b">#REF!</definedName>
    <definedName name="CP">#REF!</definedName>
    <definedName name="CPI">#REF!</definedName>
    <definedName name="cr"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cr"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cr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cr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crane250t">(14000+2100*(70/250))/65</definedName>
    <definedName name="crane80t">(5000+1200*(70/250))/65</definedName>
    <definedName name="CreateTable" hidden="1">#REF!</definedName>
    <definedName name="creditors">#REF!</definedName>
    <definedName name="CSA" localSheetId="39">#REF!</definedName>
    <definedName name="CSA">#REF!</definedName>
    <definedName name="CSA_1">#REF!</definedName>
    <definedName name="CSA_2">#REF!</definedName>
    <definedName name="CSA_3">#REF!</definedName>
    <definedName name="csDesignMode">1</definedName>
    <definedName name="CTM">#REF!</definedName>
    <definedName name="Cur">#REF!</definedName>
    <definedName name="Currency">#REF!</definedName>
    <definedName name="Currency_Unit">#REF!</definedName>
    <definedName name="Current_Investments">'Grouping Master Data'!$V$2:$V$1048576</definedName>
    <definedName name="Current_Year">#REF!</definedName>
    <definedName name="Customers" hidden="1">{#N/A,#N/A,FALSE,"1996";#N/A,#N/A,FALSE,"1995";#N/A,#N/A,FALSE,"1994"}</definedName>
    <definedName name="cvcvcvcv" hidden="1">{#N/A,#N/A,FALSE,"Hip.Bas";#N/A,#N/A,FALSE,"ventas";#N/A,#N/A,FALSE,"ingre-Año";#N/A,#N/A,FALSE,"ventas-Año";#N/A,#N/A,FALSE,"Costepro";#N/A,#N/A,FALSE,"inversion";#N/A,#N/A,FALSE,"personal";#N/A,#N/A,FALSE,"Gastos-V";#N/A,#N/A,FALSE,"Circulante";#N/A,#N/A,FALSE,"CONSOLI";#N/A,#N/A,FALSE,"Es-Fin";#N/A,#N/A,FALSE,"Margen-P"}</definedName>
    <definedName name="CW" hidden="1">{#N/A,#N/A,FALSE,"COMP"}</definedName>
    <definedName name="CW_1" hidden="1">{#N/A,#N/A,FALSE,"COMP"}</definedName>
    <definedName name="CW_2" hidden="1">{#N/A,#N/A,FALSE,"COMP"}</definedName>
    <definedName name="CW_3" hidden="1">{#N/A,#N/A,FALSE,"COMP"}</definedName>
    <definedName name="CW_4" hidden="1">{#N/A,#N/A,FALSE,"COMP"}</definedName>
    <definedName name="CW_5" hidden="1">{#N/A,#N/A,FALSE,"COMP"}</definedName>
    <definedName name="CWIP">#REF!</definedName>
    <definedName name="CWIPChg">#REF!</definedName>
    <definedName name="Cwvu.GREY_ALL." hidden="1">#REF!</definedName>
    <definedName name="cx"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cxx"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d"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danceps_eu97">#REF!</definedName>
    <definedName name="danceps94">#REF!</definedName>
    <definedName name="danceps95">#REF!</definedName>
    <definedName name="danceps96">#REF!</definedName>
    <definedName name="danceps97">#REF!</definedName>
    <definedName name="dandps_eu01">#REF!</definedName>
    <definedName name="dandps_eu02">#REF!</definedName>
    <definedName name="dandps_eu03">#REF!</definedName>
    <definedName name="dandps_eu97">#REF!</definedName>
    <definedName name="dandps94">#REF!</definedName>
    <definedName name="dandps95">#REF!</definedName>
    <definedName name="dandps96">#REF!</definedName>
    <definedName name="dandps97">#REF!</definedName>
    <definedName name="danebidta96">#REF!</definedName>
    <definedName name="danebidta97">#REF!</definedName>
    <definedName name="daneps_eu01">#REF!</definedName>
    <definedName name="daneps_eu02">#REF!</definedName>
    <definedName name="daneps_eu03">#REF!</definedName>
    <definedName name="daneps_eu97">#REF!</definedName>
    <definedName name="daneps94">#REF!</definedName>
    <definedName name="daneps95">#REF!</definedName>
    <definedName name="daneps96">#REF!</definedName>
    <definedName name="daneps97">#REF!</definedName>
    <definedName name="danepseu_04">#REF!</definedName>
    <definedName name="danshares">#REF!</definedName>
    <definedName name="Dat"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data">#REF!</definedName>
    <definedName name="Data.Dump">#N/A</definedName>
    <definedName name="Data_summary"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data_type_id">#REF!</definedName>
    <definedName name="data1" hidden="1">#REF!</definedName>
    <definedName name="DATA10">#REF!</definedName>
    <definedName name="DATA11">#REF!</definedName>
    <definedName name="DATA12">#REF!</definedName>
    <definedName name="data2" hidden="1">#REF!</definedName>
    <definedName name="data3" hidden="1">#REF!</definedName>
    <definedName name="DATA4">#REF!</definedName>
    <definedName name="DATA5">#REF!</definedName>
    <definedName name="DATA6">#REF!</definedName>
    <definedName name="DATA7">#REF!</definedName>
    <definedName name="DATA8">#REF!</definedName>
    <definedName name="DATA9">#REF!</definedName>
    <definedName name="_xlnm.Database">#REF!</definedName>
    <definedName name="DataRange">#REF!</definedName>
    <definedName name="datarange1">#REF!</definedName>
    <definedName name="DataRange2">#REF!</definedName>
    <definedName name="date">#REF!</definedName>
    <definedName name="day">#REF!</definedName>
    <definedName name="db">"WIREHKPROD"</definedName>
    <definedName name="dbed" hidden="1">{"histincome",#N/A,FALSE,"hyfins";"closing balance",#N/A,FALSE,"hyfins"}</definedName>
    <definedName name="dc"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EY1">#REF!</definedName>
    <definedName name="DCF_EY10">#REF!</definedName>
    <definedName name="DCF_EY14">#REF!</definedName>
    <definedName name="DCF_EY15">#REF!</definedName>
    <definedName name="DCF_EY2">#REF!</definedName>
    <definedName name="DCF_EY24">#REF!</definedName>
    <definedName name="DCF_EY25">#REF!</definedName>
    <definedName name="DCF_EY3">#REF!</definedName>
    <definedName name="DCF_EY4">#REF!</definedName>
    <definedName name="DCF_EY5">#REF!</definedName>
    <definedName name="DCF_EY6">#REF!</definedName>
    <definedName name="DCF_EY7">#REF!</definedName>
    <definedName name="DCF_EY8">#REF!</definedName>
    <definedName name="DCF_EY9">#REF!</definedName>
    <definedName name="dcf_lookup">#REF!</definedName>
    <definedName name="DCF_P">#REF!</definedName>
    <definedName name="dd"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ddd" hidden="1">{"histincome",#N/A,FALSE,"hyfins";"closing balance",#N/A,FALSE,"hyfins"}</definedName>
    <definedName name="dddddd" hidden="1">#REF!</definedName>
    <definedName name="ddde"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ddee" hidden="1">{#N/A,#N/A,FALSE,"Finanzbedarsrechnung"}</definedName>
    <definedName name="de"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debentures">#REF!</definedName>
    <definedName name="debt_at_mv">#REF!</definedName>
    <definedName name="Debt_growth">#REF!</definedName>
    <definedName name="debt_schedule">#REF!</definedName>
    <definedName name="debtnet">#N/A</definedName>
    <definedName name="DEC">#REF!</definedName>
    <definedName name="DECLINE">#REF!</definedName>
    <definedName name="deds" hidden="1">{#N/A,#N/A,FALSE,"Layout GuV"}</definedName>
    <definedName name="deferred_tax_assets">#REF!</definedName>
    <definedName name="deferred_tax_liabilities">#REF!</definedName>
    <definedName name="delet" localSheetId="39">#REF!</definedName>
    <definedName name="delet">#REF!</definedName>
    <definedName name="delet_1" localSheetId="39">#REF!</definedName>
    <definedName name="delet_1">#REF!</definedName>
    <definedName name="delet_2" localSheetId="39">#REF!</definedName>
    <definedName name="delet_2">#REF!</definedName>
    <definedName name="delet_3" localSheetId="39">#REF!</definedName>
    <definedName name="delet_3">#REF!</definedName>
    <definedName name="DeleteRange" hidden="1">#REF!</definedName>
    <definedName name="DeleteTable" hidden="1">#REF!</definedName>
    <definedName name="Deletions">#REF!</definedName>
    <definedName name="Deletions_1">#REF!</definedName>
    <definedName name="Deletions_2">#REF!</definedName>
    <definedName name="Deletions_3">#REF!</definedName>
    <definedName name="Delinked" hidden="1">"Y"</definedName>
    <definedName name="DEMI_MAC___0">#REF!</definedName>
    <definedName name="Dep" hidden="1">{"'subnets'!$A$1:$F$20"}</definedName>
    <definedName name="Dep_and_Amort">#REF!</definedName>
    <definedName name="depcon">#REF!</definedName>
    <definedName name="depit" hidden="1">#REF!</definedName>
    <definedName name="deposit">#REF!</definedName>
    <definedName name="depreciation_fixed_assets">#REF!</definedName>
    <definedName name="depreciation_other">#REF!</definedName>
    <definedName name="DEPRI" hidden="1">#REF!</definedName>
    <definedName name="dept">#REF!</definedName>
    <definedName name="DeptName">#REF!</definedName>
    <definedName name="Description">#REF!</definedName>
    <definedName name="DETAILED" hidden="1">{#N/A,#N/A,FALSE,"Balance Sheet";#N/A,#N/A,FALSE,"Profit &amp; Loss ";#N/A,#N/A,FALSE,"Schedule-1";#N/A,#N/A,FALSE,"Schedule-2";#N/A,#N/A,FALSE,"Schedule-3";#N/A,#N/A,FALSE,"Schedule-4 ";#N/A,#N/A,FALSE,"Schedule-5";#N/A,#N/A,FALSE,"Schedule-6,7,8,9";#N/A,#N/A,FALSE,"Schedule-10,11";#N/A,#N/A,FALSE,"Schedule-12,13,14,15";#N/A,#N/A,FALSE,"Scdedule-16"}</definedName>
    <definedName name="DEVELOPMENT">5</definedName>
    <definedName name="df" hidden="1">{#N/A,#N/A,FALSE,"Status of Projects";#N/A,#N/A,FALSE,"CEA-TEC";#N/A,#N/A,FALSE,"U-Constr.";#N/A,#N/A,FALSE,"summary";#N/A,#N/A,FALSE,"PPP-3 yrs"}</definedName>
    <definedName name="df_analysis">#REF!</definedName>
    <definedName name="dfd" hidden="1">{#N/A,#N/A,TRUE,"Economic Indicators";#N/A,#N/A,TRUE,"Cracker Shutdown schedule";#N/A,#N/A,TRUE,"Benzene Shutdown schedule";#N/A,#N/A,TRUE,"PX Shutdown schedule";#N/A,#N/A,TRUE,"Financials";#N/A,#N/A,TRUE,"Prices&amp;Margins";#N/A,#N/A,TRUE,"Demand-supply";#N/A,#N/A,TRUE,"Polymers-Ind Sum-1999-2000";#N/A,#N/A,TRUE,"Polymers-Ind Sum-Q4";#N/A,#N/A,TRUE,"Polymers-Ind Sum-Q3";#N/A,#N/A,TRUE,"Polymers-Ind Sum-Q4overQ3";#N/A,#N/A,TRUE,"RIL-Q4-Prodn-Sales";#N/A,#N/A,TRUE,"RIL-Q4-Prices";#N/A,#N/A,TRUE,"RIL-Q4-Feedstock";#N/A,#N/A,TRUE,"IPCL-Q4-Prodn-Sales";#N/A,#N/A,TRUE,"IPCL-Q4-Prices";#N/A,#N/A,TRUE,"IPCL-Q4-Feedstock";#N/A,#N/A,TRUE,"NOCIL-Q4-Prodn-Sales";#N/A,#N/A,TRUE,"NOCIL-Q4-Prices";#N/A,#N/A,TRUE,"GAIL-Q4-Prodn-Sales";#N/A,#N/A,TRUE,"GAIL-Q4-Prices"}</definedName>
    <definedName name="dfdfd">#REF!</definedName>
    <definedName name="dfg" hidden="1">{#N/A,#N/A,FALSE,"COMP"}</definedName>
    <definedName name="dfgfd" hidden="1">{#N/A,#N/A,FALSE,"COMP"}</definedName>
    <definedName name="dfsdfasdf" hidden="1">{#N/A,#N/A,FALSE,"Hip.Bas";#N/A,#N/A,FALSE,"ventas";#N/A,#N/A,FALSE,"ingre-Año";#N/A,#N/A,FALSE,"ventas-Año";#N/A,#N/A,FALSE,"Costepro";#N/A,#N/A,FALSE,"inversion";#N/A,#N/A,FALSE,"personal";#N/A,#N/A,FALSE,"Gastos-V";#N/A,#N/A,FALSE,"Circulante";#N/A,#N/A,FALSE,"CONSOLI";#N/A,#N/A,FALSE,"Es-Fin";#N/A,#N/A,FALSE,"Margen-P"}</definedName>
    <definedName name="dgdg" hidden="1">{#N/A,#N/A,FALSE,"Calc";#N/A,#N/A,FALSE,"Sensitivity";#N/A,#N/A,FALSE,"LT Earn.Dil.";#N/A,#N/A,FALSE,"Dil. AVP"}</definedName>
    <definedName name="dgdgss" hidden="1">{"consolidated",#N/A,FALSE,"Sheet1";"cms",#N/A,FALSE,"Sheet1";"fse",#N/A,FALSE,"Sheet1"}</definedName>
    <definedName name="DHS" hidden="1">{#N/A,#N/A,TRUE,"constb"}</definedName>
    <definedName name="DilEqSh">#REF!</definedName>
    <definedName name="Disclaimer">#REF!</definedName>
    <definedName name="Discount" hidden="1">#REF!</definedName>
    <definedName name="DispFmt" hidden="1">#REF!</definedName>
    <definedName name="display_area_2" hidden="1">#REF!</definedName>
    <definedName name="div">#REF!</definedName>
    <definedName name="Dividend">#REF!</definedName>
    <definedName name="dividend_paid">#REF!</definedName>
    <definedName name="dividends_payable">#REF!</definedName>
    <definedName name="Division">#REF!</definedName>
    <definedName name="DivOut">#REF!</definedName>
    <definedName name="DivTax">#REF!</definedName>
    <definedName name="DME_BeforeCloseCompleted" hidden="1">"True"</definedName>
    <definedName name="DME_DocumentFlags" hidden="1">"1"</definedName>
    <definedName name="DME_DocumentID" hidden="1">"::ODMA\DME-MSE\London-24631"</definedName>
    <definedName name="DME_DocumentOpened" hidden="1">"True"</definedName>
    <definedName name="DME_DocumentTitle" hidden="1">"London-24631 - Standard Model"</definedName>
    <definedName name="DME_LocalFile" hidden="1">"False"</definedName>
    <definedName name="DME_NextWindowNumber" hidden="1">"2"</definedName>
    <definedName name="dps_00">#REF!</definedName>
    <definedName name="dps_01">#REF!</definedName>
    <definedName name="dps_02">#REF!</definedName>
    <definedName name="dps_03">#REF!</definedName>
    <definedName name="dps_04">#REF!</definedName>
    <definedName name="Drangev3">#REF!</definedName>
    <definedName name="drivers1">#REF!</definedName>
    <definedName name="drivers2">#REF!</definedName>
    <definedName name="drivers3">#REF!</definedName>
    <definedName name="DRUCKBEREI03">#REF!</definedName>
    <definedName name="drydjfj" localSheetId="39">#REF!</definedName>
    <definedName name="drydjfj">#REF!</definedName>
    <definedName name="dsdas"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dsdas"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dsdas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dsdas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dsg" hidden="1">{#N/A,#N/A,FALSE,"Calc";#N/A,#N/A,FALSE,"Sensitivity";#N/A,#N/A,FALSE,"LT Earn.Dil.";#N/A,#N/A,FALSE,"Dil. AVP"}</definedName>
    <definedName name="dss" hidden="1">{#N/A,#N/A,FALSE,"ACQ_GRAPHS";#N/A,#N/A,FALSE,"T_1 GRAPHS";#N/A,#N/A,FALSE,"T_2 GRAPHS";#N/A,#N/A,FALSE,"COMB_GRAPHS"}</definedName>
    <definedName name="DSV4DECOMP">#REF!</definedName>
    <definedName name="DSV5DECOMP">#REF!</definedName>
    <definedName name="DSV6DECOMP">#REF!</definedName>
    <definedName name="DTE">#REF!</definedName>
    <definedName name="Dubai">#REF!</definedName>
    <definedName name="durga" hidden="1">{#N/A,#N/A,FALSE,"Status of Projects";#N/A,#N/A,FALSE,"CEA-TEC";#N/A,#N/A,FALSE,"U-Constr.";#N/A,#N/A,FALSE,"summary";#N/A,#N/A,FALSE,"PPP-3 yrs"}</definedName>
    <definedName name="e" hidden="1">{#N/A,#N/A,FALSE,"Layout GuV"}</definedName>
    <definedName name="e_1" hidden="1">{"page1",#N/A,FALSE,"A";"page2",#N/A,FALSE,"A"}</definedName>
    <definedName name="e_2" hidden="1">{"page1",#N/A,FALSE,"A";"page2",#N/A,FALSE,"A"}</definedName>
    <definedName name="e_3" hidden="1">{"page1",#N/A,FALSE,"A";"page2",#N/A,FALSE,"A"}</definedName>
    <definedName name="e_4" hidden="1">{"page1",#N/A,FALSE,"A";"page2",#N/A,FALSE,"A"}</definedName>
    <definedName name="e_5" hidden="1">{"page1",#N/A,FALSE,"A";"page2",#N/A,FALSE,"A"}</definedName>
    <definedName name="E2E">#REF!,#REF!,#REF!</definedName>
    <definedName name="E3E">#REF!,#REF!,#REF!</definedName>
    <definedName name="E4E">#REF!,#REF!,#REF!</definedName>
    <definedName name="E5E">#REF!,#REF!,#REF!</definedName>
    <definedName name="eaf" hidden="1">#REF!</definedName>
    <definedName name="EarnChk">#REF!</definedName>
    <definedName name="EBDT">#REF!</definedName>
    <definedName name="ebida">#REF!</definedName>
    <definedName name="ebida_core_activity">#REF!</definedName>
    <definedName name="EBIT_00">#REF!</definedName>
    <definedName name="EBIT_01">#REF!</definedName>
    <definedName name="EBIT_02">#REF!</definedName>
    <definedName name="EBIT_03">#REF!</definedName>
    <definedName name="EBIT_04">#REF!</definedName>
    <definedName name="EBIT_05">#REF!</definedName>
    <definedName name="EBIT_06">#REF!</definedName>
    <definedName name="EBIT_07">#REF!</definedName>
    <definedName name="EBIT_08">#REF!</definedName>
    <definedName name="ebit_1997">#REF!</definedName>
    <definedName name="ebit_2005">#REF!</definedName>
    <definedName name="EBIT_96">#REF!</definedName>
    <definedName name="EBIT_97">#REF!</definedName>
    <definedName name="EBIT_98">#REF!</definedName>
    <definedName name="EBIT_99">#REF!</definedName>
    <definedName name="ebit_core_activity">#REF!</definedName>
    <definedName name="EBIT_growth_1997">#REF!</definedName>
    <definedName name="EBIT_growth_97">#REF!</definedName>
    <definedName name="EBIT_margin">#REF!</definedName>
    <definedName name="EBIT_margin_1996">#REF!</definedName>
    <definedName name="EBIT_margin_1997">#REF!</definedName>
    <definedName name="EBIT_margin_97">#REF!</definedName>
    <definedName name="ebit_mltple">#REF!</definedName>
    <definedName name="ebit_plc_00">#REF!</definedName>
    <definedName name="ebit_plc_01">#REF!</definedName>
    <definedName name="ebit_plc_02">#REF!</definedName>
    <definedName name="ebit00">#REF!</definedName>
    <definedName name="ebit01">#REF!</definedName>
    <definedName name="ebit02">#REF!</definedName>
    <definedName name="ebit03">#REF!</definedName>
    <definedName name="ebit04">#REF!</definedName>
    <definedName name="EBITA">#REF!</definedName>
    <definedName name="EBITDA_00">#REF!</definedName>
    <definedName name="EBITDA_01">#REF!</definedName>
    <definedName name="EBITDA_02">#REF!</definedName>
    <definedName name="EBITDA_03">#REF!</definedName>
    <definedName name="EBITDA_04">#REF!</definedName>
    <definedName name="EBITDA_05">#REF!</definedName>
    <definedName name="EBITDA_06">#REF!</definedName>
    <definedName name="EBITDA_07">#REF!</definedName>
    <definedName name="EBITDA_08">#REF!</definedName>
    <definedName name="EBITDA_94">#REF!</definedName>
    <definedName name="EBITDA_95">#REF!</definedName>
    <definedName name="EBITDA_96">#REF!</definedName>
    <definedName name="EBITDA_97">#REF!</definedName>
    <definedName name="EBITDA_98">#REF!</definedName>
    <definedName name="EBITDA_99">#REF!</definedName>
    <definedName name="EBITDA_CAL01">#REF!</definedName>
    <definedName name="EBITDA_CAL02">#REF!</definedName>
    <definedName name="EBITDA_CAL95">#REF!</definedName>
    <definedName name="EBITDA_CAL96">#REF!</definedName>
    <definedName name="EBITDA_CAL97">#REF!</definedName>
    <definedName name="EBITDA_CAL98">#REF!</definedName>
    <definedName name="EBITDA_CAL99">#REF!</definedName>
    <definedName name="ebitda_core_activity">#REF!</definedName>
    <definedName name="EBITDA_DCF">#REF!</definedName>
    <definedName name="ebitda_eu01">#REF!</definedName>
    <definedName name="ebitda_eu02">#REF!</definedName>
    <definedName name="ebitda_eu03">#REF!</definedName>
    <definedName name="ebitda_eu04">#REF!</definedName>
    <definedName name="ebitda_eu97">#REF!</definedName>
    <definedName name="EBITDA_margin">#REF!</definedName>
    <definedName name="EBITDA94">#REF!</definedName>
    <definedName name="EbitdaCalc" hidden="1">{#N/A,#N/A,FALSE,"One Pager";#N/A,#N/A,FALSE,"Technical"}</definedName>
    <definedName name="ed" hidden="1">{"'W.W. Summary'!$A$1:$K$37"}</definedName>
    <definedName name="EDvTax">#REF!</definedName>
    <definedName name="ee" hidden="1">{#N/A,#N/A,FALSE,"Hip.Bas";#N/A,#N/A,FALSE,"ventas";#N/A,#N/A,FALSE,"ingre-Año";#N/A,#N/A,FALSE,"ventas-Año";#N/A,#N/A,FALSE,"Costepro";#N/A,#N/A,FALSE,"inversion";#N/A,#N/A,FALSE,"personal";#N/A,#N/A,FALSE,"Gastos-V";#N/A,#N/A,FALSE,"Circulante";#N/A,#N/A,FALSE,"CONSOLI";#N/A,#N/A,FALSE,"Es-Fin";#N/A,#N/A,FALSE,"Margen-P"}</definedName>
    <definedName name="eeeeeeeeeeee" hidden="1">#REF!</definedName>
    <definedName name="EFD" hidden="1">{#N/A,#N/A,FALSE,"COMP"}</definedName>
    <definedName name="effective_tax">#REF!</definedName>
    <definedName name="EffEqShAd">#REF!</definedName>
    <definedName name="efve" hidden="1">{#N/A,#N/A,FALSE,"Aging Summary";#N/A,#N/A,FALSE,"Ratio Analysis";#N/A,#N/A,FALSE,"Test 120 Day Accts";#N/A,#N/A,FALSE,"Tickmarks"}</definedName>
    <definedName name="EGP">#REF!</definedName>
    <definedName name="electricwelder">220/65</definedName>
    <definedName name="Eliminations06" hidden="1">{"'W.W. Summary'!$A$1:$K$37"}</definedName>
    <definedName name="emily" hidden="1">{#N/A,#N/A,FALSE,"Calc";#N/A,#N/A,FALSE,"Sensitivity";#N/A,#N/A,FALSE,"LT Earn.Dil.";#N/A,#N/A,FALSE,"Dil. AVP"}</definedName>
    <definedName name="employee">#REF!</definedName>
    <definedName name="Employee_Benefit_Expenses">'Grouping Master Data'!$E$2:$E$1048576</definedName>
    <definedName name="employee_expenses">#REF!</definedName>
    <definedName name="END_CAPS_COST">#REF!</definedName>
    <definedName name="ENER_MAC">#REF!</definedName>
    <definedName name="ENER_MAC___0">#REF!</definedName>
    <definedName name="EnEsMode" hidden="1">#REF!</definedName>
    <definedName name="engineer">96.92</definedName>
    <definedName name="enterprise_value_core">#REF!</definedName>
    <definedName name="EntityComboCacheDate" hidden="1">39099</definedName>
    <definedName name="EntityComboCacheTestDate" hidden="1">39099</definedName>
    <definedName name="EnYrRng" hidden="1">#REF!</definedName>
    <definedName name="EP">#REF!</definedName>
    <definedName name="EPS">#REF!</definedName>
    <definedName name="eps_1997">#REF!</definedName>
    <definedName name="EPS_95">#REF!</definedName>
    <definedName name="EPS_96">#REF!</definedName>
    <definedName name="EPS_CAL01">#REF!</definedName>
    <definedName name="EPS_CAL02">#REF!</definedName>
    <definedName name="EPS_CAL95">#REF!</definedName>
    <definedName name="EPS_CAL96">#REF!</definedName>
    <definedName name="EPS_CAL97">#REF!</definedName>
    <definedName name="EPS_CAL98">#REF!</definedName>
    <definedName name="EPS_CAL99">#REF!</definedName>
    <definedName name="eps_eu_01">#REF!</definedName>
    <definedName name="eps_eu_02">#REF!</definedName>
    <definedName name="eps_eu_03">#REF!</definedName>
    <definedName name="eps_eu_97">#REF!</definedName>
    <definedName name="eps_growth">#REF!</definedName>
    <definedName name="EPS_growth_1997">#REF!</definedName>
    <definedName name="EPS_growth_97">#REF!</definedName>
    <definedName name="eps_nv_eu_01">#REF!</definedName>
    <definedName name="eps_plc_01">#REF!</definedName>
    <definedName name="EPSdil_95">#REF!</definedName>
    <definedName name="EPSdil_96">#REF!</definedName>
    <definedName name="EqDiv">#REF!</definedName>
    <definedName name="EqMult" hidden="1">#REF!</definedName>
    <definedName name="Equity">#REF!</definedName>
    <definedName name="Equity_capital_contribution">#REF!</definedName>
    <definedName name="Equity_Del_Item">#REF!</definedName>
    <definedName name="Equity_Ins_Item">#REF!</definedName>
    <definedName name="equity_raised">#REF!</definedName>
    <definedName name="ERTFDSG" hidden="1">{#N/A,#N/A,FALSE,"PGW"}</definedName>
    <definedName name="eryery" hidden="1">{TRUE,TRUE,-1.25,-15.5,484.5,255,FALSE,FALSE,TRUE,FALSE,0,2,16,1,6,13,5,4,TRUE,TRUE,3,TRUE,1,TRUE,75,"Swvu.A.","ACwvu.A.",#N/A,FALSE,FALSE,0.2,0.22,1,0.641,2,"&amp;L&amp;""Arial,Bold""&amp;11Essar Projects Limited
EOL Refinery Project&amp;C&amp;""Arial,Bold""&amp;14TOTAL REFINERY PROJECT
REFINERY FACILITIES AND TERMINAL/MARKETING FACILITIES&amp;R&amp;""Arial,Bold""&amp;12Updated as on 17th November, 1997","&amp;L&amp;""Poster Bodoni ATT,Bold""&amp;12Prepared By : EPL (Planning and Cost Control)&amp;R&amp;D, &amp;T",TRUE,FALSE,FALSE,FALSE,1,#N/A,1,1,#DIV/0!,"=R1:R5","Rwvu.A.","Cwvu.A.",FALSE,FALSE,FALSE,8,65532,65532,FALSE,FALSE,TRUE,TRUE,TRUE}</definedName>
    <definedName name="EstInt">#REF!</definedName>
    <definedName name="EstRef" hidden="1">#REF!</definedName>
    <definedName name="EsYrRng" hidden="1">#REF!</definedName>
    <definedName name="etc" hidden="1">#REF!</definedName>
    <definedName name="etet" hidden="1">{#N/A,#N/A,FALSE,"Calc";#N/A,#N/A,FALSE,"Sensitivity";#N/A,#N/A,FALSE,"LT Earn.Dil.";#N/A,#N/A,FALSE,"Dil. AVP"}</definedName>
    <definedName name="ETP_CSL">#REF!</definedName>
    <definedName name="ETP_CSL___0">#REF!</definedName>
    <definedName name="ETP_EF">#REF!</definedName>
    <definedName name="ETP_FRT">#REF!</definedName>
    <definedName name="ETP_FRT_335">#REF!</definedName>
    <definedName name="ETP_FRT_335___0">#REF!</definedName>
    <definedName name="ETP_FRT_335___0___0">#REF!</definedName>
    <definedName name="ETP_FRT_335___0___0___0">#REF!</definedName>
    <definedName name="ETP_LBR">#REF!</definedName>
    <definedName name="ETP_LBR___0">#REF!</definedName>
    <definedName name="ETP_LBR_311">#REF!</definedName>
    <definedName name="ETP_LBR_311___0">#REF!</definedName>
    <definedName name="ETP_LBR_311___0___0">#REF!</definedName>
    <definedName name="ETP_LBR_311___0___0___0">#REF!</definedName>
    <definedName name="ETP_MAC">#REF!</definedName>
    <definedName name="ETP_MAC_">#REF!</definedName>
    <definedName name="ETP_MAC____0">#REF!</definedName>
    <definedName name="ETP_MAC____0___0">#REF!</definedName>
    <definedName name="ETP_MAC____0___0___0">#REF!</definedName>
    <definedName name="ETP_MS">#REF!</definedName>
    <definedName name="ETP_MS_305">#REF!</definedName>
    <definedName name="ETP_MS_305___0">#REF!</definedName>
    <definedName name="ETP_MS_305___0___0">#REF!</definedName>
    <definedName name="ETP_MS_305___0___0___0">#REF!</definedName>
    <definedName name="euro">#REF!</definedName>
    <definedName name="ev.Calculation" hidden="1">-4135</definedName>
    <definedName name="ev.Initialized" hidden="1">FALSE</definedName>
    <definedName name="EV__LASTREFTIME__" hidden="1">39534.5201388889</definedName>
    <definedName name="ev_ic">#REF!</definedName>
    <definedName name="EVA">#REF!</definedName>
    <definedName name="exc" hidden="1">{"'Sheet1'!$A$4386:$N$4591"}</definedName>
    <definedName name="exc_assn">#REF!</definedName>
    <definedName name="Excel_BuiltIn__FilterDatabase">#REF!</definedName>
    <definedName name="Excel_BuiltIn__FilterDatabase_1">#REF!</definedName>
    <definedName name="Excel_BuiltIn__FilterDatabase_2">#REF!</definedName>
    <definedName name="Excel_BuiltIn__FilterDatabase_3" localSheetId="39">#REF!</definedName>
    <definedName name="Excel_BuiltIn__FilterDatabase_3">#REF!</definedName>
    <definedName name="Excel_BuiltIn__FilterDatabase_5">#REF!</definedName>
    <definedName name="Excel_BuiltIn_Print_Area_1" localSheetId="39">#REF!</definedName>
    <definedName name="Excel_BuiltIn_Print_Area_1">#REF!</definedName>
    <definedName name="Excel_BuiltIn_Print_Area_1_1">#REF!</definedName>
    <definedName name="Excel_BuiltIn_Print_Area_12">#REF!</definedName>
    <definedName name="Excel_BuiltIn_Print_Area_2">#REF!</definedName>
    <definedName name="Excel_BuiltIn_Print_Area_3">#REF!</definedName>
    <definedName name="Excel_BuiltIn_Print_Area_4" localSheetId="39">#REF!</definedName>
    <definedName name="Excel_BuiltIn_Print_Area_4">#REF!</definedName>
    <definedName name="Excel_BuiltIn_Print_Area_4_1" localSheetId="39">#REF!</definedName>
    <definedName name="Excel_BuiltIn_Print_Area_4_1">#REF!</definedName>
    <definedName name="Excel_BuiltIn_Print_Area_4_2" localSheetId="39">#REF!</definedName>
    <definedName name="Excel_BuiltIn_Print_Area_4_2">#REF!</definedName>
    <definedName name="Excel_BuiltIn_Print_Area_4_3" localSheetId="39">#REF!</definedName>
    <definedName name="Excel_BuiltIn_Print_Area_4_3">#REF!</definedName>
    <definedName name="Excel_BuiltIn_Print_Area_4_5">NA()</definedName>
    <definedName name="Excel_BuiltIn_Print_Area_4_7">#REF!</definedName>
    <definedName name="Excel_BuiltIn_Print_Area_4_8">#REF!</definedName>
    <definedName name="Excel_BuiltIn_Print_Area_5">#REF!</definedName>
    <definedName name="Excel_BuiltIn_Print_Area_6">#REF!</definedName>
    <definedName name="Excel_BuiltIn_Print_Area_7">#REF!</definedName>
    <definedName name="ExcelPath">#N/A</definedName>
    <definedName name="Excess_cash">#REF!</definedName>
    <definedName name="EXCH_AUD">1.446</definedName>
    <definedName name="EXCH_CAD">1.3167</definedName>
    <definedName name="EXCH_CLP">626.8</definedName>
    <definedName name="EXCH_SGD">1.7069</definedName>
    <definedName name="exchange">#REF!</definedName>
    <definedName name="excise">#REF!</definedName>
    <definedName name="EXHT" hidden="1">15</definedName>
    <definedName name="ExItem">#REF!</definedName>
    <definedName name="ExpAdmDmy">#REF!</definedName>
    <definedName name="ExpenseCodeLabels">#REF!</definedName>
    <definedName name="ExpensesCap">#REF!</definedName>
    <definedName name="ExpMfgDmy" hidden="1">#REF!</definedName>
    <definedName name="ExpPerDmy" hidden="1">#REF!</definedName>
    <definedName name="ExpPr">#REF!</definedName>
    <definedName name="ExpSaleDmy" hidden="1">#REF!</definedName>
    <definedName name="exrate">#REF!</definedName>
    <definedName name="ExternalData_1" localSheetId="10" hidden="1">'TB Grouping'!$B$10:$F$365</definedName>
    <definedName name="ExternalData_1" localSheetId="6" hidden="1">'TB Link'!$A$5:$E$1088</definedName>
    <definedName name="ExternalData_2" localSheetId="6" hidden="1">'TB Link'!$G$5:$K$7220</definedName>
    <definedName name="ExternalData_3" localSheetId="6" hidden="1">'TB Link'!$M$5:$Q$105</definedName>
    <definedName name="f" hidden="1">{#N/A,#N/A,FALSE,"Layout Aktiva";#N/A,#N/A,FALSE,"Layout Passiva";#N/A,#N/A,FALSE,"Layout GuV";#N/A,#N/A,FALSE,"Layout Cash Flow";#N/A,#N/A,FALSE,"Mittelherkunft";#N/A,#N/A,FALSE,"Mittelverwendung";#N/A,#N/A,FALSE,"Finanzbedarsrechnung"}</definedName>
    <definedName name="ｆ" hidden="1">"iQShowAnnual"</definedName>
    <definedName name="fa" hidden="1">{#N/A,#N/A,FALSE,"2"}</definedName>
    <definedName name="FaceVal" hidden="1">#REF!</definedName>
    <definedName name="facility">#REF!</definedName>
    <definedName name="FAIncr">#REF!</definedName>
    <definedName name="FAR_Supporting">{#N/A,#N/A,FALSE,"cash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FARedc">#REF!</definedName>
    <definedName name="FASer" hidden="1">#REF!</definedName>
    <definedName name="fcd"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FCode" hidden="1">#REF!</definedName>
    <definedName name="fcuk" hidden="1">{"by departments",#N/A,TRUE,"FORECAST";"cap_headcount",#N/A,TRUE,"FORECAST";"summary",#N/A,TRUE,"FORECAST"}</definedName>
    <definedName name="FD">#REF!</definedName>
    <definedName name="FDEPS">#REF!</definedName>
    <definedName name="FDEqSh">#REF!</definedName>
    <definedName name="fdfwegerger" hidden="1">{#N/A,#N/A,FALSE,"Cash Flows";#N/A,#N/A,FALSE,"Fixed Assets";#N/A,#N/A,FALSE,"Balance Sheet";#N/A,#N/A,FALSE,"P &amp; L"}</definedName>
    <definedName name="fdgsd" hidden="1">{#N/A,#N/A,FALSE,"COMP"}</definedName>
    <definedName name="fds" hidden="1">{#N/A,#N/A,FALSE,"Hip.Bas";#N/A,#N/A,FALSE,"ventas";#N/A,#N/A,FALSE,"ingre-Año";#N/A,#N/A,FALSE,"ventas-Año";#N/A,#N/A,FALSE,"Costepro";#N/A,#N/A,FALSE,"inversion";#N/A,#N/A,FALSE,"personal";#N/A,#N/A,FALSE,"Gastos-V";#N/A,#N/A,FALSE,"Circulante";#N/A,#N/A,FALSE,"CONSOLI";#N/A,#N/A,FALSE,"Es-Fin";#N/A,#N/A,FALSE,"Margen-P"}</definedName>
    <definedName name="fdskj" hidden="1">{#N/A,#N/A,FALSE,"Model";#N/A,#N/A,FALSE,"Division"}</definedName>
    <definedName name="fe" hidden="1">{#N/A,#N/A,FALSE,"Layout GuV"}</definedName>
    <definedName name="FEB">#REF!</definedName>
    <definedName name="fec" hidden="1">#REF!</definedName>
    <definedName name="ff" hidden="1">{"'W.W. Summary'!$A$1:$K$37"}</definedName>
    <definedName name="ffy" hidden="1">{#N/A,#N/A,FALSE,"FY97";#N/A,#N/A,FALSE,"FY98";#N/A,#N/A,FALSE,"FY99";#N/A,#N/A,FALSE,"FY00";#N/A,#N/A,FALSE,"FY01"}</definedName>
    <definedName name="FG" hidden="1">{#N/A,#N/A,FALSE,"Status of Projects";#N/A,#N/A,FALSE,"CEA-TEC";#N/A,#N/A,FALSE,"U-Constr.";#N/A,#N/A,FALSE,"summary";#N/A,#N/A,FALSE,"PPP-3 yrs"}</definedName>
    <definedName name="FGHFDH" hidden="1">{TRUE,TRUE,-1.25,-15.5,484.5,255,FALSE,FALSE,TRUE,FALSE,0,2,16,1,6,13,5,4,TRUE,TRUE,3,TRUE,1,TRUE,75,"Swvu.A.","ACwvu.A.",#N/A,FALSE,FALSE,0.2,0.22,1,0.641,2,"&amp;L&amp;""Arial,Bold""&amp;11Essar Projects Limited
EOL Refinery Project&amp;C&amp;""Arial,Bold""&amp;14TOTAL REFINERY PROJECT
REFINERY FACILITIES AND TERMINAL/MARKETING FACILITIES&amp;R&amp;""Arial,Bold""&amp;12Updated as on 17th November, 1997","&amp;L&amp;""Poster Bodoni ATT,Bold""&amp;12Prepared By : EPL (Planning and Cost Control)&amp;R&amp;D, &amp;T",TRUE,FALSE,FALSE,FALSE,1,#N/A,1,1,#DIV/0!,"=R1:R5","Rwvu.A.","Cwvu.A.",FALSE,FALSE,FALSE,8,65532,65532,FALSE,FALSE,TRUE,TRUE,TRUE}</definedName>
    <definedName name="FGHFH" hidden="1">{#N/A,#N/A,FALSE,"PGW"}</definedName>
    <definedName name="fgs" hidden="1">{#N/A,#N/A,FALSE,"COMP"}</definedName>
    <definedName name="fgsdf">GL #REF!</definedName>
    <definedName name="fgsg" hidden="1">{"consolidated",#N/A,FALSE,"Sheet1";"cms",#N/A,FALSE,"Sheet1";"fse",#N/A,FALSE,"Sheet1"}</definedName>
    <definedName name="FHJFJF" hidden="1">{TRUE,TRUE,-1.25,-15.5,484.5,255,FALSE,FALSE,TRUE,FALSE,0,2,16,1,6,13,5,4,TRUE,TRUE,3,TRUE,1,TRUE,75,"Swvu.A.","ACwvu.A.",#N/A,FALSE,FALSE,0.2,0.22,1,0.641,2,"&amp;L&amp;""Arial,Bold""&amp;11Essar Projects Limited
EOL Refinery Project&amp;C&amp;""Arial,Bold""&amp;14TOTAL REFINERY PROJECT
REFINERY FACILITIES AND TERMINAL/MARKETING FACILITIES&amp;R&amp;""Arial,Bold""&amp;12Updated as on 17th November, 1997","&amp;L&amp;""Poster Bodoni ATT,Bold""&amp;12Prepared By : EPL (Planning and Cost Control)&amp;R&amp;D, &amp;T",TRUE,FALSE,FALSE,FALSE,1,#N/A,1,1,#DIV/0!,"=R1:R5","Rwvu.A.","Cwvu.A.",FALSE,FALSE,FALSE,8,65532,65532,FALSE,FALSE,TRUE,TRUE,TRUE}</definedName>
    <definedName name="fiber_upgrade">#REF!</definedName>
    <definedName name="figure">#REF!</definedName>
    <definedName name="Fill" hidden="1">#REF!</definedName>
    <definedName name="Finance_costs">'Grouping Master Data'!$F$2:$F$1048576</definedName>
    <definedName name="FINCriteriaType">1</definedName>
    <definedName name="Fine" localSheetId="39">#REF!</definedName>
    <definedName name="Fine">#REF!</definedName>
    <definedName name="Fine_1" localSheetId="39">\\KIRIT\:#REF!</definedName>
    <definedName name="Fine_1">\\KIRIT\:#REF!</definedName>
    <definedName name="Fine_2" localSheetId="39">\\KIRIT\:#REF!</definedName>
    <definedName name="Fine_2">\\KIRIT\:#REF!</definedName>
    <definedName name="Fine_3" localSheetId="39">#REF!</definedName>
    <definedName name="Fine_3">#REF!</definedName>
    <definedName name="FinInc">#REF!</definedName>
    <definedName name="First_historic_Year">#REF!</definedName>
    <definedName name="FirstSunday">#REF!</definedName>
    <definedName name="fix" hidden="1">{"assets_99",#N/A,FALSE,"CONSOL";"liabilities_99",#N/A,FALSE,"CONSOL";"pl_99",#N/A,FALSE,"CONSOL";"Corp_99_assets",#N/A,FALSE,"CORP";"Corp_99_liab",#N/A,FALSE,"CORP";"Corp_99_PL",#N/A,FALSE,"CORP";"SMT_99_assets",#N/A,FALSE,"SMTEK";"SMT_99_liab",#N/A,FALSE,"SMTEK";"SMT_99_PL",#N/A,FALSE,"SMTEK";"Jolt_99_assets",#N/A,FALSE,"JOLT";"Jolt_99_liab",#N/A,FALSE,"JOLT";"Jolt_99_PL",#N/A,FALSE,"JOLT";"Irlan_99_assets",#N/A,FALSE,"IRLAN";"Irlan_99_liab",#N/A,FALSE,"IRLAN";"Irlan_99_PL",#N/A,FALSE,"IRLAN";"DDL-E_99_assets",#N/A,FALSE,"DDL-E";"DDL-E_99_liab",#N/A,FALSE,"DDL-E";"DDL-E_99_PL",#N/A,FALSE,"DDL-E"}</definedName>
    <definedName name="Fixed_asset_turns">#REF!</definedName>
    <definedName name="Fixed_assets">#REF!</definedName>
    <definedName name="FixExp">#REF!</definedName>
    <definedName name="FLANGE_PROTECTION_COST">#REF!</definedName>
    <definedName name="flash" hidden="1">#REF!</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castPeriod" hidden="1">#REF!</definedName>
    <definedName name="FOREIGN_EXCHANG">#REF!</definedName>
    <definedName name="forex">#REF!</definedName>
    <definedName name="forex_gains_losses">#REF!</definedName>
    <definedName name="FP" hidden="1">{#N/A,#N/A,TRUE,"Summary - 1";#N/A,#N/A,TRUE,"Summary - 2";#N/A,#N/A,TRUE,"Group Analysis";#N/A,#N/A,TRUE,"FM Analysis";#N/A,#N/A,TRUE,"T&amp;M-Onsite";#N/A,#N/A,TRUE,"FP-Onsite";#N/A,#N/A,TRUE,"NB-Onsite";#N/A,#N/A,TRUE,"T&amp;M-Offshore";#N/A,#N/A,TRUE,"FP-Offshore";#N/A,#N/A,TRUE,"Appendix-A";#N/A,#N/A,TRUE,"Appendix-B"}</definedName>
    <definedName name="Fred" hidden="1">{#N/A,#N/A,FALSE,"Section 5";#N/A,#N/A,FALSE,"Discrete Phased TA";#N/A,#N/A,FALSE,"Discrete Phased ISK TA";#N/A,#N/A,FALSE,"Discrete Phased CF";#N/A,#N/A,FALSE,"Discrete Phased Sundry"}</definedName>
    <definedName name="freight">#REF!</definedName>
    <definedName name="FRN">#REF!</definedName>
    <definedName name="front_page">#REF!</definedName>
    <definedName name="Frtout" localSheetId="39">#REF!</definedName>
    <definedName name="Frtout">#REF!</definedName>
    <definedName name="Frtout_1">#REF!</definedName>
    <definedName name="Frtout_2">#REF!</definedName>
    <definedName name="Frtout_3">#REF!</definedName>
    <definedName name="fsd" hidden="1">{#N/A,#N/A,FALSE,"Distbn Ntwrk";#N/A,#N/A,FALSE,"Workforce";#N/A,#N/A,FALSE,"cur-prod1";#N/A,#N/A,FALSE,"in-proc"}</definedName>
    <definedName name="fsdfasdfa" hidden="1">{#N/A,#N/A,FALSE,"Hip.Bas";#N/A,#N/A,FALSE,"ventas";#N/A,#N/A,FALSE,"ingre-Año";#N/A,#N/A,FALSE,"ventas-Año";#N/A,#N/A,FALSE,"Costepro";#N/A,#N/A,FALSE,"inversion";#N/A,#N/A,FALSE,"personal";#N/A,#N/A,FALSE,"Gastos-V";#N/A,#N/A,FALSE,"Circulante";#N/A,#N/A,FALSE,"CONSOLI";#N/A,#N/A,FALSE,"Es-Fin";#N/A,#N/A,FALSE,"Margen-P"}</definedName>
    <definedName name="fsfs" hidden="1">{#N/A,#N/A,FALSE,"Calc";#N/A,#N/A,FALSE,"Sensitivity";#N/A,#N/A,FALSE,"LT Earn.Dil.";#N/A,#N/A,FALSE,"Dil. AVP"}</definedName>
    <definedName name="fsgroup" localSheetId="14">masterTBCY[FS Group]</definedName>
    <definedName name="fsgroup" localSheetId="32">#REF!</definedName>
    <definedName name="fsgroup" localSheetId="26">#REF!</definedName>
    <definedName name="fsgroup">masterTBCY[FS Group]</definedName>
    <definedName name="fuck" hidden="1">{"by departments",#N/A,TRUE,"FORECAST";"cap_headcount",#N/A,TRUE,"FORECAST";"summary",#N/A,TRUE,"FORECAST"}</definedName>
    <definedName name="fuckme" hidden="1">{"SUMMARY",#N/A,TRUE,"SUMMARY";"compare",#N/A,TRUE,"Vs. Bus Plan";"ratios",#N/A,TRUE,"Ratios";"REVENUE",#N/A,TRUE,"Revenue";"expenses",#N/A,TRUE,"1996 budget";"payroll",#N/A,TRUE,"Payroll"}</definedName>
    <definedName name="fully_diluted_earnings">#REF!</definedName>
    <definedName name="fully_diluted_shares">#REF!</definedName>
    <definedName name="fun">#REF!</definedName>
    <definedName name="FV">#REF!</definedName>
    <definedName name="g">#REF!</definedName>
    <definedName name="ganesan" hidden="1">{"'W.W. Summary'!$A$1:$K$37"}</definedName>
    <definedName name="gangrate">81.48</definedName>
    <definedName name="GB">#REF!</definedName>
    <definedName name="GBP_USD" comment="30 June 2017 month end rate">#REF!</definedName>
    <definedName name="gbpr">#REF!</definedName>
    <definedName name="GDF" hidden="1">{#N/A,#N/A,FALSE,"COMP"}</definedName>
    <definedName name="GDFA" hidden="1">{#N/A,#N/A,FALSE,"COMP"}</definedName>
    <definedName name="gdgd" hidden="1">{#N/A,#N/A,FALSE,"Calc";#N/A,#N/A,FALSE,"Sensitivity";#N/A,#N/A,FALSE,"LT Earn.Dil.";#N/A,#N/A,FALSE,"Dil. AVP"}</definedName>
    <definedName name="genset35kva">69.64*7/65</definedName>
    <definedName name="geogsp">"Chart 2"</definedName>
    <definedName name="gfdr" localSheetId="39">#REF!</definedName>
    <definedName name="gfdr">#REF!</definedName>
    <definedName name="gfdr_1" localSheetId="39">#REF!</definedName>
    <definedName name="gfdr_1">#REF!</definedName>
    <definedName name="gfdr_2" localSheetId="39">#REF!</definedName>
    <definedName name="gfdr_2">#REF!</definedName>
    <definedName name="gfdr_3" localSheetId="39">#REF!</definedName>
    <definedName name="gfdr_3">#REF!</definedName>
    <definedName name="GFNFGJH" hidden="1">{#N/A,#N/A,FALSE,"TOWNSHIP"}</definedName>
    <definedName name="gfsd" hidden="1">{"consolidated",#N/A,FALSE,"Sheet1";"cms",#N/A,FALSE,"Sheet1";"fse",#N/A,FALSE,"Sheet1"}</definedName>
    <definedName name="GGG" hidden="1">{#N/A,#N/A,FALSE,"COMP"}</definedName>
    <definedName name="ghdhwser" localSheetId="39">#REF!</definedName>
    <definedName name="ghdhwser">#REF!</definedName>
    <definedName name="GHJTI" hidden="1">{#N/A,#N/A,FALSE,"FREE"}</definedName>
    <definedName name="GI">#REF!</definedName>
    <definedName name="gjygj" hidden="1">{#N/A,#N/A,FALSE,"COMP"}</definedName>
    <definedName name="gk0901int" hidden="1">{#N/A,#N/A,FALSE,"PMTABB";#N/A,#N/A,FALSE,"PMTABB"}</definedName>
    <definedName name="GL_ACCOUNT_DESCRIPTION">#REF!</definedName>
    <definedName name="gls_ACT_EST_ROW" hidden="1">#REF!</definedName>
    <definedName name="gls_ACT_FORM_OFFSET" hidden="1">#REF!</definedName>
    <definedName name="gls_AnalystEmpNoHeading" hidden="1">#REF!</definedName>
    <definedName name="gls_AnalystNameHeading" hidden="1">#REF!</definedName>
    <definedName name="gls_EST_FORM_OFFSET" hidden="1">#REF!</definedName>
    <definedName name="gls_EXTERNAL_COL_REF" hidden="1">#REF!</definedName>
    <definedName name="gls_FIRST_ITEM" hidden="1">#REF!</definedName>
    <definedName name="gls_FIRST_PK" hidden="1">#REF!</definedName>
    <definedName name="gls_FIRST_ROWMULT" hidden="1">#REF!</definedName>
    <definedName name="gls_FIRST_UNITS" hidden="1">#REF!</definedName>
    <definedName name="gls_FIXED_NAMES" hidden="1">#REF!</definedName>
    <definedName name="gls_FONT_STATUS" hidden="1">#REF!</definedName>
    <definedName name="gls_GenAccountingConvention" hidden="1">#REF!</definedName>
    <definedName name="gls_GenCompany" hidden="1">#REF!</definedName>
    <definedName name="gls_GenCompanyInfo" hidden="1">#REF!</definedName>
    <definedName name="gls_GenCountry" hidden="1">#REF!</definedName>
    <definedName name="gls_GenCurrency" hidden="1">#REF!</definedName>
    <definedName name="gls_GenCurrencyMultiplier" hidden="1">#REF!</definedName>
    <definedName name="gls_GenEnterCompInfo" hidden="1">#REF!</definedName>
    <definedName name="gls_genFAQ" hidden="1">#REF!</definedName>
    <definedName name="gls_GenLastPriceTargetRevised" hidden="1">#REF!</definedName>
    <definedName name="gls_GenLastPublished" hidden="1">#REF!</definedName>
    <definedName name="gls_GenLastRecRevised" hidden="1">#REF!</definedName>
    <definedName name="gls_GenMainInfo" hidden="1">#REF!</definedName>
    <definedName name="gls_GenProfile" hidden="1">#REF!</definedName>
    <definedName name="gls_GenRecComment" hidden="1">#REF!</definedName>
    <definedName name="gls_GenSheetVersion" hidden="1">#REF!</definedName>
    <definedName name="gls_genStockCore" hidden="1">#REF!</definedName>
    <definedName name="gls_genStockRec" hidden="1">#REF!</definedName>
    <definedName name="gls_GenTargetCurrency" hidden="1">#REF!</definedName>
    <definedName name="gls_IssuedStockClassHeading" hidden="1">#REF!</definedName>
    <definedName name="gls_IssuedStockCodeHeading" hidden="1">#REF!</definedName>
    <definedName name="gls_IssuedStockFreeFloatHeading" hidden="1">#REF!</definedName>
    <definedName name="gls_KEY_DATA" hidden="1">#REF!</definedName>
    <definedName name="gls_KEY_VALUE" hidden="1">#REF!</definedName>
    <definedName name="gls_PERIOD_CODE" hidden="1">#REF!</definedName>
    <definedName name="gls_PERIOD_INDICATOR" hidden="1">#REF!</definedName>
    <definedName name="gls_PERIOD_PARENT_OR_CONSOL" hidden="1">#REF!</definedName>
    <definedName name="gls_PERIOD_TYPE" hidden="1">#REF!</definedName>
    <definedName name="gls_PrincipalStockClass" hidden="1">#REF!</definedName>
    <definedName name="gls_ShareholderClassHeading" hidden="1">#REF!</definedName>
    <definedName name="gls_ShareholderHolding" hidden="1">#REF!</definedName>
    <definedName name="gls_ShareholderHoldingHeading" hidden="1">#REF!</definedName>
    <definedName name="gls_ShareholderName" hidden="1">#REF!</definedName>
    <definedName name="gls_ShareholderNameHeading" hidden="1">#REF!</definedName>
    <definedName name="gls_ShareholdingName" hidden="1">#REF!</definedName>
    <definedName name="gls_SPARE_YEARS" hidden="1">#REF!</definedName>
    <definedName name="gls_START_FORMULA_OVERRIDEABLE" hidden="1">#REF!</definedName>
    <definedName name="gls_START_LOCAL_NAMES" hidden="1">#REF!</definedName>
    <definedName name="gls_START_PERIOD_CURRENCY" hidden="1">#REF!</definedName>
    <definedName name="gls_START_STATUS" hidden="1">#REF!</definedName>
    <definedName name="gls_START_USER_STATUS" hidden="1">#REF!</definedName>
    <definedName name="gls_START_VALIDATION" hidden="1">#REF!</definedName>
    <definedName name="gls_START_WHAT" hidden="1">#REF!</definedName>
    <definedName name="gls_START_YEAR" hidden="1">#REF!</definedName>
    <definedName name="gls_TEMP_PERIOD_CODE" hidden="1">#REF!</definedName>
    <definedName name="gls_YEAR_AE_CONTROL" hidden="1">#REF!</definedName>
    <definedName name="gls_YEAR_END_ROW" hidden="1">#REF!</definedName>
    <definedName name="gods" hidden="1">{"consolidated",#N/A,FALSE,"Sheet1";"cms",#N/A,FALSE,"Sheet1";"fse",#N/A,FALSE,"Sheet1"}</definedName>
    <definedName name="goodwill">#REF!</definedName>
    <definedName name="gqarefg" hidden="1">{#N/A,#N/A,FALSE,"PMTABB";#N/A,#N/A,FALSE,"PMTABB"}</definedName>
    <definedName name="gr" hidden="1">{#N/A,#N/A,FALSE,"SUMMARY";#N/A,#N/A,FALSE,"SUMMARY"}</definedName>
    <definedName name="graph" hidden="1">#REF!</definedName>
    <definedName name="Graph_CoC">OFFSET(#REF!,0,0,1,#REF!)</definedName>
    <definedName name="Graph_Frequency">OFFSET(#REF!,0,MATCH(99.9999,#REF!,-1)-1,1,COUNT(#REF!)-(MATCH(99.9999,#REF!,-1)-1))</definedName>
    <definedName name="Graph_Frequency_Titles">OFFSET(#REF!,-1,MATCH(99.9999,#REF!,-1)-1,1,COUNT(#REF!)-(MATCH(99.9999,#REF!,-1)-1))</definedName>
    <definedName name="Graph_MarginalROE">OFFSET(#REF!,0,0,1,#REF!)</definedName>
    <definedName name="Graph_Phase">OFFSET(#REF!,0,0,1,#REF!)</definedName>
    <definedName name="Graph_PVRI">OFFSET(#REF!,0,0,1,#REF!)</definedName>
    <definedName name="Graph_ROE">OFFSET(#REF!,0,0,1,#REF!)</definedName>
    <definedName name="gross_fixed_assets">#REF!</definedName>
    <definedName name="Gross_income">#REF!</definedName>
    <definedName name="Gross_Margin_Booked1">#REF!</definedName>
    <definedName name="Gross_Margin_Shipment">#REF!</definedName>
    <definedName name="Gross_Margin_Shipped">#REF!</definedName>
    <definedName name="Gross_Margin_Shipped_with_GL_cost">#REF!</definedName>
    <definedName name="gross_sales">#REF!</definedName>
    <definedName name="grouter">121</definedName>
    <definedName name="growth" hidden="1">{#N/A,#N/A,FALSE,"Hip.Bas";#N/A,#N/A,FALSE,"ventas";#N/A,#N/A,FALSE,"ingre-Año";#N/A,#N/A,FALSE,"ventas-Año";#N/A,#N/A,FALSE,"Costepro";#N/A,#N/A,FALSE,"inversion";#N/A,#N/A,FALSE,"personal";#N/A,#N/A,FALSE,"Gastos-V";#N/A,#N/A,FALSE,"Circulante";#N/A,#N/A,FALSE,"CONSOLI";#N/A,#N/A,FALSE,"Es-Fin";#N/A,#N/A,FALSE,"Margen-P"}</definedName>
    <definedName name="Growth_ratios__yoy">#REF!</definedName>
    <definedName name="growth2" hidden="1">{#N/A,#N/A,FALSE,"Hip.Bas";#N/A,#N/A,FALSE,"ventas";#N/A,#N/A,FALSE,"ingre-Año";#N/A,#N/A,FALSE,"ventas-Año";#N/A,#N/A,FALSE,"Costepro";#N/A,#N/A,FALSE,"inversion";#N/A,#N/A,FALSE,"personal";#N/A,#N/A,FALSE,"Gastos-V";#N/A,#N/A,FALSE,"Circulante";#N/A,#N/A,FALSE,"CONSOLI";#N/A,#N/A,FALSE,"Es-Fin";#N/A,#N/A,FALSE,"Margen-P"}</definedName>
    <definedName name="growth3" hidden="1">{#N/A,#N/A,FALSE,"Hip.Bas";#N/A,#N/A,FALSE,"ventas";#N/A,#N/A,FALSE,"ingre-Año";#N/A,#N/A,FALSE,"ventas-Año";#N/A,#N/A,FALSE,"Costepro";#N/A,#N/A,FALSE,"inversion";#N/A,#N/A,FALSE,"personal";#N/A,#N/A,FALSE,"Gastos-V";#N/A,#N/A,FALSE,"Circulante";#N/A,#N/A,FALSE,"CONSOLI";#N/A,#N/A,FALSE,"Es-Fin";#N/A,#N/A,FALSE,"Margen-P"}</definedName>
    <definedName name="GrPbtIt">#REF!</definedName>
    <definedName name="grwoth" hidden="1">{#N/A,#N/A,FALSE,"Hip.Bas";#N/A,#N/A,FALSE,"ventas";#N/A,#N/A,FALSE,"ingre-Año";#N/A,#N/A,FALSE,"ventas-Año";#N/A,#N/A,FALSE,"Costepro";#N/A,#N/A,FALSE,"inversion";#N/A,#N/A,FALSE,"personal";#N/A,#N/A,FALSE,"Gastos-V";#N/A,#N/A,FALSE,"Circulante";#N/A,#N/A,FALSE,"CONSOLI";#N/A,#N/A,FALSE,"Es-Fin";#N/A,#N/A,FALSE,"Margen-P"}</definedName>
    <definedName name="grwoth3" hidden="1">{#N/A,#N/A,FALSE,"Hip.Bas";#N/A,#N/A,FALSE,"ventas";#N/A,#N/A,FALSE,"ingre-Año";#N/A,#N/A,FALSE,"ventas-Año";#N/A,#N/A,FALSE,"Costepro";#N/A,#N/A,FALSE,"inversion";#N/A,#N/A,FALSE,"personal";#N/A,#N/A,FALSE,"Gastos-V";#N/A,#N/A,FALSE,"Circulante";#N/A,#N/A,FALSE,"CONSOLI";#N/A,#N/A,FALSE,"Es-Fin";#N/A,#N/A,FALSE,"Margen-P"}</definedName>
    <definedName name="GS">#REF!</definedName>
    <definedName name="gwergwr" hidden="1">{#N/A,#N/A,FALSE,"ISBL"}</definedName>
    <definedName name="H" hidden="1">#REF!</definedName>
    <definedName name="h_1" hidden="1">{"20 Years",#N/A,FALSE,"P&amp;Ls";"2001",#N/A,FALSE,"P&amp;Ls"}</definedName>
    <definedName name="h_1_1" hidden="1">{"20 Years",#N/A,FALSE,"P&amp;Ls";"2001",#N/A,FALSE,"P&amp;Ls"}</definedName>
    <definedName name="h_1_2" hidden="1">{"20 Years",#N/A,FALSE,"P&amp;Ls";"2001",#N/A,FALSE,"P&amp;Ls"}</definedName>
    <definedName name="h_1_3" hidden="1">{"20 Years",#N/A,FALSE,"P&amp;Ls";"2001",#N/A,FALSE,"P&amp;Ls"}</definedName>
    <definedName name="h_1_4" hidden="1">{"20 Years",#N/A,FALSE,"P&amp;Ls";"2001",#N/A,FALSE,"P&amp;Ls"}</definedName>
    <definedName name="h_1_5" hidden="1">{"20 Years",#N/A,FALSE,"P&amp;Ls";"2001",#N/A,FALSE,"P&amp;Ls"}</definedName>
    <definedName name="H1.2">#REF!,#REF!,#REF!</definedName>
    <definedName name="H2.1">#REF!,#REF!,#REF!</definedName>
    <definedName name="H2.2">#REF!,#REF!,#REF!</definedName>
    <definedName name="half_yearly">#REF!</definedName>
    <definedName name="hardware">#REF!</definedName>
    <definedName name="HE2.0">#REF!,#REF!,#REF!</definedName>
    <definedName name="HE3.0">#REF!,#REF!,#REF!</definedName>
    <definedName name="HE4.0">#REF!,#REF!,#REF!</definedName>
    <definedName name="HE5.0">#REF!,#REF!,#REF!</definedName>
    <definedName name="HeaderRange">#REF!</definedName>
    <definedName name="hfhfh">#REF!</definedName>
    <definedName name="HGMYGJ" hidden="1">{#N/A,#N/A,FALSE,"OSBL"}</definedName>
    <definedName name="hgwr" hidden="1">{#N/A,#N/A,FALSE,"PGW"}</definedName>
    <definedName name="HiddenRows" hidden="1">#REF!</definedName>
    <definedName name="hj"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hjflj" hidden="1">#REF!</definedName>
    <definedName name="hjggj">#REF!,#REF!,#REF!</definedName>
    <definedName name="hjh">#REF!</definedName>
    <definedName name="HL1.2">#REF!,#REF!</definedName>
    <definedName name="HL2.0">#REF!,#REF!,#REF!</definedName>
    <definedName name="HL2.1">#REF!,#REF!</definedName>
    <definedName name="HL2.2">#REF!,#REF!</definedName>
    <definedName name="HL3.0">#REF!,#REF!,#REF!</definedName>
    <definedName name="HL4.0">#REF!,#REF!,#REF!</definedName>
    <definedName name="HL5.0">#REF!,#REF!,#REF!</definedName>
    <definedName name="hlh" hidden="1">#REF!</definedName>
    <definedName name="hn.ConvertZero1" hidden="1">#REF!,#REF!,#REF!,#REF!,#REF!,#REF!,#REF!,#REF!,#REF!,#REF!</definedName>
    <definedName name="hn.ConvertZero2" hidden="1">#REF!,#REF!,#REF!,#REF!,#REF!,#REF!,#REF!,#REF!</definedName>
    <definedName name="hn.ConvertZero3" hidden="1">#REF!,#REF!,#REF!,#REF!,#REF!</definedName>
    <definedName name="hn.ConvertZero4" hidden="1">#REF!,#REF!,#REF!,#REF!,#REF!,#REF!,#REF!,#REF!</definedName>
    <definedName name="hn.ConvertZeroUnhide1" hidden="1">#REF!,#REF!,#REF!</definedName>
    <definedName name="hn.Delete015" hidden="1">#REF!,#REF!,#REF!,#REF!</definedName>
    <definedName name="hn.DZ_MultByFXRates" hidden="1">#REF!,#REF!,#REF!,#REF!</definedName>
    <definedName name="hn.ExtDb" hidden="1">FALSE</definedName>
    <definedName name="hn.LTM_MultByFXRates" hidden="1">#REF!,#REF!,#REF!,#REF!,#REF!,#REF!,#REF!</definedName>
    <definedName name="hn.ModelType" hidden="1">"DEAL"</definedName>
    <definedName name="hn.ModelVersion" hidden="1">1</definedName>
    <definedName name="hn.MultbyFXRates" hidden="1">#REF!,#REF!,#REF!,#REF!,#REF!,#REF!,#REF!</definedName>
    <definedName name="hn.MultByFXRates1" hidden="1">#REF!,#REF!,#REF!,#REF!,#REF!</definedName>
    <definedName name="hn.MultByFXRates2" hidden="1">#REF!,#REF!,#REF!,#REF!,#REF!</definedName>
    <definedName name="hn.MultByFXRates3" hidden="1">#REF!,#REF!,#REF!,#REF!,#REF!</definedName>
    <definedName name="hn.MultbyFxrates4" hidden="1">#REF!,#REF!,#REF!,#REF!,#REF!,#REF!,#REF!</definedName>
    <definedName name="hn.multbyfxrates5" hidden="1">#REF!,#REF!,#REF!,#REF!,#REF!</definedName>
    <definedName name="hn.multbyfxrates6" hidden="1">#REF!,#REF!,#REF!,#REF!,#REF!</definedName>
    <definedName name="hn.multbyfxrates7" hidden="1">#REF!,#REF!,#REF!,#REF!,#REF!</definedName>
    <definedName name="hn.MultByFXRatesBot1" hidden="1">#REF!,#REF!,#REF!,#REF!,#REF!,#REF!,#REF!,#REF!,#REF!,#REF!,#REF!,#REF!</definedName>
    <definedName name="hn.MultByFXRatesBot2" hidden="1">#REF!,#REF!,#REF!,#REF!,#REF!,#REF!,#REF!,#REF!,#REF!,#REF!,#REF!,#REF!</definedName>
    <definedName name="hn.MultByFXRatesBot3" hidden="1">#REF!,#REF!,#REF!,#REF!,#REF!,#REF!,#REF!,#REF!,#REF!,#REF!,#REF!,#REF!</definedName>
    <definedName name="hn.MultByFXRatesBot4" hidden="1">#REF!,#REF!,#REF!,#REF!,#REF!,#REF!,#REF!,#REF!,#REF!,#REF!,#REF!,#REF!,#REF!</definedName>
    <definedName name="hn.MultByFXRatesBot5" hidden="1">#REF!,#REF!,#REF!,#REF!,#REF!,#REF!,#REF!,#REF!,#REF!,#REF!,#REF!</definedName>
    <definedName name="hn.MultByFXRatesBot6" hidden="1">#REF!,#REF!,#REF!,#REF!,#REF!,#REF!,#REF!,#REF!,#REF!,#REF!,#REF!</definedName>
    <definedName name="hn.MultByFXRatesBot7" hidden="1">#REF!,#REF!,#REF!,#REF!,#REF!,#REF!,#REF!,#REF!,#REF!,#REF!,#REF!</definedName>
    <definedName name="hn.MultByFXRatesTop1" hidden="1">#REF!,#REF!,#REF!,#REF!,#REF!,#REF!,#REF!,#REF!,#REF!,#REF!,#REF!,#REF!</definedName>
    <definedName name="hn.MultByFXRatesTop2" hidden="1">#REF!,#REF!,#REF!,#REF!,#REF!,#REF!,#REF!,#REF!,#REF!,#REF!,#REF!,#REF!,#REF!,#REF!,#REF!</definedName>
    <definedName name="hn.MultByFXRatesTop3" hidden="1">#REF!,#REF!,#REF!,#REF!,#REF!,#REF!,#REF!,#REF!,#REF!,#REF!,#REF!,#REF!,#REF!,#REF!,#REF!</definedName>
    <definedName name="hn.MultByFXRatesTop4" hidden="1">#REF!,#REF!,#REF!,#REF!,#REF!,#REF!,#REF!,#REF!,#REF!,#REF!,#REF!,#REF!,#REF!,#REF!,#REF!</definedName>
    <definedName name="hn.MultByFXRatesTop5" hidden="1">#REF!,#REF!,#REF!,#REF!,#REF!,#REF!,#REF!,#REF!,#REF!,#REF!,#REF!,#REF!</definedName>
    <definedName name="hn.MultByFXRatesTop6" hidden="1">#REF!,#REF!,#REF!,#REF!,#REF!,#REF!,#REF!,#REF!,#REF!,#REF!,#REF!,#REF!,#REF!,#REF!,#REF!</definedName>
    <definedName name="hn.MultByFXRatesTop7" hidden="1">#REF!,#REF!,#REF!,#REF!,#REF!,#REF!,#REF!,#REF!,#REF!,#REF!,#REF!,#REF!,#REF!,#REF!,#REF!</definedName>
    <definedName name="hn.NoUpload" hidden="1">0</definedName>
    <definedName name="HOPIP" hidden="1">{#N/A,#N/A,FALSE,"PMTABB";#N/A,#N/A,FALSE,"PMTABB"}</definedName>
    <definedName name="house_groups">#REF!</definedName>
    <definedName name="hre" hidden="1">{#N/A,#N/A,FALSE,"TOWNSHIP"}</definedName>
    <definedName name="hsbc_cash_flow">#REF!</definedName>
    <definedName name="hsbc_eps">#REF!</definedName>
    <definedName name="hsbc_net_profit">#REF!</definedName>
    <definedName name="HTML_CodePage" hidden="1">1252</definedName>
    <definedName name="HTML_Control" hidden="1">{"'PS-SOTM'!$A$1","'PS-SOTM'!$A$2:$M$30","'PS-SOTM'!$A$31:$A$38"}</definedName>
    <definedName name="HTML_Control_1" hidden="1">{"'DAB - IP Addresses '!$A$1:$U$329"}</definedName>
    <definedName name="HTML_Control_2" hidden="1">{"'DAB - IP Addresses '!$A$1:$U$329"}</definedName>
    <definedName name="HTML_Control_3" hidden="1">{"'DAB - IP Addresses '!$A$1:$U$329"}</definedName>
    <definedName name="HTML_Control_4" hidden="1">{"'DAB - IP Addresses '!$A$1:$U$329"}</definedName>
    <definedName name="HTML_Control_5" hidden="1">{"'DAB - IP Addresses '!$A$1:$U$329"}</definedName>
    <definedName name="HTML_Description" hidden="1">""</definedName>
    <definedName name="HTML_Email" hidden="1">""</definedName>
    <definedName name="HTML_Header" hidden="1">"Sheet1"</definedName>
    <definedName name="HTML_LastUpdate" hidden="1">"7/1/03"</definedName>
    <definedName name="HTML_LineAfter" hidden="1">FALSE</definedName>
    <definedName name="HTML_LineBefore" hidden="1">FALSE</definedName>
    <definedName name="HTML_Name" hidden="1">"m.p.raval"</definedName>
    <definedName name="HTML_OBDlg2" hidden="1">TRUE</definedName>
    <definedName name="HTML_OBDlg3" hidden="1">TRUE</definedName>
    <definedName name="HTML_OBDlg4" hidden="1">TRUE</definedName>
    <definedName name="HTML_OS" hidden="1">0</definedName>
    <definedName name="HTML_PathFile" hidden="1">"A:\MyHTML.htm"</definedName>
    <definedName name="HTML_PathFileMac" hidden="1">"Macintosh HD:HomePageStuff:New_Home_Page:datafile:ctryprem.html"</definedName>
    <definedName name="HTML_PathTemplate" hidden="1">"C:\infac\pricewth\Aug99\Page06e.htm"</definedName>
    <definedName name="HTML_Title" hidden="1">"SGSDaily Progress Report Piyaj toDharoi Pipeline"</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2_1" hidden="1">"[PRIXV352.XLS]ISM352!$D$110:$J$113"</definedName>
    <definedName name="HTML2_10" hidden="1">""</definedName>
    <definedName name="HTML2_11" hidden="1">1</definedName>
    <definedName name="HTML2_12" hidden="1">"C:\MSOFFICE\EXCEL\MyHTML1.htm"</definedName>
    <definedName name="HTML2_2" hidden="1">1</definedName>
    <definedName name="HTML2_3" hidden="1">"PRIXV352"</definedName>
    <definedName name="HTML2_4" hidden="1">"ISM352"</definedName>
    <definedName name="HTML2_5" hidden="1">""</definedName>
    <definedName name="HTML2_6" hidden="1">-4146</definedName>
    <definedName name="HTML2_7" hidden="1">-4146</definedName>
    <definedName name="HTML2_8" hidden="1">"30/01/1996"</definedName>
    <definedName name="HTML2_9" hidden="1">"MARGERIDE"</definedName>
    <definedName name="HTML2_control" hidden="1">{"'Sheet1'!$A$1:$H$145"}</definedName>
    <definedName name="HTML3_1" hidden="1">"[PRIXV352.XLS]ISM352!$C$45:$H$81"</definedName>
    <definedName name="HTML3_10" hidden="1">""</definedName>
    <definedName name="HTML3_11" hidden="1">1</definedName>
    <definedName name="HTML3_12" hidden="1">"C:\ALAIN\WEB\MYHTML.HTM"</definedName>
    <definedName name="HTML3_2" hidden="1">1</definedName>
    <definedName name="HTML3_3" hidden="1">"PRIXV352"</definedName>
    <definedName name="HTML3_4" hidden="1">"ISM352"</definedName>
    <definedName name="HTML3_5" hidden="1">""</definedName>
    <definedName name="HTML3_6" hidden="1">-4146</definedName>
    <definedName name="HTML3_7" hidden="1">-4146</definedName>
    <definedName name="HTML3_8" hidden="1">"31/01/1996"</definedName>
    <definedName name="HTML3_9" hidden="1">"MARGERIDE"</definedName>
    <definedName name="HTML4_1" hidden="1">"[PRIXV352.XLS]ISM352!$E$102"</definedName>
    <definedName name="HTML4_10" hidden="1">""</definedName>
    <definedName name="HTML4_11" hidden="1">1</definedName>
    <definedName name="HTML4_12" hidden="1">"C:\ALAIN\ISM\PRICE\TRANS.HTM"</definedName>
    <definedName name="HTML4_2" hidden="1">1</definedName>
    <definedName name="HTML4_3" hidden="1">"TransMaster Pricing"</definedName>
    <definedName name="HTML4_4" hidden="1">"TransMaster Pricing &amp; Ordering Information"</definedName>
    <definedName name="HTML4_5" hidden="1">"TransMaster"</definedName>
    <definedName name="HTML4_6" hidden="1">1</definedName>
    <definedName name="HTML4_7" hidden="1">-4146</definedName>
    <definedName name="HTML4_8" hidden="1">35218</definedName>
    <definedName name="HTML4_9" hidden="1">"MARGERIDE"</definedName>
    <definedName name="HTML5_1" hidden="1">"[PRIXV352.XLS]ISM352!$D$95:$F$113"</definedName>
    <definedName name="HTML5_10" hidden="1">""</definedName>
    <definedName name="HTML5_11" hidden="1">1</definedName>
    <definedName name="HTML5_12" hidden="1">"C:\ALAIN\ISM\PRICE\trans.htm"</definedName>
    <definedName name="HTML5_2" hidden="1">1</definedName>
    <definedName name="HTML5_3" hidden="1">"TransMaster"</definedName>
    <definedName name="HTML5_4" hidden="1">"TransMaster Pricing &amp; Ordering Information"</definedName>
    <definedName name="HTML5_5" hidden="1">"With the SNMP agent integrator you could manage your network using generic applications such as Monitor, Alarm, Performance, Statistics and Trouble Tickets depending on your needs.
Application from Bay Network or 3COM are also available."</definedName>
    <definedName name="HTML5_6" hidden="1">1</definedName>
    <definedName name="HTML5_7" hidden="1">-4146</definedName>
    <definedName name="HTML5_8" hidden="1">35218</definedName>
    <definedName name="HTML5_9" hidden="1">"MARGERIDE"</definedName>
    <definedName name="HTML6_1" hidden="1">"[PRIXV352.XLS]ISM352!$D$117:$F$120"</definedName>
    <definedName name="HTML6_10" hidden="1">""</definedName>
    <definedName name="HTML6_11" hidden="1">1</definedName>
    <definedName name="HTML6_12" hidden="1">"C:\ALAIN\ISM\PRICE\TMN.htm"</definedName>
    <definedName name="HTML6_2" hidden="1">1</definedName>
    <definedName name="HTML6_3" hidden="1">"PRIXV352"</definedName>
    <definedName name="HTML6_4" hidden="1">"TMN Master Pricing &amp; Ordering Information"</definedName>
    <definedName name="HTML6_5" hidden="1">"TMN Master is composed of ISM/OpenMaster core software including all the generic applications, plus all the Agent integrator and in particular CMIP, plus toolkits and ISM Pilot.
"</definedName>
    <definedName name="HTML6_6" hidden="1">1</definedName>
    <definedName name="HTML6_7" hidden="1">-4146</definedName>
    <definedName name="HTML6_8" hidden="1">35218</definedName>
    <definedName name="HTML6_9" hidden="1">"MARGERIDE"</definedName>
    <definedName name="HTML7_1" hidden="1">"[PRIXV352.XLS]ISM352!$D$123:$F$127"</definedName>
    <definedName name="HTML7_11" hidden="1">1</definedName>
    <definedName name="HTML7_12" hidden="1">"C:\ALAIN\ISM\price\wkg.htm"</definedName>
    <definedName name="HTML7_2" hidden="1">1</definedName>
    <definedName name="HTML7_4" hidden="1">"PC-Workgroup Master"</definedName>
    <definedName name="HTML7_6" hidden="1">1</definedName>
    <definedName name="HTML7_7" hidden="1">-4146</definedName>
    <definedName name="HTML7_8" hidden="1">35218</definedName>
    <definedName name="HTML7_9" hidden="1">"MARGERIDE"</definedName>
    <definedName name="HTML8_1" hidden="1">"[PRIXV352.XLS]ISM352!$D$292:$F$332"</definedName>
    <definedName name="HTML8_11" hidden="1">1</definedName>
    <definedName name="HTML8_12" hidden="1">"C:\ALAIN\ISM\PRICE\Tk.htm"</definedName>
    <definedName name="HTML8_2" hidden="1">1</definedName>
    <definedName name="HTML8_4" hidden="1">"ISM/OpenMaster Toolkits"</definedName>
    <definedName name="HTML8_6" hidden="1">1</definedName>
    <definedName name="HTML8_7" hidden="1">-4146</definedName>
    <definedName name="HTML8_8" hidden="1">35218</definedName>
    <definedName name="HTML8_9" hidden="1">"MARGERIDE"</definedName>
    <definedName name="HTMLCount" hidden="1">1</definedName>
    <definedName name="huy" hidden="1">{"'Sheet1'!$L$16"}</definedName>
    <definedName name="hw" hidden="1">{#N/A,#N/A,FALSE,"SUMMARY";#N/A,#N/A,FALSE,"SUMMARY"}</definedName>
    <definedName name="hytrhy" localSheetId="39">#REF!</definedName>
    <definedName name="hytrhy">#REF!</definedName>
    <definedName name="i" hidden="1">{#N/A,#N/A,FALSE,"Status of Projects";#N/A,#N/A,FALSE,"CEA-TEC";#N/A,#N/A,FALSE,"U-Constr.";#N/A,#N/A,FALSE,"summary";#N/A,#N/A,FALSE,"PPP-3 yrs"}</definedName>
    <definedName name="i_1" hidden="1">{"20 Years",#N/A,FALSE,"P&amp;Ls";"2001",#N/A,FALSE,"P&amp;Ls"}</definedName>
    <definedName name="i_2" hidden="1">{"20 Years",#N/A,FALSE,"P&amp;Ls";"2001",#N/A,FALSE,"P&amp;Ls"}</definedName>
    <definedName name="i_3" hidden="1">{"20 Years",#N/A,FALSE,"P&amp;Ls";"2001",#N/A,FALSE,"P&amp;Ls"}</definedName>
    <definedName name="i_4" hidden="1">{"20 Years",#N/A,FALSE,"P&amp;Ls";"2001",#N/A,FALSE,"P&amp;Ls"}</definedName>
    <definedName name="i_5" hidden="1">{"20 Years",#N/A,FALSE,"P&amp;Ls";"2001",#N/A,FALSE,"P&amp;Ls"}</definedName>
    <definedName name="IC_2">#REF!</definedName>
    <definedName name="IC_P">#REF!</definedName>
    <definedName name="IC_P1">#REF!</definedName>
    <definedName name="IC_P2">#REF!</definedName>
    <definedName name="IC_P3">#REF!</definedName>
    <definedName name="ICDInv">#REF!</definedName>
    <definedName name="IConnect_01">#REF! #REF!</definedName>
    <definedName name="IDReference" hidden="1">"A1"</definedName>
    <definedName name="IED">#REF!</definedName>
    <definedName name="iiiii" hidden="1">{#N/A,#N/A,FALSE,"Calc";#N/A,#N/A,FALSE,"Sensitivity";#N/A,#N/A,FALSE,"LT Earn.Dil.";#N/A,#N/A,FALSE,"Dil. AVP"}</definedName>
    <definedName name="ik" hidden="1">{#N/A,#N/A,FALSE,"Calc";#N/A,#N/A,FALSE,"Sensitivity";#N/A,#N/A,FALSE,"LT Earn.Dil.";#N/A,#N/A,FALSE,"Dil. AVP"}</definedName>
    <definedName name="Img_ML_3b3j3x9k" hidden="1">"IMG_17"</definedName>
    <definedName name="Img_ML_3e2q4k7i" hidden="1">"IMG_12"</definedName>
    <definedName name="Img_ML_5h6q3g8u" hidden="1">"IMG_12"</definedName>
    <definedName name="Img_ML_6y9f7y3n" hidden="1">"IMG_12"</definedName>
    <definedName name="Img_ML_7n6h3t1t" hidden="1">"IMG_18"</definedName>
    <definedName name="Img_ML_8b9j5t1p" hidden="1">"IMG_12"</definedName>
    <definedName name="Img_ML_8r1k8t4y" hidden="1">"IMG_18"</definedName>
    <definedName name="INC">#REF!</definedName>
    <definedName name="Income_equivalents">#REF!</definedName>
    <definedName name="Income_from_Unconsolidated_Subs">#REF!</definedName>
    <definedName name="Income_tax">#REF!</definedName>
    <definedName name="Incr_Percent">#REF!</definedName>
    <definedName name="Increase_Capitalized_R_D_net">#REF!</definedName>
    <definedName name="India">#REF!</definedName>
    <definedName name="INDIA_PLASTIC_in_KUSD">#REF!</definedName>
    <definedName name="Inflation_rate">#REF!</definedName>
    <definedName name="InfoNext">#N/A</definedName>
    <definedName name="InfoPrev">#N/A</definedName>
    <definedName name="initial_fiber_miles">#REF!</definedName>
    <definedName name="initial_trans_rev">#REF!</definedName>
    <definedName name="Input">#REF!</definedName>
    <definedName name="InputData">#REF!,#REF!,#REF!,#REF!,#REF!,#REF!,#REF!</definedName>
    <definedName name="InstCap" hidden="1">#REF!,#REF!,#REF!,#REF!,#REF!,#REF!,#REF!,#REF!</definedName>
    <definedName name="instructions1" hidden="1">{#N/A,#N/A,TRUE,"Summary - 1";#N/A,#N/A,TRUE,"Summary - 2";#N/A,#N/A,TRUE,"Group Analysis";#N/A,#N/A,TRUE,"FM Analysis";#N/A,#N/A,TRUE,"T&amp;M-Onsite";#N/A,#N/A,TRUE,"FP-Onsite";#N/A,#N/A,TRUE,"NB-Onsite";#N/A,#N/A,TRUE,"T&amp;M-Offshore";#N/A,#N/A,TRUE,"FP-Offshore";#N/A,#N/A,TRUE,"Appendix-A";#N/A,#N/A,TRUE,"Appendix-B"}</definedName>
    <definedName name="INSURANCE">#REF!</definedName>
    <definedName name="INT" hidden="1">{#N/A,#N/A,FALSE,"COMP"}</definedName>
    <definedName name="int_income">#REF!</definedName>
    <definedName name="int_paid">#REF!</definedName>
    <definedName name="int_recd">#REF!</definedName>
    <definedName name="IntCap">#REF!</definedName>
    <definedName name="IntCost">#REF!</definedName>
    <definedName name="IntDivTrf">#REF!</definedName>
    <definedName name="interconnect">#REF!</definedName>
    <definedName name="interconnect_revenue">#REF!</definedName>
    <definedName name="interest_01">#REF!</definedName>
    <definedName name="interest_02">#REF!</definedName>
    <definedName name="interest_03">#REF!</definedName>
    <definedName name="interest_97">#REF!</definedName>
    <definedName name="Interest_expense_income">#REF!</definedName>
    <definedName name="interestnet">[0]!InterestIncome-[0]!InterestExpense</definedName>
    <definedName name="Inv" hidden="1">{#N/A,#N/A,FALSE,"Status of Projects";#N/A,#N/A,FALSE,"CEA-TEC";#N/A,#N/A,FALSE,"U-Constr.";#N/A,#N/A,FALSE,"summary";#N/A,#N/A,FALSE,"PPP-3 yrs"}</definedName>
    <definedName name="InvChg" hidden="1">#REF!</definedName>
    <definedName name="Inventories">'Grouping Master Data'!$R$2:$R$1048576</definedName>
    <definedName name="inventory">#REF!</definedName>
    <definedName name="INVEST1">#REF!</definedName>
    <definedName name="INVEST2">#REF!</definedName>
    <definedName name="Invested_capital_DCF">#REF!</definedName>
    <definedName name="Invested_capital_turns">#REF!</definedName>
    <definedName name="Invested_capital_turns_DCF">#REF!</definedName>
    <definedName name="investment">#REF!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QUIRED_BY_REPORTING_BANK_FDIC" hidden="1">"c6535"</definedName>
    <definedName name="IQ_ADDIN" hidden="1">"AUTO"</definedName>
    <definedName name="IQ_ADDITIONAL_NON_INT_INC_FDIC" hidden="1">"c6574"</definedName>
    <definedName name="IQ_ADJUSTABLE_RATE_LOANS_FDIC" hidden="1">"c6375"</definedName>
    <definedName name="IQ_AE_BR" hidden="1">"c10"</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MENDED_BALANCE_PREVIOUS_YR_FDIC" hidden="1">"c6499"</definedName>
    <definedName name="IQ_AMORT_EXPENSE_FDIC" hidden="1">"c6677"</definedName>
    <definedName name="IQ_AMORTIZED_COST_FDIC" hidden="1">"c6426"</definedName>
    <definedName name="IQ_AP_BR" hidden="1">"c34"</definedName>
    <definedName name="IQ_AR_BR" hidden="1">"c41"</definedName>
    <definedName name="IQ_ASSET_BACKED_FDIC" hidden="1">"c6301"</definedName>
    <definedName name="IQ_ASSET_WRITEDOWN_BR" hidden="1">"c50"</definedName>
    <definedName name="IQ_ASSET_WRITEDOWN_CF_BR" hidden="1">"c53"</definedName>
    <definedName name="IQ_ASSETS_HELD_FDIC" hidden="1">"c6305"</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ROKER_REC_NO_REUT" hidden="1">"c5315"</definedName>
    <definedName name="IQ_AVG_BROKER_REC_REUT" hidden="1">"c3630"</definedName>
    <definedName name="IQ_AVG_PRICE_TARGET" hidden="1">"c82"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CAPEX_BR" hidden="1">"c111"</definedName>
    <definedName name="IQ_CASH_DIVIDENDS_NET_INCOME_FDIC" hidden="1">"c6738"</definedName>
    <definedName name="IQ_CASH_IN_PROCESS_FDIC" hidden="1">"c6386"</definedName>
    <definedName name="IQ_CCE_FDIC" hidden="1">"c6296"</definedName>
    <definedName name="IQ_CH">110000</definedName>
    <definedName name="IQ_CHANGE_AP_BR" hidden="1">"c135"</definedName>
    <definedName name="IQ_CHANGE_AR_BR" hidden="1">"c142"</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OTHER_NET_OPER_ASSETS_BR" hidden="1">"c3595"</definedName>
    <definedName name="IQ_CHANGE_OTHER_WORK_CAP_BR" hidden="1">"c154"</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MO_FDIC" hidden="1">"c6406"</definedName>
    <definedName name="IQ_COLLECTION_DOMESTIC_FDIC" hidden="1">"c6387"</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_APIC_BR" hidden="1">"c185"</definedName>
    <definedName name="IQ_COMMON_FDIC" hidden="1">"c6350"</definedName>
    <definedName name="IQ_COMMON_ISSUED_BR" hidden="1">"c199"</definedName>
    <definedName name="IQ_COMMON_REP_BR" hidden="1">"c208"</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TRACTS_OTHER_COMMODITIES_EQUITIES._FDIC" hidden="1">"c6522"</definedName>
    <definedName name="IQ_CONTRACTS_OTHER_COMMODITIES_EQUITIES_FDIC" hidden="1">"c6522"</definedName>
    <definedName name="IQ_CONV_RATE" hidden="1">"c2192"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OF_FUNDING_ASSETS_FDIC" hidden="1">"c6725"</definedName>
    <definedName name="IQ_CQ">5000</definedName>
    <definedName name="IQ_CREDIT_CARD_CHARGE_OFFS_FDIC" hidden="1">"c6652"</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PROVISION_NET_CHARGE_OFFS_FDIC" hidden="1">"c6734"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ENCY_COIN_DOMESTIC_FDIC" hidden="1">"c6388"</definedName>
    <definedName name="IQ_CURRENCY_GAIN_BR" hidden="1">"c236"</definedName>
    <definedName name="IQ_CURRENT_PORT_DEBT_BR" hidden="1">"c1567"</definedName>
    <definedName name="IQ_CY">10000</definedName>
    <definedName name="IQ_DA_BR" hidden="1">"c248"</definedName>
    <definedName name="IQ_DA_CF_BR" hidden="1">"c251"</definedName>
    <definedName name="IQ_DA_SUPPL_BR" hidden="1">"c260"</definedName>
    <definedName name="IQ_DA_SUPPL_CF_BR" hidden="1">"c263"</definedName>
    <definedName name="IQ_DAILY">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RIVATIVES_FDIC" hidden="1">"c6523"</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EARNING_ASSETS_FDIC" hidden="1">"c6360"</definedName>
    <definedName name="IQ_EARNING_ASSETS_YIELD_FDIC" hidden="1">"c6724"</definedName>
    <definedName name="IQ_EARNINGS_ANNOUNCE_DATE_REUT" hidden="1">"c5314"</definedName>
    <definedName name="IQ_EARNINGS_COVERAGE_NET_CHARGE_OFFS_FDIC" hidden="1">"c6735"</definedName>
    <definedName name="IQ_EBITDA_EST_REUT" hidden="1">"c3640"</definedName>
    <definedName name="IQ_EBITDA_HIGH_EST_REUT" hidden="1">"c3642"</definedName>
    <definedName name="IQ_EBITDA_LOW_EST_REUT" hidden="1">"c3643"</definedName>
    <definedName name="IQ_EBITDA_MEDIAN_EST_REUT" hidden="1">"c3641"</definedName>
    <definedName name="IQ_EBITDA_NUM_EST_REUT" hidden="1">"c3644"</definedName>
    <definedName name="IQ_EBITDA_STDDEV_EST_REUT" hidden="1">"c3645"</definedName>
    <definedName name="IQ_EBT_BR" hidden="1">"c378"</definedName>
    <definedName name="IQ_EBT_EXCL_BR" hidden="1">"c381"</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ICIENCY_RATIO_FDIC" hidden="1">"c6736"</definedName>
    <definedName name="IQ_EPS" hidden="1">"IQ_EPS"</definedName>
    <definedName name="IQ_EPS_EST_REUT" hidden="1">"c5453"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_REUT" hidden="1">"c5454"</definedName>
    <definedName name="IQ_EPS_LOW_EST_REUT" hidden="1">"c5455"</definedName>
    <definedName name="IQ_EPS_MEDIAN_EST_REUT" hidden="1">"c5456"</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_REUT" hidden="1">"c5452"</definedName>
    <definedName name="IQ_EQUITY_CAPITAL_ASSETS_FDIC" hidden="1">"c6744"</definedName>
    <definedName name="IQ_EQUITY_FDIC" hidden="1">"c6353"</definedName>
    <definedName name="IQ_EQUITY_SECURITIES_FDIC" hidden="1">"c6304"</definedName>
    <definedName name="IQ_EQUITY_SECURITY_EXPOSURES_FDIC" hidden="1">"c6664"</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SHARE_SHARE_REUT" hidden="1">"c3843"</definedName>
    <definedName name="IQ_EST_ACT_FFO_SHARE_SHARE_THOM" hidden="1">"c4005"</definedName>
    <definedName name="IQ_EST_ACT_FFO_THOM" hidden="1">"c4005"</definedName>
    <definedName name="IQ_EST_CURRENCY_REUT" hidden="1">"c5437"</definedName>
    <definedName name="IQ_EST_DATE_REUT" hidden="1">"c5438"</definedName>
    <definedName name="IQ_EST_EPS_GROWTH_1YR_REUT" hidden="1">"c3646"</definedName>
    <definedName name="IQ_EST_EPS_GROWTH_5YR_REUT" hidden="1">"c3633"</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HARE_SHARE_DIFF_REUT" hidden="1">"c3890"</definedName>
    <definedName name="IQ_EST_FFO_SHARE_SHARE_DIFF_THOM" hidden="1">"c5186"</definedName>
    <definedName name="IQ_EST_FFO_SHARE_SHARE_SURPRISE_PERCENT_REUT" hidden="1">"c3891"</definedName>
    <definedName name="IQ_EST_FFO_SHARE_SHARE_SURPRISE_PERCENT_THOM" hidden="1">"c5187"</definedName>
    <definedName name="IQ_EST_FFO_SURPRISE_PERCENT_REUT" hidden="1">"c3891"</definedName>
    <definedName name="IQ_EST_FFO_SURPRISE_PERCENT_THOM" hidden="1">"c5187"</definedName>
    <definedName name="IQ_ESTIMATED_ASSESSABLE_DEPOSITS_FDIC" hidden="1">"c6490"</definedName>
    <definedName name="IQ_ESTIMATED_INSURED_DEPOSITS_FDIC" hidden="1">"c6491"</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_BR" hidden="1">"c412"</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ED_FUNDS_PURCHASED_FDIC" hidden="1">"c6343"</definedName>
    <definedName name="IQ_FED_FUNDS_SOLD_FDIC" hidden="1">"c6307"</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_CIQ" hidden="1">"c3668"</definedName>
    <definedName name="IQ_FFO_EST_DET_EST" hidden="1">"c12059"</definedName>
    <definedName name="IQ_FFO_EST_DET_EST_CURRENCY" hidden="1">"c12466"</definedName>
    <definedName name="IQ_FFO_EST_DET_EST_CURRENCY_REUT" hidden="1">"c12536"</definedName>
    <definedName name="IQ_FFO_EST_DET_EST_CURRENCY_THOM" hidden="1">"c12487"</definedName>
    <definedName name="IQ_FFO_EST_DET_EST_DATE" hidden="1">"c12212"</definedName>
    <definedName name="IQ_FFO_EST_DET_EST_DATE_REUT" hidden="1">"c12295"</definedName>
    <definedName name="IQ_FFO_EST_DET_EST_DATE_THOM" hidden="1">"c12238"</definedName>
    <definedName name="IQ_FFO_EST_DET_EST_INCL" hidden="1">"c12349"</definedName>
    <definedName name="IQ_FFO_EST_DET_EST_INCL_REUT" hidden="1">"c12419"</definedName>
    <definedName name="IQ_FFO_EST_DET_EST_INCL_THOM" hidden="1">"c12370"</definedName>
    <definedName name="IQ_FFO_EST_DET_EST_ORIGIN" hidden="1">"c12722"</definedName>
    <definedName name="IQ_FFO_EST_DET_EST_ORIGIN_REUT" hidden="1">"c12724"</definedName>
    <definedName name="IQ_FFO_EST_DET_EST_ORIGIN_THOM" hidden="1">"c12608"</definedName>
    <definedName name="IQ_FFO_EST_DET_EST_REUT" hidden="1">"c12153"</definedName>
    <definedName name="IQ_FFO_EST_DET_EST_THOM" hidden="1">"c12088"</definedName>
    <definedName name="IQ_FFO_EST_REUT" hidden="1">"c3837"</definedName>
    <definedName name="IQ_FFO_EST_THOM" hidden="1">"c3999"</definedName>
    <definedName name="IQ_FFO_HIGH_EST_CIQ" hidden="1">"c3670"</definedName>
    <definedName name="IQ_FFO_HIGH_EST_REUT" hidden="1">"c3839"</definedName>
    <definedName name="IQ_FFO_HIGH_EST_THOM" hidden="1">"c4001"</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UM_EST_CIQ" hidden="1">"c3672"</definedName>
    <definedName name="IQ_FFO_NUM_EST_REUT" hidden="1">"c3841"</definedName>
    <definedName name="IQ_FFO_NUM_EST_THOM" hidden="1">"c4003"</definedName>
    <definedName name="IQ_FFO_SHARE_SHARE_EST_DET_EST" hidden="1">"c12059"</definedName>
    <definedName name="IQ_FFO_SHARE_SHARE_EST_DET_EST_CURRENCY" hidden="1">"c12466"</definedName>
    <definedName name="IQ_FFO_SHARE_SHARE_EST_DET_EST_CURRENCY_REUT" hidden="1">"c12536"</definedName>
    <definedName name="IQ_FFO_SHARE_SHARE_EST_DET_EST_CURRENCY_THOM" hidden="1">"c12487"</definedName>
    <definedName name="IQ_FFO_SHARE_SHARE_EST_DET_EST_DATE" hidden="1">"c12212"</definedName>
    <definedName name="IQ_FFO_SHARE_SHARE_EST_DET_EST_DATE_REUT" hidden="1">"c12295"</definedName>
    <definedName name="IQ_FFO_SHARE_SHARE_EST_DET_EST_DATE_THOM" hidden="1">"c12238"</definedName>
    <definedName name="IQ_FFO_SHARE_SHARE_EST_DET_EST_INCL" hidden="1">"c12349"</definedName>
    <definedName name="IQ_FFO_SHARE_SHARE_EST_DET_EST_INCL_REUT" hidden="1">"c12419"</definedName>
    <definedName name="IQ_FFO_SHARE_SHARE_EST_DET_EST_INCL_THOM" hidden="1">"c12370"</definedName>
    <definedName name="IQ_FFO_SHARE_SHARE_EST_DET_EST_ORIGIN" hidden="1">"c12722"</definedName>
    <definedName name="IQ_FFO_SHARE_SHARE_EST_DET_EST_ORIGIN_REUT" hidden="1">"c12724"</definedName>
    <definedName name="IQ_FFO_SHARE_SHARE_EST_DET_EST_ORIGIN_THOM" hidden="1">"c12608"</definedName>
    <definedName name="IQ_FFO_SHARE_SHARE_EST_DET_EST_REUT" hidden="1">"c12153"</definedName>
    <definedName name="IQ_FFO_SHARE_SHARE_EST_DET_EST_THOM" hidden="1">"c12088"</definedName>
    <definedName name="IQ_FFO_SHARE_SHARE_EST_REUT" hidden="1">"c3837"</definedName>
    <definedName name="IQ_FFO_SHARE_SHARE_EST_THOM" hidden="1">"c3999"</definedName>
    <definedName name="IQ_FFO_SHARE_SHARE_HIGH_EST_REUT" hidden="1">"c3839"</definedName>
    <definedName name="IQ_FFO_SHARE_SHARE_HIGH_EST_THOM" hidden="1">"c4001"</definedName>
    <definedName name="IQ_FFO_SHARE_SHARE_LOW_EST_REUT" hidden="1">"c3840"</definedName>
    <definedName name="IQ_FFO_SHARE_SHARE_LOW_EST_THOM" hidden="1">"c4002"</definedName>
    <definedName name="IQ_FFO_SHARE_SHARE_MEDIAN_EST_REUT" hidden="1">"c3838"</definedName>
    <definedName name="IQ_FFO_SHARE_SHARE_MEDIAN_EST_THOM" hidden="1">"c4000"</definedName>
    <definedName name="IQ_FFO_SHARE_SHARE_NUM_EST_REUT" hidden="1">"c3841"</definedName>
    <definedName name="IQ_FFO_SHARE_SHARE_NUM_EST_THOM" hidden="1">"c4003"</definedName>
    <definedName name="IQ_FFO_SHARE_SHARE_STDDEV_EST_REUT" hidden="1">"c3842"</definedName>
    <definedName name="IQ_FFO_SHARE_SHARE_STDDEV_EST_THOM" hidden="1">"c4004"</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IDUCIARY_ACTIVITIES_FDIC" hidden="1">"c6571"</definedName>
    <definedName name="IQ_FIFETEEN_YEAR_FIXED_AND_FLOATING_RATE_FDIC" hidden="1">"c6423"</definedName>
    <definedName name="IQ_FIFETEEN_YEAR_MORTGAGE_PASS_THROUGHS_FDIC" hidden="1">"c6415"</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IVE_YEAR_FIXED_AND_FLOATING_RATE_FDIC" hidden="1">"c6422"</definedName>
    <definedName name="IQ_FIVE_YEAR_MORTGAGE_PASS_THROUGHS_FDIC" hidden="1">"c6414"</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OSITS_NONTRANSACTION_ACCOUNTS_FDIC" hidden="1">"c6549"</definedName>
    <definedName name="IQ_FOREIGN_DEPOSITS_TRANSACTION_ACCOUNTS_FDIC" hidden="1">"c6541"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Q">500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_CONTRACTS_FDIC" hidden="1">"c6517"</definedName>
    <definedName name="IQ_FX_CONTRACTS_SPOT_FDIC" hidden="1">"c6356"</definedName>
    <definedName name="IQ_FY">1000</definedName>
    <definedName name="IQ_FY_DATE" hidden="1">"IQ_FY_DATE"</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W_AMORT_BR" hidden="1">"c532"</definedName>
    <definedName name="IQ_GW_INTAN_AMORT_BR" hidden="1">"c1470"</definedName>
    <definedName name="IQ_GW_INTAN_AMORT_CF_BR" hidden="1">"c1473"</definedName>
    <definedName name="IQ_HELD_MATURITY_FDIC" hidden="1">"c6408"</definedName>
    <definedName name="IQ_HIGH_TARGET_PRICE_REUT" hidden="1">"c5317"</definedName>
    <definedName name="IQ_HOME_EQUITY_LOC_NET_CHARGE_OFFS_FDIC" hidden="1">"c6644"</definedName>
    <definedName name="IQ_HOME_EQUITY_LOC_TOTAL_CHARGE_OFFS_FDIC" hidden="1">"c6606"</definedName>
    <definedName name="IQ_HOME_EQUITY_LOC_TOTAL_RECOVERIES_FDIC" hidden="1">"c6625"</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NC_EQUITY_BR" hidden="1">"c550"</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SETTLE_BR" hidden="1">"c572"</definedName>
    <definedName name="IQ_INSIDER_LOANS_FDIC" hidden="1">"c6365"</definedName>
    <definedName name="IQ_INSTITUTIONS_EARNINGS_GAINS_FDIC" hidden="1">"c6723"</definedName>
    <definedName name="IQ_INSURANCE_COMMISSION_FEES_FDIC" hidden="1">"c6670"</definedName>
    <definedName name="IQ_INSURANCE_UNDERWRITING_INCOME_FDIC" hidden="1">"c6671"</definedName>
    <definedName name="IQ_INT_DEMAND_NOTES_FDIC" hidden="1">"c6567"</definedName>
    <definedName name="IQ_INT_DOMESTIC_DEPOSITS_FDIC" hidden="1">"c6564"</definedName>
    <definedName name="IQ_INT_EXP_BR" hidden="1">"c586"</definedName>
    <definedName name="IQ_INT_EXP_TOTAL_FDIC" hidden="1">"c6569"</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OREIGN_LOANS_FDIC" hidden="1">"c6556"</definedName>
    <definedName name="IQ_INT_INC_LEASE_RECEIVABLES_FDIC" hidden="1">"c6557"</definedName>
    <definedName name="IQ_INT_INC_OTHER_FDIC" hidden="1">"c6562"</definedName>
    <definedName name="IQ_INT_INC_SECURITIES_FDIC" hidden="1">"c6559"</definedName>
    <definedName name="IQ_INT_INC_TOTAL_FDIC" hidden="1">"c6563"</definedName>
    <definedName name="IQ_INT_INC_TRADING_ACCOUNTS_FDIC" hidden="1">"c6560"</definedName>
    <definedName name="IQ_INT_SUB_NOTES_FDIC" hidden="1">"c6568"</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RATE_CONTRACTS_FDIC" hidden="1">"c6512"</definedName>
    <definedName name="IQ_INTEREST_RATE_EXPOSURES_FDIC" hidden="1">"c6662"</definedName>
    <definedName name="IQ_INVEST_LOANS_CF_BR" hidden="1">"c630"</definedName>
    <definedName name="IQ_INVEST_SECURITY_CF_BR" hidden="1">"c639"</definedName>
    <definedName name="IQ_INVESTMENT_BANKING_OTHER_FEES_FDIC" hidden="1">"c6666"</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UED_GUARANTEED_US_FDIC" hidden="1">"c6404"</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_BR" hidden="1">"c649"</definedName>
    <definedName name="IQ_LIFE_INSURANCE_ASSETS_FDIC" hidden="1">"c6372"</definedName>
    <definedName name="IQ_LOAN_COMMITMENTS_REVOLVING_FDIC" hidden="1">"c6524"</definedName>
    <definedName name="IQ_LOAN_LOSS_ALLOW_FDIC" hidden="1">"c6326"</definedName>
    <definedName name="IQ_LOAN_LOSS_ALLOWANCE_NONCURRENT_LOANS_FDIC" hidden="1">"c6740"</definedName>
    <definedName name="IQ_LOAN_LOSSES_FDIC" hidden="1">"c6580"</definedName>
    <definedName name="IQ_LOANS_AND_LEASES_HELD_FDIC" hidden="1">"c6367"</definedName>
    <definedName name="IQ_LOANS_CF_BR" hidden="1">"c661"</definedName>
    <definedName name="IQ_LOANS_DEPOSITORY_INSTITUTIONS_FDIC" hidden="1">"c6382"</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SS_ALLOWANCE_LOANS_FDIC" hidden="1">"c6739"</definedName>
    <definedName name="IQ_LOW_TARGET_PRICE_REUT" hidden="1">"c5318"</definedName>
    <definedName name="IQ_LT_DEBT_BR" hidden="1">"c676"</definedName>
    <definedName name="IQ_LT_DEBT_ISSUED_BR" hidden="1">"c683"</definedName>
    <definedName name="IQ_LT_DEBT_REPAID_BR" hidden="1">"c691"</definedName>
    <definedName name="IQ_LT_INVEST_BR" hidden="1">"c698"</definedName>
    <definedName name="IQ_LTM">2000</definedName>
    <definedName name="IQ_LTM_DATE" hidden="1">"IQ_LTM_DATE"</definedName>
    <definedName name="IQ_LTMMONTH" hidden="1">120000</definedName>
    <definedName name="IQ_MATURITY_ONE_YEAR_LESS_FDIC" hidden="1">"c6425"</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_BR" hidden="1">"c715"</definedName>
    <definedName name="IQ_MERGER_RESTRUCTURE_BR" hidden="1">"c721"</definedName>
    <definedName name="IQ_MINORITY_INTEREST_BR" hidden="1">"c729"</definedName>
    <definedName name="IQ_MKTCAP_TOTAL_REV_FWD_REUT" hidden="1">"c4048"</definedName>
    <definedName name="IQ_MONEY_MARKET_DEPOSIT_ACCOUNTS_FDIC" hidden="1">"c6553"</definedName>
    <definedName name="IQ_MONTH">15000</definedName>
    <definedName name="IQ_MORTGAGE_BACKED_SECURITIES_FDIC" hidden="1">"c6402"</definedName>
    <definedName name="IQ_MORTGAGE_SERVICING_FDIC" hidden="1">"c6335"</definedName>
    <definedName name="IQ_MTD" hidden="1">800000</definedName>
    <definedName name="IQ_MULTIFAMILY_RESIDENTIAL_LOANS_FDIC" hidden="1">"c6311"</definedName>
    <definedName name="IQ_NAMES_REVISION_DATE_" hidden="1">"02/28/2017 09:06:23"</definedName>
    <definedName name="IQ_NAV_ACT_OR_EST" hidden="1">"c2225"</definedName>
    <definedName name="IQ_NET_CHARGE_OFFS_FDIC" hidden="1">"c6641"</definedName>
    <definedName name="IQ_NET_CHARGE_OFFS_LOANS_FDIC" hidden="1">"c6751"</definedName>
    <definedName name="IQ_NET_DEBT_ISSUED_BR" hidden="1">"c753"</definedName>
    <definedName name="IQ_NET_INCOME_FDIC" hidden="1">"c6587"</definedName>
    <definedName name="IQ_NET_INT_INC_BNK_FDIC" hidden="1">"c6570"</definedName>
    <definedName name="IQ_NET_INT_INC_BR" hidden="1">"c765"</definedName>
    <definedName name="IQ_NET_INTEREST_MARGIN_FDIC" hidden="1">"c6726"</definedName>
    <definedName name="IQ_NET_LOANS_LEASES_CORE_DEPOSITS_FDIC" hidden="1">"c6743"</definedName>
    <definedName name="IQ_NET_LOANS_LEASES_DEPOSITS_FDIC" hidden="1">"c6742"</definedName>
    <definedName name="IQ_NET_OPERATING_INCOME_ASSETS_FDIC" hidden="1">"c6729"</definedName>
    <definedName name="IQ_NET_SECURITIZATION_INCOME_FDIC" hidden="1">"c6669"</definedName>
    <definedName name="IQ_NET_SERVICING_FEES_FDIC" hidden="1">"c6668"</definedName>
    <definedName name="IQ_NON_INT_EXP_FDIC" hidden="1">"c6579"</definedName>
    <definedName name="IQ_NON_INT_INC_FDIC" hidden="1">"c6575"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TM">6000</definedName>
    <definedName name="IQ_NUMBER_DEPOSITS_LESS_THAN_100K_FDIC" hidden="1">"c6495"</definedName>
    <definedName name="IQ_NUMBER_DEPOSITS_MORE_THAN_100K_FDIC" hidden="1">"c6493"</definedName>
    <definedName name="IQ_OBLIGATIONS_OF_STATES_TOTAL_LOANS_FOREIGN_FDIC" hidden="1">"c6447"</definedName>
    <definedName name="IQ_OBLIGATIONS_STATES_FDIC" hidden="1">"c6431"</definedName>
    <definedName name="IQ_OG_TOTAL_OIL_PRODUCTON" hidden="1">"c2059"</definedName>
    <definedName name="IQ_OPENED55" hidden="1">1</definedName>
    <definedName name="IQ_OPER_INC_BR" hidden="1">"c850"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MORT_BR" hidden="1">"c5566"</definedName>
    <definedName name="IQ_OTHER_ASSETS_BR" hidden="1">"c862"</definedName>
    <definedName name="IQ_OTHER_ASSETS_FDIC" hidden="1">"c6338"</definedName>
    <definedName name="IQ_OTHER_BORROWED_FUNDS_FDIC" hidden="1">"c6345"</definedName>
    <definedName name="IQ_OTHER_CA_SUPPL_BR" hidden="1">"c871"</definedName>
    <definedName name="IQ_OTHER_CL_SUPPL_BR" hidden="1">"c880"</definedName>
    <definedName name="IQ_OTHER_COMPREHENSIVE_INCOME_FDIC" hidden="1">"c6503"</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QUITY_BR" hidden="1">"c888"</definedName>
    <definedName name="IQ_OTHER_FINANCE_ACT_BR" hidden="1">"c895"</definedName>
    <definedName name="IQ_OTHER_FINANCE_ACT_SUPPL_BR" hidden="1">"c901"</definedName>
    <definedName name="IQ_OTHER_INSURANCE_FEES_FDIC" hidden="1">"c6672"</definedName>
    <definedName name="IQ_OTHER_INTAN_BR" hidden="1">"c909"</definedName>
    <definedName name="IQ_OTHER_INTANGIBLE_FDIC" hidden="1">"c6337"</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IABILITIES_FDIC" hidden="1">"c6347"</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T_ASSETS_BR" hidden="1">"c948"</definedName>
    <definedName name="IQ_OTHER_NON_INT_EXP_FDIC" hidden="1">"c6578"</definedName>
    <definedName name="IQ_OTHER_NON_INT_EXPENSE_FDIC" hidden="1">"c6679"</definedName>
    <definedName name="IQ_OTHER_NON_INT_INC_FDIC" hidden="1">"c6676"</definedName>
    <definedName name="IQ_OTHER_NON_OPER_EXP_BR" hidden="1">"c957"</definedName>
    <definedName name="IQ_OTHER_NON_OPER_EXP_SUPPL_BR" hidden="1">"c962"</definedName>
    <definedName name="IQ_OTHER_OFF_BS_LIAB_FDIC" hidden="1">"c6533"</definedName>
    <definedName name="IQ_OTHER_OPER_ACT_BR" hidden="1">"c985"</definedName>
    <definedName name="IQ_OTHER_OPER_BR" hidden="1">"c990"</definedName>
    <definedName name="IQ_OTHER_OPER_SUPPL_BR" hidden="1">"c994"</definedName>
    <definedName name="IQ_OTHER_OPER_TOT_BR" hidden="1">"c1000"</definedName>
    <definedName name="IQ_OTHER_RE_OWNED_FDIC" hidden="1">"c6330"</definedName>
    <definedName name="IQ_OTHER_REV_BR" hidden="1">"c1011"</definedName>
    <definedName name="IQ_OTHER_REV_SUPPL_BR" hidden="1">"c1016"</definedName>
    <definedName name="IQ_OTHER_SAVINGS_DEPOSITS_FDIC" hidden="1">"c6554"</definedName>
    <definedName name="IQ_OTHER_TRANSACTIONS_FDIC" hidden="1">"c6504"</definedName>
    <definedName name="IQ_OTHER_UNUSED_COMMITMENTS_FDIC" hidden="1">"c6530"</definedName>
    <definedName name="IQ_OTHER_UNUSUAL_BR" hidden="1">"c1561"</definedName>
    <definedName name="IQ_OTHER_UNUSUAL_SUPPL_BR" hidden="1">"c1496"</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C_WRITTEN" hidden="1">"c1027"</definedName>
    <definedName name="IQ_PE_EXCL_FWD_REUT" hidden="1">"c4049"</definedName>
    <definedName name="IQ_PEG_FWD_REUT" hidden="1">"c4052"</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REUT" hidden="1">"c3938"</definedName>
    <definedName name="IQ_PERCENT_CHANGE_EST_FFO_SHARE_SHARE_12MONTHS_THOM" hidden="1">"c5248"</definedName>
    <definedName name="IQ_PERCENT_CHANGE_EST_FFO_SHARE_SHARE_18MONTHS" hidden="1">"c1829"</definedName>
    <definedName name="IQ_PERCENT_CHANGE_EST_FFO_SHARE_SHARE_18MONTHS_REUT" hidden="1">"c3939"</definedName>
    <definedName name="IQ_PERCENT_CHANGE_EST_FFO_SHARE_SHARE_18MONTHS_THOM" hidden="1">"c5249"</definedName>
    <definedName name="IQ_PERCENT_CHANGE_EST_FFO_SHARE_SHARE_3MONTHS" hidden="1">"c1825"</definedName>
    <definedName name="IQ_PERCENT_CHANGE_EST_FFO_SHARE_SHARE_3MONTHS_REUT" hidden="1">"c3935"</definedName>
    <definedName name="IQ_PERCENT_CHANGE_EST_FFO_SHARE_SHARE_3MONTHS_THOM" hidden="1">"c5245"</definedName>
    <definedName name="IQ_PERCENT_CHANGE_EST_FFO_SHARE_SHARE_6MONTHS" hidden="1">"c1826"</definedName>
    <definedName name="IQ_PERCENT_CHANGE_EST_FFO_SHARE_SHARE_6MONTHS_REUT" hidden="1">"c3936"</definedName>
    <definedName name="IQ_PERCENT_CHANGE_EST_FFO_SHARE_SHARE_6MONTHS_THOM" hidden="1">"c5246"</definedName>
    <definedName name="IQ_PERCENT_CHANGE_EST_FFO_SHARE_SHARE_9MONTHS" hidden="1">"c1827"</definedName>
    <definedName name="IQ_PERCENT_CHANGE_EST_FFO_SHARE_SHARE_9MONTHS_REUT" hidden="1">"c3937"</definedName>
    <definedName name="IQ_PERCENT_CHANGE_EST_FFO_SHARE_SHARE_9MONTHS_THOM" hidden="1">"c5247"</definedName>
    <definedName name="IQ_PERCENT_CHANGE_EST_FFO_SHARE_SHARE_DAY" hidden="1">"c1822"</definedName>
    <definedName name="IQ_PERCENT_CHANGE_EST_FFO_SHARE_SHARE_DAY_REUT" hidden="1">"c3933"</definedName>
    <definedName name="IQ_PERCENT_CHANGE_EST_FFO_SHARE_SHARE_DAY_THOM" hidden="1">"c5243"</definedName>
    <definedName name="IQ_PERCENT_CHANGE_EST_FFO_SHARE_SHARE_MONTH" hidden="1">"c1824"</definedName>
    <definedName name="IQ_PERCENT_CHANGE_EST_FFO_SHARE_SHARE_MONTH_REUT" hidden="1">"c3934"</definedName>
    <definedName name="IQ_PERCENT_CHANGE_EST_FFO_SHARE_SHARE_MONTH_THOM" hidden="1">"c5244"</definedName>
    <definedName name="IQ_PERCENT_CHANGE_EST_FFO_SHARE_SHARE_WEEK" hidden="1">"c1823"</definedName>
    <definedName name="IQ_PERCENT_CHANGE_EST_FFO_SHARE_SHARE_WEEK_REUT" hidden="1">"c3964"</definedName>
    <definedName name="IQ_PERCENT_CHANGE_EST_FFO_SHARE_SHARE_WEEK_THOM" hidden="1">"c5274"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_FDIC" hidden="1">"c13646"</definedName>
    <definedName name="IQ_PLEDGED_SECURITIES_FDIC" hidden="1">"c6401"</definedName>
    <definedName name="IQ_PRE_TAX_INCOME_FDIC" hidden="1">"c6581"</definedName>
    <definedName name="IQ_PREF_ISSUED_BR" hidden="1">"c1047"</definedName>
    <definedName name="IQ_PREF_OTHER_BR" hidden="1">"c1055"</definedName>
    <definedName name="IQ_PREF_REP_BR" hidden="1">"c1062"</definedName>
    <definedName name="IQ_PREFERRED_FDIC" hidden="1">"c6349"</definedName>
    <definedName name="IQ_PREMISES_EQUIPMENT_FDIC" hidden="1">"c6577"</definedName>
    <definedName name="IQ_PRETAX_RETURN_ASSETS_FDIC" hidden="1">"c6731"</definedName>
    <definedName name="IQ_PRICE_TARGET_REUT" hidden="1">"c3631"</definedName>
    <definedName name="IQ_PRICEDATETIME" hidden="1">"IQ_PRICEDATETIME"</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LATED_PLANS_FDIC" hidden="1">"c6320"</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IDENTIAL_LOANS" hidden="1">"c1102"</definedName>
    <definedName name="IQ_RESTATEMENTS_NET_FDIC" hidden="1">"c6500"</definedName>
    <definedName name="IQ_RESTRUCTURE_BR" hidden="1">"c1106"</definedName>
    <definedName name="IQ_RESTRUCTURED_LOANS_1_4_RESIDENTIAL_FDIC" hidden="1">"c6378"</definedName>
    <definedName name="IQ_RESTRUCTURED_LOANS_LEASES_FDIC" hidden="1">"c6377"</definedName>
    <definedName name="IQ_RESTRUCTURED_LOANS_NON_1_4_FDIC" hidden="1">"c6379"</definedName>
    <definedName name="IQ_RETAIL_DEPOSITS_FDIC" hidden="1">"c6488"</definedName>
    <definedName name="IQ_RETAINED_EARNINGS_AVERAGE_EQUITY_FDIC" hidden="1">"c6733"</definedName>
    <definedName name="IQ_RETURN_ASSETS_BROK" hidden="1">"c1115"</definedName>
    <definedName name="IQ_RETURN_ASSETS_FDIC" hidden="1">"c6730"</definedName>
    <definedName name="IQ_RETURN_EQUITY_BROK" hidden="1">"c1120"</definedName>
    <definedName name="IQ_RETURN_EQUITY_FDIC" hidden="1">"c6732"</definedName>
    <definedName name="IQ_REV_STDDEV_EST_REUT" hidden="1">"c3639"</definedName>
    <definedName name="IQ_REVALUATION_GAINS_FDIC" hidden="1">"c6428"</definedName>
    <definedName name="IQ_REVALUATION_LOSSES_FDIC" hidden="1">"c6429"</definedName>
    <definedName name="IQ_REVENUE_EST_REUT" hidden="1">"c3634"</definedName>
    <definedName name="IQ_REVENUE_HIGH_EST_REUT" hidden="1">"c3636"</definedName>
    <definedName name="IQ_REVENUE_LOW_EST_REUT" hidden="1">"c3637"</definedName>
    <definedName name="IQ_REVENUE_MEDIAN_EST_REUT" hidden="1">"c3635"</definedName>
    <definedName name="IQ_REVENUE_NUM_EST_REUT" hidden="1">"c3638"</definedName>
    <definedName name="IQ_RISK_WEIGHTED_ASSETS_FDIC" hidden="1">"c6370"</definedName>
    <definedName name="IQ_SALARY_FDIC" hidden="1">"c6576"</definedName>
    <definedName name="IQ_SALE_CONVERSION_RETIREMENT_STOCK_FDIC" hidden="1">"c6661"</definedName>
    <definedName name="IQ_SALE_INTAN_CF_BR" hidden="1">"c1133"</definedName>
    <definedName name="IQ_SALE_PPE_CF_BR" hidden="1">"c1139"</definedName>
    <definedName name="IQ_SALE_REAL_ESTATE_CF_BR" hidden="1">"c1145"</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RVICE_CHARGES_FDIC" hidden="1">"c6572"</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STATES_NONTRANSACTION_ACCOUNTS_FDIC" hidden="1">"c6547"</definedName>
    <definedName name="IQ_STATES_TOTAL_DEPOSITS_FDIC" hidden="1">"c6473"</definedName>
    <definedName name="IQ_STATES_TRANSACTION_ACCOUNTS_FDIC" hidden="1">"c6539"</definedName>
    <definedName name="IQ_SUB_DEBT_FDIC" hidden="1">"c6346"</definedName>
    <definedName name="IQ_SURPLUS_FDIC" hidden="1">"c6351"</definedName>
    <definedName name="IQ_TARGET_PRICE_NUM_REUT" hidden="1">"c5319"</definedName>
    <definedName name="IQ_TARGET_PRICE_STDDEV_REUT" hidden="1">"c5320"</definedName>
    <definedName name="IQ_TEV_EBITDA_FWD_REUT" hidden="1">"c4050"</definedName>
    <definedName name="IQ_TEV_TOTAL_REV_FWD_REUT" hidden="1">"c4051"</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FDIC" hidden="1">"c6369"</definedName>
    <definedName name="IQ_TIME_DEPOSITS_LESS_THAN_100K_FDIC" hidden="1">"c6465"</definedName>
    <definedName name="IQ_TIME_DEPOSITS_MORE_THAN_100K_FDIC" hidden="1">"c6470"</definedName>
    <definedName name="IQ_TODAY" hidden="1">0</definedName>
    <definedName name="IQ_TOTAL_AR_BR" hidden="1">"c1231"</definedName>
    <definedName name="IQ_TOTAL_ASSETS_FDIC" hidden="1">"c6339"</definedName>
    <definedName name="IQ_TOTAL_CHARGE_OFFS_FDIC" hidden="1">"c6603"</definedName>
    <definedName name="IQ_TOTAL_DEBT_ISSUED_BR" hidden="1">"c1253"</definedName>
    <definedName name="IQ_TOTAL_DEBT_REPAID_BR" hidden="1">"c1260"</definedName>
    <definedName name="IQ_TOTAL_DEBT_SECURITIES_FDIC" hidden="1">"c6410"</definedName>
    <definedName name="IQ_TOTAL_DEPOSITS_FDIC" hidden="1">"c6342"</definedName>
    <definedName name="IQ_TOTAL_EMPLOYEES_FDIC" hidden="1">"c6355"</definedName>
    <definedName name="IQ_TOTAL_LIAB_BR" hidden="1">"c1278"</definedName>
    <definedName name="IQ_TOTAL_LIAB_EQUITY_FDIC" hidden="1">"c6354"</definedName>
    <definedName name="IQ_TOTAL_LIABILITIES_FDIC" hidden="1">"c6348"</definedName>
    <definedName name="IQ_TOTAL_OPER_EXP_BR" hidden="1">"c1284"</definedName>
    <definedName name="IQ_TOTAL_PENSION_OBLIGATION" hidden="1">"c1292"</definedName>
    <definedName name="IQ_TOTAL_RECOVERIES_FDIC" hidden="1">"c6622"</definedName>
    <definedName name="IQ_TOTAL_REV_BNK_FDIC" hidden="1">"c6786"</definedName>
    <definedName name="IQ_TOTAL_REV_BR" hidden="1">"c1303"</definedName>
    <definedName name="IQ_TOTAL_RISK_BASED_CAPITAL_RATIO_FDIC" hidden="1">"c6747"</definedName>
    <definedName name="IQ_TOTAL_SECURITIES_FDIC" hidden="1">"c6306"</definedName>
    <definedName name="IQ_TOTAL_TIME_DEPOSITS_FDIC" hidden="1">"c6497"</definedName>
    <definedName name="IQ_TOTAL_TIME_SAVINGS_DEPOSITS_FDIC" hidden="1">"c6498"</definedName>
    <definedName name="IQ_TOTAL_UNUSED_COMMITMENTS_FDIC" hidden="1">"c6536"</definedName>
    <definedName name="IQ_TOTAL_UNUSUAL_BR" hidden="1">"c5517"</definedName>
    <definedName name="IQ_TRADING_ACCOUNT_GAINS_FEES_FDIC" hidden="1">"c6573"</definedName>
    <definedName name="IQ_TRADING_ASSETS_FDIC" hidden="1">"c6328"</definedName>
    <definedName name="IQ_TRADING_LIABILITIES_FDIC" hidden="1">"c6344"</definedName>
    <definedName name="IQ_TRANSACTION_ACCOUNTS_FDIC" hidden="1">"c6544"</definedName>
    <definedName name="IQ_TREASURY_OTHER_EQUITY_BR" hidden="1">"c1314"</definedName>
    <definedName name="IQ_TREASURY_STOCK_TRANSACTIONS_FDIC" hidden="1">"c6501"</definedName>
    <definedName name="IQ_TWELVE_MONTHS_FIXED_AND_FLOATING_FDIC" hidden="1">"c6420"</definedName>
    <definedName name="IQ_TWELVE_MONTHS_MORTGAGE_PASS_THROUGHS_FDIC" hidden="1">"c6412"</definedName>
    <definedName name="IQ_UNDIVIDED_PROFITS_FDIC" hidden="1">"c6352"</definedName>
    <definedName name="IQ_UNEARN_REV_CURRENT_BR" hidden="1">"c1324"</definedName>
    <definedName name="IQ_UNEARNED_INCOME_FDIC" hidden="1">"c6324"</definedName>
    <definedName name="IQ_UNEARNED_INCOME_FOREIGN_FDIC" hidden="1">"c6385"</definedName>
    <definedName name="IQ_UNPROFITABLE_INSTITUTIONS_FDIC" hidden="1">"c6722"</definedName>
    <definedName name="IQ_UNUSED_LOAN_COMMITMENTS_FDIC" hidden="1">"c6368"</definedName>
    <definedName name="IQ_US_BRANCHES_FOREIGN_BANK_LOANS_FDIC" hidden="1">"c6435"</definedName>
    <definedName name="IQ_US_BRANCHES_FOREIGN_BANKS_FDIC" hidden="1">"c6390"</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VALUATION_ALLOWANCES_FDIC" hidden="1">"c6400"</definedName>
    <definedName name="IQ_VC_REVENUE_FDIC" hidden="1">"c6667"</definedName>
    <definedName name="IQ_VOLATILE_LIABILITIES_FDIC" hidden="1">"c6364"</definedName>
    <definedName name="IQ_WEEK">50000</definedName>
    <definedName name="IQ_WRITTEN_OPTION_CONTRACTS_FDIC" hidden="1">"c6509"</definedName>
    <definedName name="IQ_WRITTEN_OPTION_CONTRACTS_FX_RISK_FDIC" hidden="1">"c6514"</definedName>
    <definedName name="IQ_WRITTEN_OPTION_CONTRACTS_NON_FX_IR_FDIC" hidden="1">"c6519"</definedName>
    <definedName name="IQ_YTD">3000</definedName>
    <definedName name="IQ_YTDMONTH" hidden="1">130000</definedName>
    <definedName name="IQRA1" hidden="1">"$A$2:$A$528"</definedName>
    <definedName name="IQRAA4" hidden="1">"$AA$5:$AA$18"</definedName>
    <definedName name="IQRAB4" hidden="1">"$AB$5:$AB$25"</definedName>
    <definedName name="IQRAC4" hidden="1">"$AC$5:$AC$11"</definedName>
    <definedName name="IQRAD4" hidden="1">"$AD$5:$AD$14"</definedName>
    <definedName name="IQRAE4" hidden="1">"$AE$5:$AE$14"</definedName>
    <definedName name="IQRAF4" hidden="1">"$AF$5:$AF$12"</definedName>
    <definedName name="IQRAG4" hidden="1">"$AG$5:$AG$12"</definedName>
    <definedName name="IQRAH4" hidden="1">"$AH$5:$AH$6"</definedName>
    <definedName name="IQRAI4" hidden="1">"$AI$5:$AI$6"</definedName>
    <definedName name="IQRAJ4" hidden="1">"$AJ$5:$AJ$6"</definedName>
    <definedName name="IQRAK4" hidden="1">"$AK$5:$AK$6"</definedName>
    <definedName name="IQRAL4" hidden="1">"$AL$5:$AL$10"</definedName>
    <definedName name="IQRAM4" hidden="1">"$AM$5:$AM$10"</definedName>
    <definedName name="IQRAN4" hidden="1">"$AN$5:$AN$6"</definedName>
    <definedName name="IQRAP4" hidden="1">"$AP$5:$AP$6"</definedName>
    <definedName name="IQRAQ4" hidden="1">"$AQ$5:$AQ$6"</definedName>
    <definedName name="IQRAS4" hidden="1">"$AS$5:$AS$8"</definedName>
    <definedName name="IQRAT4" hidden="1">"$AT$5:$AT$8"</definedName>
    <definedName name="IQRAU4" hidden="1">"$AU$5:$AU$14"</definedName>
    <definedName name="IQRAW4" hidden="1">"$AW$5:$AW$13"</definedName>
    <definedName name="IQRAX4" hidden="1">"$AX$5:$AX$14"</definedName>
    <definedName name="IQRAY4" hidden="1">"$AY$5:$AY$14"</definedName>
    <definedName name="IQRAZ4" hidden="1">"$AZ$5:$AZ$7"</definedName>
    <definedName name="IQRB1" hidden="1">"$B$2:$B$528"</definedName>
    <definedName name="IQRB101" hidden="1">"$B$102:$B$107"</definedName>
    <definedName name="IQRB110" hidden="1">"$B$111:$B$118"</definedName>
    <definedName name="IQRB121" hidden="1">"$B$122:$B$127"</definedName>
    <definedName name="IQRB130" hidden="1">"$B$131"</definedName>
    <definedName name="IQRB134" hidden="1">"$B$135:$B$141"</definedName>
    <definedName name="IQRB144" hidden="1">"$B$145:$B$146"</definedName>
    <definedName name="IQRB149" hidden="1">"$B$150:$B$151"</definedName>
    <definedName name="IQRB154" hidden="1">"$B$155:$B$159"</definedName>
    <definedName name="IQRB162" hidden="1">"$B$163"</definedName>
    <definedName name="IQRB17" hidden="1">"$B$18:$B$79"</definedName>
    <definedName name="IQRB173" hidden="1">"$B$174"</definedName>
    <definedName name="IQRB177" hidden="1">"$B$178"</definedName>
    <definedName name="IQRB181" hidden="1">"$B$182"</definedName>
    <definedName name="IQRB185" hidden="1">"$B$186:$B$192"</definedName>
    <definedName name="IQRB194" hidden="1">"$B$195"</definedName>
    <definedName name="IQRB198" hidden="1">"$B$199:$B$200"</definedName>
    <definedName name="IQRB203" hidden="1">"$B$204:$B$209"</definedName>
    <definedName name="IQRB21" hidden="1">"$B$22:$B$28"</definedName>
    <definedName name="IQRB212" hidden="1">"$B$213:$B$219"</definedName>
    <definedName name="IQRB222" hidden="1">"$B$223:$B$225"</definedName>
    <definedName name="IQRB228" hidden="1">"$B$229:$B$232"</definedName>
    <definedName name="IQRB235" hidden="1">"$B$236:$B$237"</definedName>
    <definedName name="IQRB240" hidden="1">"$B$241:$B$252"</definedName>
    <definedName name="IQRB255" hidden="1">"$B$256"</definedName>
    <definedName name="IQRB259" hidden="1">"$B$260:$B$272"</definedName>
    <definedName name="IQRB275" hidden="1">"$B$276:$B$283"</definedName>
    <definedName name="IQRB286" hidden="1">"$B$287:$B$293"</definedName>
    <definedName name="IQRB296" hidden="1">"$B$297"</definedName>
    <definedName name="IQRB300" hidden="1">"$B$301:$B$305"</definedName>
    <definedName name="IQRB308" hidden="1">"$B$309:$B$316"</definedName>
    <definedName name="IQRB31" hidden="1">"$B$32"</definedName>
    <definedName name="IQRB319" hidden="1">"$B$320:$B$326"</definedName>
    <definedName name="IQRB329" hidden="1">"$B$330:$B$345"</definedName>
    <definedName name="IQRB348" hidden="1">"$B$349:$B$358"</definedName>
    <definedName name="IQRB35" hidden="1">"$B$36"</definedName>
    <definedName name="IQRB361" hidden="1">"$B$362:$B$367"</definedName>
    <definedName name="IQRB39" hidden="1">"$B$40"</definedName>
    <definedName name="IQRB4" hidden="1">"$B$5:$B$12"</definedName>
    <definedName name="IQRB43" hidden="1">"$B$44:$B$51"</definedName>
    <definedName name="IQRB54" hidden="1">"$B$55:$B$58"</definedName>
    <definedName name="IQRB61" hidden="1">"$B$62"</definedName>
    <definedName name="IQRB65" hidden="1">"$B$66"</definedName>
    <definedName name="IQRB69" hidden="1">"$B$70:$B$77"</definedName>
    <definedName name="IQRB80" hidden="1">"$B$81"</definedName>
    <definedName name="IQRB84" hidden="1">"$B$85:$B$90"</definedName>
    <definedName name="IQRB9" hidden="1">"$B$10:$B$18"</definedName>
    <definedName name="IQRB93" hidden="1">"$B$94"</definedName>
    <definedName name="IQRB97" hidden="1">"$B$98"</definedName>
    <definedName name="IQRBA4" hidden="1">"$BA$5:$BA$7"</definedName>
    <definedName name="IQRBB4" hidden="1">"$BB$5:$BB$11"</definedName>
    <definedName name="IQRBC4" hidden="1">"$BC$5:$BC$11"</definedName>
    <definedName name="IQRBD4" hidden="1">"$BD$5"</definedName>
    <definedName name="IQRBF4" hidden="1">"$BF$5:$BF$15"</definedName>
    <definedName name="IQRBG4" hidden="1">"$BG$5"</definedName>
    <definedName name="IQRBH4" hidden="1">"$BH$5"</definedName>
    <definedName name="IQRBJ4" hidden="1">"$BJ$5"</definedName>
    <definedName name="IQRBK4" hidden="1">"$BK$5"</definedName>
    <definedName name="IQRBM4" hidden="1">"$BM$5"</definedName>
    <definedName name="IQRBN4" hidden="1">"$BN$5"</definedName>
    <definedName name="IQRBO4" hidden="1">"$BO$5:$BO$13"</definedName>
    <definedName name="IQRBP4" hidden="1">"$BP$5:$BP$9"</definedName>
    <definedName name="IQRBQ4" hidden="1">"$BQ$5:$BQ$9"</definedName>
    <definedName name="IQRBR4" hidden="1">"$BR$5:$BR$8"</definedName>
    <definedName name="IQRBS4" hidden="1">"$BS$5:$BS$8"</definedName>
    <definedName name="IQRBT4" hidden="1">"$BT$5"</definedName>
    <definedName name="IQRBU4" hidden="1">"$BU$5:$BU$12"</definedName>
    <definedName name="IQRBV4" hidden="1">"$BV$5:$BV$12"</definedName>
    <definedName name="IQRBW4" hidden="1">"$BW$5:$BW$11"</definedName>
    <definedName name="IQRBX4" hidden="1">"$BX$5:$BX$14"</definedName>
    <definedName name="IQRBY4" hidden="1">"$BY$5:$BY$14"</definedName>
    <definedName name="IQRC1" hidden="1">"$C$2:$C$528"</definedName>
    <definedName name="IQRC12" hidden="1">"$C$13"</definedName>
    <definedName name="IQRC4" hidden="1">"$C$5:$C$12"</definedName>
    <definedName name="IQRCA4" hidden="1">"$CA$5"</definedName>
    <definedName name="IQRCB4" hidden="1">"$CB$5"</definedName>
    <definedName name="IQRCD4" hidden="1">"$CD$5"</definedName>
    <definedName name="IQRCE4" hidden="1">"$CE$5"</definedName>
    <definedName name="IQRCG4" hidden="1">"$CG$5"</definedName>
    <definedName name="IQRCH4" hidden="1">"$CH$5"</definedName>
    <definedName name="IQRCocoSPAD1916" hidden="1">#REF!</definedName>
    <definedName name="IQRCocoSPAE1916" hidden="1">#REF!</definedName>
    <definedName name="IQRCocoSPAO1916" hidden="1">#REF!</definedName>
    <definedName name="IQRCocoSPAZ1916" hidden="1">#REF!</definedName>
    <definedName name="IQRCocoSPB72" hidden="1">#REF!</definedName>
    <definedName name="IQRCocoSPBK1916" hidden="1">#REF!</definedName>
    <definedName name="IQRCocoSPBV1916" hidden="1">#REF!</definedName>
    <definedName name="IQRCocoSPCG1916" hidden="1">#REF!</definedName>
    <definedName name="IQRCocoSPCR1916" hidden="1">#REF!</definedName>
    <definedName name="IQRCocoSPDC1916" hidden="1">#REF!</definedName>
    <definedName name="IQRCocoSPDN1916" hidden="1">#REF!</definedName>
    <definedName name="IQRCocoSPG1908" hidden="1">#REF!</definedName>
    <definedName name="IQRCocoSPG1910" hidden="1">#REF!</definedName>
    <definedName name="IQRCocoSPG1916" hidden="1">#REF!</definedName>
    <definedName name="IQRCocoSPH1916" hidden="1">#REF!</definedName>
    <definedName name="IQRCocoSPI1916" hidden="1">#REF!</definedName>
    <definedName name="IQRCocoSPS1916" hidden="1">#REF!</definedName>
    <definedName name="IQRCocoSPT1916" hidden="1">#REF!</definedName>
    <definedName name="IQRDetailedCompsA7" hidden="1">#REF!</definedName>
    <definedName name="IQRF4" hidden="1">"$F$5:$F$8"</definedName>
    <definedName name="IQRG12" hidden="1">"$H$12:$L$12"</definedName>
    <definedName name="IQRG4" hidden="1">"$G$5:$G$8"</definedName>
    <definedName name="IQRH100" hidden="1">"$I$100"</definedName>
    <definedName name="IQRH101" hidden="1">"$I$101"</definedName>
    <definedName name="IQRH102" hidden="1">"$I$102"</definedName>
    <definedName name="IQRH103" hidden="1">"$I$103"</definedName>
    <definedName name="IQRH104" hidden="1">"$I$104"</definedName>
    <definedName name="IQRH105" hidden="1">"$I$105"</definedName>
    <definedName name="IQRH106" hidden="1">"$I$106"</definedName>
    <definedName name="IQRH107" hidden="1">"$I$107"</definedName>
    <definedName name="IQRH108" hidden="1">"$I$108"</definedName>
    <definedName name="IQRH109" hidden="1">"$I$109"</definedName>
    <definedName name="IQRH110" hidden="1">"$I$110"</definedName>
    <definedName name="IQRH111" hidden="1">"$I$111"</definedName>
    <definedName name="IQRH112" hidden="1">"$I$112"</definedName>
    <definedName name="IQRH113" hidden="1">"$I$113"</definedName>
    <definedName name="IQRH114" hidden="1">"$I$114"</definedName>
    <definedName name="IQRH115" hidden="1">"$I$115"</definedName>
    <definedName name="IQRH116" hidden="1">"$I$116"</definedName>
    <definedName name="IQRH117" hidden="1">"$I$117"</definedName>
    <definedName name="IQRH118" hidden="1">"$I$118"</definedName>
    <definedName name="IQRH119" hidden="1">"$I$119"</definedName>
    <definedName name="IQRH12" hidden="1">"$I$12:$M$12"</definedName>
    <definedName name="IQRH120" hidden="1">"$I$120"</definedName>
    <definedName name="IQRH121" hidden="1">"$I$121"</definedName>
    <definedName name="IQRH122" hidden="1">"$I$122"</definedName>
    <definedName name="IQRH123" hidden="1">"$I$123"</definedName>
    <definedName name="IQRH124" hidden="1">"$I$124"</definedName>
    <definedName name="IQRH125" hidden="1">"$I$125"</definedName>
    <definedName name="IQRH126" hidden="1">"$I$126"</definedName>
    <definedName name="IQRH127" hidden="1">"$I$127"</definedName>
    <definedName name="IQRH128" hidden="1">"$I$128"</definedName>
    <definedName name="IQRH129" hidden="1">"$I$129"</definedName>
    <definedName name="IQRH13" hidden="1">"$I$13:$M$13"</definedName>
    <definedName name="IQRH130" hidden="1">"$I$130"</definedName>
    <definedName name="IQRH131" hidden="1">"$I$131"</definedName>
    <definedName name="IQRH132" hidden="1">"$I$132"</definedName>
    <definedName name="IQRH133" hidden="1">"$I$133"</definedName>
    <definedName name="IQRH134" hidden="1">"$I$134"</definedName>
    <definedName name="IQRH135" hidden="1">"$I$135"</definedName>
    <definedName name="IQRH136" hidden="1">"$I$136"</definedName>
    <definedName name="IQRH137" hidden="1">"$I$137"</definedName>
    <definedName name="IQRH138" hidden="1">"$I$138"</definedName>
    <definedName name="IQRH139" hidden="1">"$I$139"</definedName>
    <definedName name="IQRH14" hidden="1">"$I$14"</definedName>
    <definedName name="IQRH140" hidden="1">"$I$140"</definedName>
    <definedName name="IQRH141" hidden="1">"$I$141"</definedName>
    <definedName name="IQRH142" hidden="1">"$I$142"</definedName>
    <definedName name="IQRH143" hidden="1">"$I$143"</definedName>
    <definedName name="IQRH144" hidden="1">"$I$144"</definedName>
    <definedName name="IQRH145" hidden="1">"$I$145"</definedName>
    <definedName name="IQRH146" hidden="1">"$I$146"</definedName>
    <definedName name="IQRH147" hidden="1">"$I$147"</definedName>
    <definedName name="IQRH148" hidden="1">"$I$148"</definedName>
    <definedName name="IQRH149" hidden="1">"$I$149"</definedName>
    <definedName name="IQRH15" hidden="1">"$I$15:$M$15"</definedName>
    <definedName name="IQRH150" hidden="1">"$I$150"</definedName>
    <definedName name="IQRH151" hidden="1">"$I$151"</definedName>
    <definedName name="IQRH152" hidden="1">"$I$152"</definedName>
    <definedName name="IQRH153" hidden="1">"$I$153"</definedName>
    <definedName name="IQRH154" hidden="1">"$I$154"</definedName>
    <definedName name="IQRH155" hidden="1">"$I$155"</definedName>
    <definedName name="IQRH156" hidden="1">"$I$156"</definedName>
    <definedName name="IQRH157" hidden="1">"$I$157"</definedName>
    <definedName name="IQRH158" hidden="1">"$I$158"</definedName>
    <definedName name="IQRH159" hidden="1">"$I$159"</definedName>
    <definedName name="IQRH16" hidden="1">"$I$16:$M$16"</definedName>
    <definedName name="IQRH160" hidden="1">"$I$160"</definedName>
    <definedName name="IQRH161" hidden="1">"$I$161"</definedName>
    <definedName name="IQRH162" hidden="1">"$I$162"</definedName>
    <definedName name="IQRH17" hidden="1">"$I$17:$M$17"</definedName>
    <definedName name="IQRH18" hidden="1">"$I$18:$J$18"</definedName>
    <definedName name="IQRH19" hidden="1">"$I$19"</definedName>
    <definedName name="IQRH20" hidden="1">"$I$20"</definedName>
    <definedName name="IQRH21" hidden="1">"$I$21:$M$21"</definedName>
    <definedName name="IQRH22" hidden="1">"$I$22"</definedName>
    <definedName name="IQRH23" hidden="1">"$I$23:$J$23"</definedName>
    <definedName name="IQRH24" hidden="1">"$I$24"</definedName>
    <definedName name="IQRH25" hidden="1">"$I$25:$M$25"</definedName>
    <definedName name="IQRH26" hidden="1">"$I$26:$J$26"</definedName>
    <definedName name="IQRH27" hidden="1">"$I$27:$J$27"</definedName>
    <definedName name="IQRH28" hidden="1">"$I$28:$J$28"</definedName>
    <definedName name="IQRH29" hidden="1">"$I$29"</definedName>
    <definedName name="IQRH30" hidden="1">"$I$30:$K$30"</definedName>
    <definedName name="IQRH31" hidden="1">"$I$31"</definedName>
    <definedName name="IQRH32" hidden="1">"$I$32:$K$32"</definedName>
    <definedName name="IQRH33" hidden="1">"$I$33:$J$33"</definedName>
    <definedName name="IQRH34" hidden="1">"$I$34:$J$34"</definedName>
    <definedName name="IQRH35" hidden="1">"$I$35"</definedName>
    <definedName name="IQRH36" hidden="1">"$I$36:$J$36"</definedName>
    <definedName name="IQRH37" hidden="1">"$I$37"</definedName>
    <definedName name="IQRH38" hidden="1">"$I$38:$J$38"</definedName>
    <definedName name="IQRH39" hidden="1">"$I$39"</definedName>
    <definedName name="IQRH40" hidden="1">"$I$40:$M$40"</definedName>
    <definedName name="IQRH41" hidden="1">"$I$41:$M$41"</definedName>
    <definedName name="IQRH42" hidden="1">"$I$42"</definedName>
    <definedName name="IQRH43" hidden="1">"$I$43:$J$43"</definedName>
    <definedName name="IQRH44" hidden="1">"$I$44"</definedName>
    <definedName name="IQRH45" hidden="1">"$I$45:$J$45"</definedName>
    <definedName name="IQRH46" hidden="1">"$I$46"</definedName>
    <definedName name="IQRH47" hidden="1">"$I$47:$J$47"</definedName>
    <definedName name="IQRH48" hidden="1">"$I$48"</definedName>
    <definedName name="IQRH49" hidden="1">"$I$49:$L$49"</definedName>
    <definedName name="IQRH50" hidden="1">"$I$50:$K$50"</definedName>
    <definedName name="IQRH51" hidden="1">"$I$51:$L$51"</definedName>
    <definedName name="IQRH52" hidden="1">"$I$52"</definedName>
    <definedName name="IQRH53" hidden="1">"$I$53"</definedName>
    <definedName name="IQRH54" hidden="1">"$I$54:$M$54"</definedName>
    <definedName name="IQRH55" hidden="1">"$I$55"</definedName>
    <definedName name="IQRH56" hidden="1">"$I$56"</definedName>
    <definedName name="IQRH57" hidden="1">"$I$57:$M$57"</definedName>
    <definedName name="IQRH58" hidden="1">"$I$58:$K$58"</definedName>
    <definedName name="IQRH59" hidden="1">"$I$59:$M$59"</definedName>
    <definedName name="IQRH60" hidden="1">"$I$60:$M$60"</definedName>
    <definedName name="IQRH61" hidden="1">"$I$61:$J$61"</definedName>
    <definedName name="IQRH62" hidden="1">"$I$62"</definedName>
    <definedName name="IQRH63" hidden="1">"$I$63:$M$63"</definedName>
    <definedName name="IQRH64" hidden="1">"$I$64:$M$64"</definedName>
    <definedName name="IQRH65" hidden="1">"$I$65:$J$65"</definedName>
    <definedName name="IQRH66" hidden="1">"$I$66:$J$66"</definedName>
    <definedName name="IQRH67" hidden="1">"$I$67:$J$67"</definedName>
    <definedName name="IQRH68" hidden="1">"$I$68:$K$68"</definedName>
    <definedName name="IQRH69" hidden="1">"$I$69"</definedName>
    <definedName name="IQRH70" hidden="1">"$I$70"</definedName>
    <definedName name="IQRH71" hidden="1">"$I$71"</definedName>
    <definedName name="IQRH72" hidden="1">"$I$72:$M$72"</definedName>
    <definedName name="IQRH73" hidden="1">"$I$73:$M$73"</definedName>
    <definedName name="IQRH74" hidden="1">"$I$74"</definedName>
    <definedName name="IQRH75" hidden="1">"$I$75:$K$75"</definedName>
    <definedName name="IQRH76" hidden="1">"$I$76"</definedName>
    <definedName name="IQRH77" hidden="1">"$I$77"</definedName>
    <definedName name="IQRH78" hidden="1">"$I$78"</definedName>
    <definedName name="IQRH79" hidden="1">"$I$79"</definedName>
    <definedName name="IQRH80" hidden="1">"$I$80"</definedName>
    <definedName name="IQRH81" hidden="1">"$I$81"</definedName>
    <definedName name="IQRH82" hidden="1">"$I$82"</definedName>
    <definedName name="IQRH83" hidden="1">"$I$83"</definedName>
    <definedName name="IQRH84" hidden="1">"$I$84"</definedName>
    <definedName name="IQRH85" hidden="1">"$I$85"</definedName>
    <definedName name="IQRH86" hidden="1">"$I$86"</definedName>
    <definedName name="IQRH87" hidden="1">"$I$87"</definedName>
    <definedName name="IQRH88" hidden="1">"$I$88"</definedName>
    <definedName name="IQRH89" hidden="1">"$I$89"</definedName>
    <definedName name="IQRH90" hidden="1">"$I$90"</definedName>
    <definedName name="IQRH91" hidden="1">"$I$91"</definedName>
    <definedName name="IQRH92" hidden="1">"$I$92"</definedName>
    <definedName name="IQRH93" hidden="1">"$I$93"</definedName>
    <definedName name="IQRH94" hidden="1">"$I$94"</definedName>
    <definedName name="IQRH95" hidden="1">"$I$95"</definedName>
    <definedName name="IQRH96" hidden="1">"$I$96"</definedName>
    <definedName name="IQRH97" hidden="1">"$I$97"</definedName>
    <definedName name="IQRH98" hidden="1">"$I$98"</definedName>
    <definedName name="IQRH99" hidden="1">"$I$99"</definedName>
    <definedName name="IQRJ100" hidden="1">"$J$101:$J$121"</definedName>
    <definedName name="IQRJ101" hidden="1">"$J$102:$J$122"</definedName>
    <definedName name="IQRJ102" hidden="1">"$J$103:$J$123"</definedName>
    <definedName name="IQRJ103" hidden="1">"$J$104:$J$124"</definedName>
    <definedName name="IQRJ106" hidden="1">"$J$107:$J$127"</definedName>
    <definedName name="IQRJ108" hidden="1">"$J$109:$J$116"</definedName>
    <definedName name="IQRJ109" hidden="1">"$J$110"</definedName>
    <definedName name="IQRJ11" hidden="1">"$J$12:$J$13"</definedName>
    <definedName name="IQRJ112" hidden="1">"$J$113"</definedName>
    <definedName name="IQRJ114" hidden="1">"$J$115"</definedName>
    <definedName name="IQRJ115" hidden="1">"$J$116:$J$117"</definedName>
    <definedName name="IQRJ117" hidden="1">"$J$118"</definedName>
    <definedName name="IQRJ119" hidden="1">"$J$120:$J$138"</definedName>
    <definedName name="IQRJ12" hidden="1">"$J$13:$J$20"</definedName>
    <definedName name="IQRJ120" hidden="1">"$J$121:$J$139"</definedName>
    <definedName name="IQRJ124" hidden="1">"$J$125:$J$127"</definedName>
    <definedName name="IQRJ125" hidden="1">"$J$126:$J$133"</definedName>
    <definedName name="IQRJ126" hidden="1">"$J$127:$J$130"</definedName>
    <definedName name="IQRJ127" hidden="1">"$J$128:$J$131"</definedName>
    <definedName name="IQRJ129" hidden="1">"$J$130"</definedName>
    <definedName name="IQRJ130" hidden="1">"$J$131:$J$138"</definedName>
    <definedName name="IQRJ132" hidden="1">"$J$133:$J$140"</definedName>
    <definedName name="IQRJ133" hidden="1">"$J$134"</definedName>
    <definedName name="IQRJ134" hidden="1">"$J$135:$J$144"</definedName>
    <definedName name="IQRJ137" hidden="1">"$J$138:$J$141"</definedName>
    <definedName name="IQRJ139" hidden="1">"$J$140:$J$147"</definedName>
    <definedName name="IQRJ140" hidden="1">"$J$141:$J$144"</definedName>
    <definedName name="IQRJ142" hidden="1">"$J$143:$J$146"</definedName>
    <definedName name="IQRJ143" hidden="1">"$J$144:$J$147"</definedName>
    <definedName name="IQRJ144" hidden="1">"$J$145:$J$148"</definedName>
    <definedName name="IQRJ145" hidden="1">"$J$146:$J$147"</definedName>
    <definedName name="IQRJ146" hidden="1">"$J$147:$J$148"</definedName>
    <definedName name="IQRJ148" hidden="1">"$J$149"</definedName>
    <definedName name="IQRJ149" hidden="1">"$J$150"</definedName>
    <definedName name="IQRJ150" hidden="1">"$J$151"</definedName>
    <definedName name="IQRJ151" hidden="1">"$J$152"</definedName>
    <definedName name="IQRJ152" hidden="1">"$J$153"</definedName>
    <definedName name="IQRJ153" hidden="1">"$J$154"</definedName>
    <definedName name="IQRJ155" hidden="1">"$J$156"</definedName>
    <definedName name="IQRJ156" hidden="1">"$J$157"</definedName>
    <definedName name="IQRJ157" hidden="1">"$J$158:$J$161"</definedName>
    <definedName name="IQRJ158" hidden="1">"$J$159"</definedName>
    <definedName name="IQRJ159" hidden="1">"$J$160"</definedName>
    <definedName name="IQRJ16" hidden="1">"$J$17:$J$36"</definedName>
    <definedName name="IQRJ160" hidden="1">"$J$161"</definedName>
    <definedName name="IQRJ161" hidden="1">"$J$162"</definedName>
    <definedName name="IQRJ162" hidden="1">"$J$163"</definedName>
    <definedName name="IQRJ163" hidden="1">"$J$164:$J$165"</definedName>
    <definedName name="IQRJ164" hidden="1">"$J$165:$J$166"</definedName>
    <definedName name="IQRJ165" hidden="1">"$J$166:$J$167"</definedName>
    <definedName name="IQRJ167" hidden="1">"$J$168:$J$169"</definedName>
    <definedName name="IQRJ168" hidden="1">"$J$169"</definedName>
    <definedName name="IQRJ169" hidden="1">"$J$170:$J$181"</definedName>
    <definedName name="IQRJ170" hidden="1">"$J$171:$J$182"</definedName>
    <definedName name="IQRJ171" hidden="1">"$J$172:$J$183"</definedName>
    <definedName name="IQRJ172" hidden="1">"$J$173:$J$184"</definedName>
    <definedName name="IQRJ173" hidden="1">"$J$174"</definedName>
    <definedName name="IQRJ176" hidden="1">"$J$177"</definedName>
    <definedName name="IQRJ179" hidden="1">"$J$180:$J$181"</definedName>
    <definedName name="IQRJ181" hidden="1">"$J$182:$J$185"</definedName>
    <definedName name="IQRJ183" hidden="1">"$J$184:$J$201"</definedName>
    <definedName name="IQRJ184" hidden="1">"$J$185:$J$200"</definedName>
    <definedName name="IQRJ185" hidden="1">"$J$186:$J$189"</definedName>
    <definedName name="IQRJ186" hidden="1">"$J$187:$J$190"</definedName>
    <definedName name="IQRJ187" hidden="1">"$J$188:$J$191"</definedName>
    <definedName name="IQRJ191" hidden="1">"$J$192:$J$207"</definedName>
    <definedName name="IQRJ192" hidden="1">"$J$193:$J$208"</definedName>
    <definedName name="IQRJ200" hidden="1">"$J$201:$J$204"</definedName>
    <definedName name="IQRJ206" hidden="1">"$J$207:$J$222"</definedName>
    <definedName name="IQRJ207" hidden="1">"$J$208:$J$219"</definedName>
    <definedName name="IQRJ208" hidden="1">"$J$209:$J$220"</definedName>
    <definedName name="IQRJ209" hidden="1">"$J$210:$J$221"</definedName>
    <definedName name="IQRJ211" hidden="1">"$J$212"</definedName>
    <definedName name="IQRJ214" hidden="1">"$J$215:$J$226"</definedName>
    <definedName name="IQRJ215" hidden="1">"$J$216:$J$227"</definedName>
    <definedName name="IQRJ218" hidden="1">"$J$219:$J$236"</definedName>
    <definedName name="IQRJ219" hidden="1">"$J$220:$J$235"</definedName>
    <definedName name="IQRJ228" hidden="1">"$J$229:$J$244"</definedName>
    <definedName name="IQRJ229" hidden="1">"$J$230:$J$241"</definedName>
    <definedName name="IQRJ243" hidden="1">"$J$244:$J$259"</definedName>
    <definedName name="IQRJ25" hidden="1">"$J$26:$J$33"</definedName>
    <definedName name="IQRJ35" hidden="1">"$J$36"</definedName>
    <definedName name="IQRJ38" hidden="1">"$J$39:$J$58"</definedName>
    <definedName name="IQRJ39" hidden="1">"$J$40:$J$86"</definedName>
    <definedName name="IQRJ4" hidden="1">"$J$5:$J$13"</definedName>
    <definedName name="IQRJ40" hidden="1">"$J$41:$J$87"</definedName>
    <definedName name="IQRJ41" hidden="1">"$J$42:$J$61"</definedName>
    <definedName name="IQRJ51" hidden="1">"$J$52:$J$71"</definedName>
    <definedName name="IQRJ64" hidden="1">"$J$65"</definedName>
    <definedName name="IQRJ67" hidden="1">"$J$68:$J$69"</definedName>
    <definedName name="IQRJ70" hidden="1">"$J$71"</definedName>
    <definedName name="IQRJ71" hidden="1">"$J$72:$J$73"</definedName>
    <definedName name="IQRJ72" hidden="1">"$J$73:$J$82"</definedName>
    <definedName name="IQRJ73" hidden="1">"$J$74:$J$83"</definedName>
    <definedName name="IQRJ74" hidden="1">"$J$75:$J$76"</definedName>
    <definedName name="IQRJ79" hidden="1">"$J$80"</definedName>
    <definedName name="IQRJ8" hidden="1">"$J$9"</definedName>
    <definedName name="IQRJ80" hidden="1">"$J$81:$J$82"</definedName>
    <definedName name="IQRJ82" hidden="1">"$J$83"</definedName>
    <definedName name="IQRJ84" hidden="1">"$J$85:$J$86"</definedName>
    <definedName name="IQRJ85" hidden="1">"$J$86:$J$106"</definedName>
    <definedName name="IQRJ86" hidden="1">"$J$87:$J$107"</definedName>
    <definedName name="IQRJ88" hidden="1">"$J$89:$J$90"</definedName>
    <definedName name="IQRJ89" hidden="1">"$J$90:$J$99"</definedName>
    <definedName name="IQRJ9" hidden="1">"$J$10:$J$11"</definedName>
    <definedName name="IQRJ90" hidden="1">"$J$91:$J$100"</definedName>
    <definedName name="IQRJ91" hidden="1">"$J$92:$J$101"</definedName>
    <definedName name="IQRJ94" hidden="1">"$J$95:$J$104"</definedName>
    <definedName name="IQRK4" hidden="1">"$K$5:$K$13"</definedName>
    <definedName name="IQRM12" hidden="1">"$N$12:$R$12"</definedName>
    <definedName name="IQRM4" hidden="1">"$M$5:$M$9"</definedName>
    <definedName name="IQRN100" hidden="1">"$O$100"</definedName>
    <definedName name="IQRN101" hidden="1">"$O$101"</definedName>
    <definedName name="IQRN102" hidden="1">"$O$102"</definedName>
    <definedName name="IQRN103" hidden="1">"$O$103"</definedName>
    <definedName name="IQRN104" hidden="1">"$O$104"</definedName>
    <definedName name="IQRN105" hidden="1">"$O$105"</definedName>
    <definedName name="IQRN106" hidden="1">"$O$106"</definedName>
    <definedName name="IQRN107" hidden="1">"$O$107"</definedName>
    <definedName name="IQRN108" hidden="1">"$O$108"</definedName>
    <definedName name="IQRN109" hidden="1">"$O$109"</definedName>
    <definedName name="IQRN110" hidden="1">"$O$110"</definedName>
    <definedName name="IQRN111" hidden="1">"$O$111"</definedName>
    <definedName name="IQRN112" hidden="1">"$O$112"</definedName>
    <definedName name="IQRN113" hidden="1">"$O$113"</definedName>
    <definedName name="IQRN114" hidden="1">"$O$114"</definedName>
    <definedName name="IQRN115" hidden="1">"$O$115"</definedName>
    <definedName name="IQRN116" hidden="1">"$O$116"</definedName>
    <definedName name="IQRN117" hidden="1">"$O$117"</definedName>
    <definedName name="IQRN118" hidden="1">"$O$118"</definedName>
    <definedName name="IQRN119" hidden="1">"$O$119"</definedName>
    <definedName name="IQRN12" hidden="1">"$O$12:$S$12"</definedName>
    <definedName name="IQRN120" hidden="1">"$O$120"</definedName>
    <definedName name="IQRN121" hidden="1">"$O$121"</definedName>
    <definedName name="IQRN122" hidden="1">"$O$122"</definedName>
    <definedName name="IQRN123" hidden="1">"$O$123"</definedName>
    <definedName name="IQRN124" hidden="1">"$O$124"</definedName>
    <definedName name="IQRN125" hidden="1">"$O$125"</definedName>
    <definedName name="IQRN126" hidden="1">"$O$126"</definedName>
    <definedName name="IQRN127" hidden="1">"$O$127"</definedName>
    <definedName name="IQRN128" hidden="1">"$O$128"</definedName>
    <definedName name="IQRN129" hidden="1">"$O$129"</definedName>
    <definedName name="IQRN13" hidden="1">"$O$13:$S$13"</definedName>
    <definedName name="IQRN130" hidden="1">"$O$130"</definedName>
    <definedName name="IQRN131" hidden="1">"$O$131"</definedName>
    <definedName name="IQRN132" hidden="1">"$O$132"</definedName>
    <definedName name="IQRN133" hidden="1">"$O$133"</definedName>
    <definedName name="IQRN134" hidden="1">"$O$134"</definedName>
    <definedName name="IQRN135" hidden="1">"$O$135"</definedName>
    <definedName name="IQRN136" hidden="1">"$O$136"</definedName>
    <definedName name="IQRN137" hidden="1">"$O$137"</definedName>
    <definedName name="IQRN138" hidden="1">"$O$138"</definedName>
    <definedName name="IQRN139" hidden="1">"$O$139"</definedName>
    <definedName name="IQRN14" hidden="1">"$O$14"</definedName>
    <definedName name="IQRN140" hidden="1">"$O$140"</definedName>
    <definedName name="IQRN141" hidden="1">"$O$141"</definedName>
    <definedName name="IQRN142" hidden="1">"$O$142"</definedName>
    <definedName name="IQRN143" hidden="1">"$O$143"</definedName>
    <definedName name="IQRN144" hidden="1">"$O$144"</definedName>
    <definedName name="IQRN145" hidden="1">"$O$145"</definedName>
    <definedName name="IQRN146" hidden="1">"$O$146"</definedName>
    <definedName name="IQRN147" hidden="1">"$O$147"</definedName>
    <definedName name="IQRN148" hidden="1">"$O$148"</definedName>
    <definedName name="IQRN149" hidden="1">"$O$149"</definedName>
    <definedName name="IQRN15" hidden="1">"$O$15:$S$15"</definedName>
    <definedName name="IQRN150" hidden="1">"$O$150"</definedName>
    <definedName name="IQRN151" hidden="1">"$O$151"</definedName>
    <definedName name="IQRN152" hidden="1">"$O$152"</definedName>
    <definedName name="IQRN153" hidden="1">"$O$153"</definedName>
    <definedName name="IQRN154" hidden="1">"$O$154"</definedName>
    <definedName name="IQRN155" hidden="1">"$O$155"</definedName>
    <definedName name="IQRN156" hidden="1">"$O$156"</definedName>
    <definedName name="IQRN157" hidden="1">"$O$157"</definedName>
    <definedName name="IQRN158" hidden="1">"$O$158"</definedName>
    <definedName name="IQRN159" hidden="1">"$O$159"</definedName>
    <definedName name="IQRN16" hidden="1">"$O$16:$S$16"</definedName>
    <definedName name="IQRN160" hidden="1">"$O$160"</definedName>
    <definedName name="IQRN161" hidden="1">"$O$161"</definedName>
    <definedName name="IQRN162" hidden="1">"$O$162"</definedName>
    <definedName name="IQRN17" hidden="1">"$O$17:$S$17"</definedName>
    <definedName name="IQRN18" hidden="1">"$O$18:$P$18"</definedName>
    <definedName name="IQRN19" hidden="1">"$O$19"</definedName>
    <definedName name="IQRN20" hidden="1">"$O$20"</definedName>
    <definedName name="IQRN21" hidden="1">"$O$21:$S$21"</definedName>
    <definedName name="IQRN22" hidden="1">"$O$22"</definedName>
    <definedName name="IQRN23" hidden="1">"$O$23:$P$23"</definedName>
    <definedName name="IQRN24" hidden="1">"$O$24"</definedName>
    <definedName name="IQRN25" hidden="1">"$O$25:$S$25"</definedName>
    <definedName name="IQRN26" hidden="1">"$O$26:$P$26"</definedName>
    <definedName name="IQRN27" hidden="1">"$O$27:$P$27"</definedName>
    <definedName name="IQRN28" hidden="1">"$O$28:$P$28"</definedName>
    <definedName name="IQRN29" hidden="1">"$O$29"</definedName>
    <definedName name="IQRN30" hidden="1">"$O$30:$Q$30"</definedName>
    <definedName name="IQRN31" hidden="1">"$O$31"</definedName>
    <definedName name="IQRN32" hidden="1">"$O$32:$Q$32"</definedName>
    <definedName name="IQRN33" hidden="1">"$O$33:$P$33"</definedName>
    <definedName name="IQRN34" hidden="1">"$O$34:$P$34"</definedName>
    <definedName name="IQRN35" hidden="1">"$O$35"</definedName>
    <definedName name="IQRN36" hidden="1">"$O$36:$P$36"</definedName>
    <definedName name="IQRN37" hidden="1">"$O$37"</definedName>
    <definedName name="IQRN38" hidden="1">"$O$38:$P$38"</definedName>
    <definedName name="IQRN39" hidden="1">"$O$39"</definedName>
    <definedName name="IQRN4" hidden="1">"$N$5:$N$11"</definedName>
    <definedName name="IQRN40" hidden="1">"$O$40:$S$40"</definedName>
    <definedName name="IQRN41" hidden="1">"$O$41:$S$41"</definedName>
    <definedName name="IQRN42" hidden="1">"$O$42"</definedName>
    <definedName name="IQRN43" hidden="1">"$O$43:$P$43"</definedName>
    <definedName name="IQRN44" hidden="1">"$O$44"</definedName>
    <definedName name="IQRN45" hidden="1">"$O$45:$P$45"</definedName>
    <definedName name="IQRN46" hidden="1">"$O$46"</definedName>
    <definedName name="IQRN47" hidden="1">"$O$47:$P$47"</definedName>
    <definedName name="IQRN48" hidden="1">"$O$48"</definedName>
    <definedName name="IQRN49" hidden="1">"$O$49:$R$49"</definedName>
    <definedName name="IQRN50" hidden="1">"$O$50:$Q$50"</definedName>
    <definedName name="IQRN51" hidden="1">"$O$51:$R$51"</definedName>
    <definedName name="IQRN52" hidden="1">"$O$52"</definedName>
    <definedName name="IQRN53" hidden="1">"$O$53"</definedName>
    <definedName name="IQRN54" hidden="1">"$O$54:$S$54"</definedName>
    <definedName name="IQRN55" hidden="1">"$O$55"</definedName>
    <definedName name="IQRN56" hidden="1">"$O$56"</definedName>
    <definedName name="IQRN57" hidden="1">"$O$57:$S$57"</definedName>
    <definedName name="IQRN58" hidden="1">"$O$58:$Q$58"</definedName>
    <definedName name="IQRN59" hidden="1">"$O$59:$S$59"</definedName>
    <definedName name="IQRN60" hidden="1">"$O$60:$S$60"</definedName>
    <definedName name="IQRN61" hidden="1">"$O$61:$P$61"</definedName>
    <definedName name="IQRN62" hidden="1">"$O$62"</definedName>
    <definedName name="IQRN63" hidden="1">"$O$63:$S$63"</definedName>
    <definedName name="IQRN64" hidden="1">"$O$64:$S$64"</definedName>
    <definedName name="IQRN65" hidden="1">"$O$65:$P$65"</definedName>
    <definedName name="IQRN66" hidden="1">"$O$66:$P$66"</definedName>
    <definedName name="IQRN67" hidden="1">"$O$67:$P$67"</definedName>
    <definedName name="IQRN68" hidden="1">"$O$68:$Q$68"</definedName>
    <definedName name="IQRN69" hidden="1">"$O$69"</definedName>
    <definedName name="IQRN70" hidden="1">"$O$70"</definedName>
    <definedName name="IQRN71" hidden="1">"$O$71"</definedName>
    <definedName name="IQRN72" hidden="1">"$O$72:$S$72"</definedName>
    <definedName name="IQRN73" hidden="1">"$O$73:$S$73"</definedName>
    <definedName name="IQRN74" hidden="1">"$O$74"</definedName>
    <definedName name="IQRN75" hidden="1">"$O$75:$Q$75"</definedName>
    <definedName name="IQRN76" hidden="1">"$O$76"</definedName>
    <definedName name="IQRN77" hidden="1">"$O$77"</definedName>
    <definedName name="IQRN78" hidden="1">"$O$78"</definedName>
    <definedName name="IQRN79" hidden="1">"$O$79"</definedName>
    <definedName name="IQRN80" hidden="1">"$O$80"</definedName>
    <definedName name="IQRN81" hidden="1">"$O$81"</definedName>
    <definedName name="IQRN82" hidden="1">"$O$82"</definedName>
    <definedName name="IQRN83" hidden="1">"$O$83"</definedName>
    <definedName name="IQRN84" hidden="1">"$O$84"</definedName>
    <definedName name="IQRN85" hidden="1">"$O$85"</definedName>
    <definedName name="IQRN86" hidden="1">"$O$86"</definedName>
    <definedName name="IQRN87" hidden="1">"$O$87"</definedName>
    <definedName name="IQRN88" hidden="1">"$O$88"</definedName>
    <definedName name="IQRN89" hidden="1">"$O$89"</definedName>
    <definedName name="IQRN90" hidden="1">"$O$90"</definedName>
    <definedName name="IQRN91" hidden="1">"$O$91"</definedName>
    <definedName name="IQRN92" hidden="1">"$O$92"</definedName>
    <definedName name="IQRN93" hidden="1">"$O$93"</definedName>
    <definedName name="IQRN94" hidden="1">"$O$94"</definedName>
    <definedName name="IQRN95" hidden="1">"$O$95"</definedName>
    <definedName name="IQRN96" hidden="1">"$O$96"</definedName>
    <definedName name="IQRN97" hidden="1">"$O$97"</definedName>
    <definedName name="IQRN98" hidden="1">"$O$98"</definedName>
    <definedName name="IQRN99" hidden="1">"$O$99"</definedName>
    <definedName name="IQRO4" hidden="1">"$O$5:$O$11"</definedName>
    <definedName name="IQRP4" hidden="1">"$P$5:$P$7"</definedName>
    <definedName name="IQRQ4" hidden="1">"$Q$5:$Q$7"</definedName>
    <definedName name="IQRR4" hidden="1">"$R$5:$R$16"</definedName>
    <definedName name="IQRS4" hidden="1">"$S$5:$S$16"</definedName>
    <definedName name="IQRSegmentAnalysisY10" hidden="1">#REF!</definedName>
    <definedName name="IQRSegmentAnalysisY11" hidden="1">#REF!</definedName>
    <definedName name="IQRSegmentAnalysisY12" hidden="1">#REF!</definedName>
    <definedName name="IQRSegmentAnalysisY13" hidden="1">#REF!</definedName>
    <definedName name="IQRSegmentAnalysisY14" hidden="1">#REF!</definedName>
    <definedName name="IQRSegmentAnalysisY15" hidden="1">#REF!</definedName>
    <definedName name="IQRSegmentAnalysisY16" hidden="1">#REF!</definedName>
    <definedName name="IQRSegmentAnalysisY17" hidden="1">#REF!</definedName>
    <definedName name="IQRSegmentAnalysisY18" hidden="1">#REF!</definedName>
    <definedName name="IQRSegmentAnalysisY19" hidden="1">#REF!</definedName>
    <definedName name="IQRSegmentAnalysisY20" hidden="1">#REF!</definedName>
    <definedName name="IQRSegmentAnalysisY21" hidden="1">#REF!</definedName>
    <definedName name="IQRSegmentAnalysisY22" hidden="1">#REF!</definedName>
    <definedName name="IQRSegmentAnalysisY23" hidden="1">#REF!</definedName>
    <definedName name="IQRSegmentAnalysisY24" hidden="1">#REF!</definedName>
    <definedName name="IQRSegmentAnalysisY25" hidden="1">#REF!</definedName>
    <definedName name="IQRSegmentAnalysisY26" hidden="1">#REF!</definedName>
    <definedName name="IQRSegmentAnalysisY27" hidden="1">#REF!</definedName>
    <definedName name="IQRSegmentAnalysisY28" hidden="1">#REF!</definedName>
    <definedName name="IQRSegmentAnalysisY29" hidden="1">#REF!</definedName>
    <definedName name="IQRSegmentAnalysisY30" hidden="1">#REF!</definedName>
    <definedName name="IQRSegmentAnalysisY31" hidden="1">#REF!</definedName>
    <definedName name="IQRSegmentAnalysisY32" hidden="1">#REF!</definedName>
    <definedName name="IQRSegmentAnalysisY33" hidden="1">#REF!</definedName>
    <definedName name="IQRSegmentAnalysisY34" hidden="1">#REF!</definedName>
    <definedName name="IQRSegmentAnalysisY35" hidden="1">#REF!</definedName>
    <definedName name="IQRSegmentAnalysisY36" hidden="1">#REF!</definedName>
    <definedName name="IQRSegmentAnalysisY37" hidden="1">#REF!</definedName>
    <definedName name="IQRSegmentAnalysisY38" hidden="1">#REF!</definedName>
    <definedName name="IQRSegmentAnalysisY39" hidden="1">#REF!</definedName>
    <definedName name="IQRSegmentAnalysisY40" hidden="1">#REF!</definedName>
    <definedName name="IQRSegmentAnalysisY41" hidden="1">#REF!</definedName>
    <definedName name="IQRSegmentAnalysisY42" hidden="1">#REF!</definedName>
    <definedName name="IQRSegmentAnalysisY43" hidden="1">#REF!</definedName>
    <definedName name="IQRSegmentAnalysisY44" hidden="1">#REF!</definedName>
    <definedName name="IQRSegmentAnalysisY45" hidden="1">#REF!</definedName>
    <definedName name="IQRSegmentAnalysisY46" hidden="1">#REF!</definedName>
    <definedName name="IQRSegmentAnalysisY47" hidden="1">#REF!</definedName>
    <definedName name="IQRSegmentAnalysisY48" hidden="1">#REF!</definedName>
    <definedName name="IQRSegmentAnalysisY49" hidden="1">#REF!</definedName>
    <definedName name="IQRSegmentAnalysisY50" hidden="1">#REF!</definedName>
    <definedName name="IQRSegmentAnalysisY51" hidden="1">#REF!</definedName>
    <definedName name="IQRSegmentAnalysisY52" hidden="1">#REF!</definedName>
    <definedName name="IQRSegmentAnalysisY53" hidden="1">#REF!</definedName>
    <definedName name="IQRSegmentAnalysisY54" hidden="1">#REF!</definedName>
    <definedName name="IQRSegmentAnalysisY55" hidden="1">#REF!</definedName>
    <definedName name="IQRSegmentAnalysisY56" hidden="1">#REF!</definedName>
    <definedName name="IQRSegmentAnalysisY57" hidden="1">#REF!</definedName>
    <definedName name="IQRSegmentAnalysisY58" hidden="1">#REF!</definedName>
    <definedName name="IQRSegmentAnalysisY59" hidden="1">#REF!</definedName>
    <definedName name="IQRSegmentAnalysisY60" hidden="1">#REF!</definedName>
    <definedName name="IQRSegmentAnalysisY61" hidden="1">#REF!</definedName>
    <definedName name="IQRSegmentAnalysisY62" hidden="1">#REF!</definedName>
    <definedName name="IQRSegmentAnalysisY63" hidden="1">#REF!</definedName>
    <definedName name="IQRSegmentAnalysisY64" hidden="1">#REF!</definedName>
    <definedName name="IQRSegmentAnalysisY65" hidden="1">#REF!</definedName>
    <definedName name="IQRSegmentAnalysisY66" hidden="1">#REF!</definedName>
    <definedName name="IQRSegmentAnalysisY67" hidden="1">#REF!</definedName>
    <definedName name="IQRSegmentAnalysisY68" hidden="1">#REF!</definedName>
    <definedName name="IQRSegmentAnalysisY9" hidden="1">#REF!</definedName>
    <definedName name="IQRSheet22AC11" hidden="1">#REF!</definedName>
    <definedName name="IQRSheet22AD11" hidden="1">#REF!</definedName>
    <definedName name="IQRSheet22AE11" hidden="1">#REF!</definedName>
    <definedName name="IQRSheet22AL11" hidden="1">#REF!</definedName>
    <definedName name="IQRSheet22AM11" hidden="1">#REF!</definedName>
    <definedName name="IQRSheet22AN11" hidden="1">#REF!</definedName>
    <definedName name="IQRSheet22AU11" hidden="1">#REF!</definedName>
    <definedName name="IQRSheet22AV11" hidden="1">#REF!</definedName>
    <definedName name="IQRSheet22AW11" hidden="1">#REF!</definedName>
    <definedName name="IQRSheet22B11" hidden="1">#REF!</definedName>
    <definedName name="IQRSheet22BD11" hidden="1">#REF!</definedName>
    <definedName name="IQRSheet22BE11" hidden="1">#REF!</definedName>
    <definedName name="IQRSheet22BF11" hidden="1">#REF!</definedName>
    <definedName name="IQRSheet22BM11" hidden="1">#REF!</definedName>
    <definedName name="IQRSheet22BN11" hidden="1">#REF!</definedName>
    <definedName name="IQRSheet22BO11" hidden="1">#REF!</definedName>
    <definedName name="IQRSheet22BV11" hidden="1">#REF!</definedName>
    <definedName name="IQRSheet22BW11" hidden="1">#REF!</definedName>
    <definedName name="IQRSheet22BX11" hidden="1">#REF!</definedName>
    <definedName name="IQRSheet22C11" hidden="1">#REF!</definedName>
    <definedName name="IQRSheet22CE11" hidden="1">#REF!</definedName>
    <definedName name="IQRSheet22CF11" hidden="1">#REF!</definedName>
    <definedName name="IQRSheet22CG11" hidden="1">#REF!</definedName>
    <definedName name="IQRSheet22CN11" hidden="1">#REF!</definedName>
    <definedName name="IQRSheet22CO11" hidden="1">#REF!</definedName>
    <definedName name="IQRSheet22CP11" hidden="1">#REF!</definedName>
    <definedName name="IQRSheet22CW11" hidden="1">#REF!</definedName>
    <definedName name="IQRSheet22CX11" hidden="1">#REF!</definedName>
    <definedName name="IQRSheet22CY11" hidden="1">#REF!</definedName>
    <definedName name="IQRSheet22D11" hidden="1">#REF!</definedName>
    <definedName name="IQRSheet22DF11" hidden="1">#REF!</definedName>
    <definedName name="IQRSheet22DG11" hidden="1">#REF!</definedName>
    <definedName name="IQRSheet22DH11" hidden="1">#REF!</definedName>
    <definedName name="IQRSheet22DO11" hidden="1">#REF!</definedName>
    <definedName name="IQRSheet22DP11" hidden="1">#REF!</definedName>
    <definedName name="IQRSheet22DQ11" hidden="1">#REF!</definedName>
    <definedName name="IQRSheet22DX11" hidden="1">#REF!</definedName>
    <definedName name="IQRSheet22DY11" hidden="1">#REF!</definedName>
    <definedName name="IQRSheet22DZ11" hidden="1">#REF!</definedName>
    <definedName name="IQRSheet22EG11" hidden="1">#REF!</definedName>
    <definedName name="IQRSheet22EH11" hidden="1">#REF!</definedName>
    <definedName name="IQRSheet22EI11" hidden="1">#REF!</definedName>
    <definedName name="IQRSheet22EP11" hidden="1">#REF!</definedName>
    <definedName name="IQRSheet22EQ11" hidden="1">#REF!</definedName>
    <definedName name="IQRSheet22ER11" hidden="1">#REF!</definedName>
    <definedName name="IQRSheet22EY11" hidden="1">#REF!</definedName>
    <definedName name="IQRSheet22EZ11" hidden="1">#REF!</definedName>
    <definedName name="IQRSheet22FA11" hidden="1">#REF!</definedName>
    <definedName name="IQRSheet22FH11" hidden="1">#REF!</definedName>
    <definedName name="IQRSheet22FI11" hidden="1">#REF!</definedName>
    <definedName name="IQRSheet22FJ11" hidden="1">#REF!</definedName>
    <definedName name="IQRSheet22FQ11" hidden="1">#REF!</definedName>
    <definedName name="IQRSheet22FR11" hidden="1">#REF!</definedName>
    <definedName name="IQRSheet22FS11" hidden="1">#REF!</definedName>
    <definedName name="IQRSheet22FZ11" hidden="1">#REF!</definedName>
    <definedName name="IQRSheet22GA11" hidden="1">#REF!</definedName>
    <definedName name="IQRSheet22GB11" hidden="1">#REF!</definedName>
    <definedName name="IQRSheet22GI11" hidden="1">#REF!</definedName>
    <definedName name="IQRSheet22GJ11" hidden="1">#REF!</definedName>
    <definedName name="IQRSheet22GK11" hidden="1">#REF!</definedName>
    <definedName name="IQRSheet22GR11" hidden="1">#REF!</definedName>
    <definedName name="IQRSheet22GS11" hidden="1">#REF!</definedName>
    <definedName name="IQRSheet22GT11" hidden="1">#REF!</definedName>
    <definedName name="IQRSheet22HA11" hidden="1">#REF!</definedName>
    <definedName name="IQRSheet22HB11" hidden="1">#REF!</definedName>
    <definedName name="IQRSheet22HC11" hidden="1">#REF!</definedName>
    <definedName name="IQRSheet22HJ11" hidden="1">#REF!</definedName>
    <definedName name="IQRSheet22HK11" hidden="1">#REF!</definedName>
    <definedName name="IQRSheet22HL11" hidden="1">#REF!</definedName>
    <definedName name="IQRSheet22HS11" hidden="1">#REF!</definedName>
    <definedName name="IQRSheet22HT11" hidden="1">#REF!</definedName>
    <definedName name="IQRSheet22HU11" hidden="1">#REF!</definedName>
    <definedName name="IQRSheet22IB11" hidden="1">#REF!</definedName>
    <definedName name="IQRSheet22IC11" hidden="1">#REF!</definedName>
    <definedName name="IQRSheet22ID11" hidden="1">#REF!</definedName>
    <definedName name="IQRSheet22IK11" hidden="1">#REF!</definedName>
    <definedName name="IQRSheet22IL11" hidden="1">#REF!</definedName>
    <definedName name="IQRSheet22IM11" hidden="1">#REF!</definedName>
    <definedName name="IQRSheet22IT11" hidden="1">#REF!</definedName>
    <definedName name="IQRSheet22IU11" hidden="1">#REF!</definedName>
    <definedName name="IQRSheet22IV11" hidden="1">#REF!</definedName>
    <definedName name="IQRSheet22JC11" hidden="1">#REF!</definedName>
    <definedName name="IQRSheet22JD11" hidden="1">#REF!</definedName>
    <definedName name="IQRSheet22JE11" hidden="1">#REF!</definedName>
    <definedName name="IQRSheet22JL11" hidden="1">#REF!</definedName>
    <definedName name="IQRSheet22JM11" hidden="1">#REF!</definedName>
    <definedName name="IQRSheet22JN11" hidden="1">#REF!</definedName>
    <definedName name="IQRSheet22JU11" hidden="1">#REF!</definedName>
    <definedName name="IQRSheet22JV11" hidden="1">#REF!</definedName>
    <definedName name="IQRSheet22JW11" hidden="1">#REF!</definedName>
    <definedName name="IQRSheet22K11" hidden="1">#REF!</definedName>
    <definedName name="IQRSheet22KD11" hidden="1">#REF!</definedName>
    <definedName name="IQRSheet22KE11" hidden="1">#REF!</definedName>
    <definedName name="IQRSheet22KF11" hidden="1">#REF!</definedName>
    <definedName name="IQRSheet22KM11" hidden="1">#REF!</definedName>
    <definedName name="IQRSheet22KN11" hidden="1">#REF!</definedName>
    <definedName name="IQRSheet22KO11" hidden="1">#REF!</definedName>
    <definedName name="IQRSheet22KV11" hidden="1">#REF!</definedName>
    <definedName name="IQRSheet22KW11" hidden="1">#REF!</definedName>
    <definedName name="IQRSheet22KX11" hidden="1">#REF!</definedName>
    <definedName name="IQRSheet22L11" hidden="1">#REF!</definedName>
    <definedName name="IQRSheet22LE11" hidden="1">#REF!</definedName>
    <definedName name="IQRSheet22LF11" hidden="1">#REF!</definedName>
    <definedName name="IQRSheet22LG11" hidden="1">#REF!</definedName>
    <definedName name="IQRSheet22LN11" hidden="1">#REF!</definedName>
    <definedName name="IQRSheet22LO11" hidden="1">#REF!</definedName>
    <definedName name="IQRSheet22LP11" hidden="1">#REF!</definedName>
    <definedName name="IQRSheet22LW11" hidden="1">#REF!</definedName>
    <definedName name="IQRSheet22LX11" hidden="1">#REF!</definedName>
    <definedName name="IQRSheet22LY11" hidden="1">#REF!</definedName>
    <definedName name="IQRSheet22M11" hidden="1">#REF!</definedName>
    <definedName name="IQRSheet22MF11" hidden="1">#REF!</definedName>
    <definedName name="IQRSheet22MG11" hidden="1">#REF!</definedName>
    <definedName name="IQRSheet22MH11" hidden="1">#REF!</definedName>
    <definedName name="IQRSheet22MO11" hidden="1">#REF!</definedName>
    <definedName name="IQRSheet22MP11" hidden="1">#REF!</definedName>
    <definedName name="IQRSheet22MQ11" hidden="1">#REF!</definedName>
    <definedName name="IQRSheet22MX11" hidden="1">#REF!</definedName>
    <definedName name="IQRSheet22MY11" hidden="1">#REF!</definedName>
    <definedName name="IQRSheet22MZ11" hidden="1">#REF!</definedName>
    <definedName name="IQRSheet22NG11" hidden="1">#REF!</definedName>
    <definedName name="IQRSheet22NH11" hidden="1">#REF!</definedName>
    <definedName name="IQRSheet22NI11" hidden="1">#REF!</definedName>
    <definedName name="IQRSheet22NP11" hidden="1">#REF!</definedName>
    <definedName name="IQRSheet22NQ11" hidden="1">#REF!</definedName>
    <definedName name="IQRSheet22NR11" hidden="1">#REF!</definedName>
    <definedName name="IQRSheet22NY11" hidden="1">#REF!</definedName>
    <definedName name="IQRSheet22NZ11" hidden="1">#REF!</definedName>
    <definedName name="IQRSheet22OA11" hidden="1">#REF!</definedName>
    <definedName name="IQRSheet22OH11" hidden="1">#REF!</definedName>
    <definedName name="IQRSheet22OI11" hidden="1">#REF!</definedName>
    <definedName name="IQRSheet22OJ11" hidden="1">#REF!</definedName>
    <definedName name="IQRSheet22OQ11" hidden="1">#REF!</definedName>
    <definedName name="IQRSheet22OR11" hidden="1">#REF!</definedName>
    <definedName name="IQRSheet22OS11" hidden="1">#REF!</definedName>
    <definedName name="IQRSheet22OZ11" hidden="1">#REF!</definedName>
    <definedName name="IQRSheet22PA11" hidden="1">#REF!</definedName>
    <definedName name="IQRSheet22PB11" hidden="1">#REF!</definedName>
    <definedName name="IQRSheet22PI11" hidden="1">#REF!</definedName>
    <definedName name="IQRSheet22PJ11" hidden="1">#REF!</definedName>
    <definedName name="IQRSheet22PK11" hidden="1">#REF!</definedName>
    <definedName name="IQRSheet22PR11" hidden="1">#REF!</definedName>
    <definedName name="IQRSheet22PS11" hidden="1">#REF!</definedName>
    <definedName name="IQRSheet22PT11" hidden="1">#REF!</definedName>
    <definedName name="IQRSheet22QA11" hidden="1">#REF!</definedName>
    <definedName name="IQRSheet22QB11" hidden="1">#REF!</definedName>
    <definedName name="IQRSheet22QC11" hidden="1">#REF!</definedName>
    <definedName name="IQRSheet22T11" hidden="1">#REF!</definedName>
    <definedName name="IQRSheet22U11" hidden="1">#REF!</definedName>
    <definedName name="IQRSheet22V11" hidden="1">#REF!</definedName>
    <definedName name="IQRSheet2AA11" hidden="1">#REF!</definedName>
    <definedName name="IQRSheet2AB11" hidden="1">#REF!</definedName>
    <definedName name="IQRSheet2AC11" hidden="1">#REF!</definedName>
    <definedName name="IQRSheet2AD11" hidden="1">#REF!</definedName>
    <definedName name="IQRSheet2AE11" hidden="1">#REF!</definedName>
    <definedName name="IQRSheet2AF11" hidden="1">#REF!</definedName>
    <definedName name="IQRSheet2AG11" hidden="1">#REF!</definedName>
    <definedName name="IQRSheet2AH11" hidden="1">#REF!</definedName>
    <definedName name="IQRSheet2AI11" hidden="1">#REF!</definedName>
    <definedName name="IQRSheet2AJ11" hidden="1">#REF!</definedName>
    <definedName name="IQRSheet2AK11" hidden="1">#REF!</definedName>
    <definedName name="IQRSheet2AL11" hidden="1">#REF!</definedName>
    <definedName name="IQRSheet2AM11" hidden="1">#REF!</definedName>
    <definedName name="IQRSheet2AN11" hidden="1">#REF!</definedName>
    <definedName name="IQRSheet2AO11" hidden="1">#REF!</definedName>
    <definedName name="IQRSheet2AP11" hidden="1">#REF!</definedName>
    <definedName name="IQRSheet2AQ11" hidden="1">#REF!</definedName>
    <definedName name="IQRSheet2AR11" hidden="1">#REF!</definedName>
    <definedName name="IQRSheet2AS11" hidden="1">#REF!</definedName>
    <definedName name="IQRSheet2AT11" hidden="1">#REF!</definedName>
    <definedName name="IQRSheet2AU11" hidden="1">#REF!</definedName>
    <definedName name="IQRSheet2AV11" hidden="1">#REF!</definedName>
    <definedName name="IQRSheet2AW11" hidden="1">#REF!</definedName>
    <definedName name="IQRSheet2AX11" hidden="1">#REF!</definedName>
    <definedName name="IQRSheet2AY11" hidden="1">#REF!</definedName>
    <definedName name="IQRSheet2AZ11" hidden="1">#REF!</definedName>
    <definedName name="IQRSheet2B11" hidden="1">#REF!</definedName>
    <definedName name="IQRSheet2B12" hidden="1">#REF!</definedName>
    <definedName name="IQRSheet2BA11" hidden="1">#REF!</definedName>
    <definedName name="IQRSheet2BB11" hidden="1">#REF!</definedName>
    <definedName name="IQRSheet2BC11" hidden="1">#REF!</definedName>
    <definedName name="IQRSheet2BD11" hidden="1">#REF!</definedName>
    <definedName name="IQRSheet2BE11" hidden="1">#REF!</definedName>
    <definedName name="IQRSheet2BF11" hidden="1">#REF!</definedName>
    <definedName name="IQRSheet2BG11" hidden="1">#REF!</definedName>
    <definedName name="IQRSheet2BH11" hidden="1">#REF!</definedName>
    <definedName name="IQRSheet2BI11" hidden="1">#REF!</definedName>
    <definedName name="IQRSheet2BJ11" hidden="1">#REF!</definedName>
    <definedName name="IQRSheet2BK11" hidden="1">#REF!</definedName>
    <definedName name="IQRSheet2BL11" hidden="1">#REF!</definedName>
    <definedName name="IQRSheet2BM11" hidden="1">#REF!</definedName>
    <definedName name="IQRSheet2BN11" hidden="1">#REF!</definedName>
    <definedName name="IQRSheet2BO11" hidden="1">#REF!</definedName>
    <definedName name="IQRSheet2BP11" hidden="1">#REF!</definedName>
    <definedName name="IQRSheet2BQ11" hidden="1">#REF!</definedName>
    <definedName name="IQRSheet2BR11" hidden="1">#REF!</definedName>
    <definedName name="IQRSheet2BS11" hidden="1">#REF!</definedName>
    <definedName name="IQRSheet2BT11" hidden="1">#REF!</definedName>
    <definedName name="IQRSheet2BU11" hidden="1">#REF!</definedName>
    <definedName name="IQRSheet2BV11" hidden="1">#REF!</definedName>
    <definedName name="IQRSheet2BW11" hidden="1">#REF!</definedName>
    <definedName name="IQRSheet2BX11" hidden="1">#REF!</definedName>
    <definedName name="IQRSheet2BY11" hidden="1">#REF!</definedName>
    <definedName name="IQRSheet2BZ11" hidden="1">#REF!</definedName>
    <definedName name="IQRSheet2C11" hidden="1">#REF!</definedName>
    <definedName name="IQRSheet2C12" hidden="1">#REF!</definedName>
    <definedName name="IQRSheet2CA11" hidden="1">#REF!</definedName>
    <definedName name="IQRSheet2CB11" hidden="1">#REF!</definedName>
    <definedName name="IQRSheet2CC11" hidden="1">#REF!</definedName>
    <definedName name="IQRSheet2CD11" hidden="1">#REF!</definedName>
    <definedName name="IQRSheet2CE11" hidden="1">#REF!</definedName>
    <definedName name="IQRSheet2CF11" hidden="1">#REF!</definedName>
    <definedName name="IQRSheet2CG11" hidden="1">#REF!</definedName>
    <definedName name="IQRSheet2CH11" hidden="1">#REF!</definedName>
    <definedName name="IQRSheet2CI11" hidden="1">#REF!</definedName>
    <definedName name="IQRSheet2CJ11" hidden="1">#REF!</definedName>
    <definedName name="IQRSheet2CK11" hidden="1">#REF!</definedName>
    <definedName name="IQRSheet2CL11" hidden="1">#REF!</definedName>
    <definedName name="IQRSheet2CM11" hidden="1">#REF!</definedName>
    <definedName name="IQRSheet2CN11" hidden="1">#REF!</definedName>
    <definedName name="IQRSheet2CO11" hidden="1">#REF!</definedName>
    <definedName name="IQRSheet2CP11" hidden="1">#REF!</definedName>
    <definedName name="IQRSheet2CQ11" hidden="1">#REF!</definedName>
    <definedName name="IQRSheet2CR11" hidden="1">#REF!</definedName>
    <definedName name="IQRSheet2CS11" hidden="1">#REF!</definedName>
    <definedName name="IQRSheet2CT11" hidden="1">#REF!</definedName>
    <definedName name="IQRSheet2CU11" hidden="1">#REF!</definedName>
    <definedName name="IQRSheet2CV11" hidden="1">#REF!</definedName>
    <definedName name="IQRSheet2CW11" hidden="1">#REF!</definedName>
    <definedName name="IQRSheet2CX11" hidden="1">#REF!</definedName>
    <definedName name="IQRSheet2CY11" hidden="1">#REF!</definedName>
    <definedName name="IQRSheet2CZ11" hidden="1">#REF!</definedName>
    <definedName name="IQRSheet2D11" hidden="1">#REF!</definedName>
    <definedName name="IQRSheet2D12" hidden="1">#REF!</definedName>
    <definedName name="IQRSheet2DA11" hidden="1">#REF!</definedName>
    <definedName name="IQRSheet2DB11" hidden="1">#REF!</definedName>
    <definedName name="IQRSheet2DC11" hidden="1">#REF!</definedName>
    <definedName name="IQRSheet2DD11" hidden="1">#REF!</definedName>
    <definedName name="IQRSheet2DE11" hidden="1">#REF!</definedName>
    <definedName name="IQRSheet2DF11" hidden="1">#REF!</definedName>
    <definedName name="IQRSheet2DG11" hidden="1">#REF!</definedName>
    <definedName name="IQRSheet2DH11" hidden="1">#REF!</definedName>
    <definedName name="IQRSheet2DI11" hidden="1">#REF!</definedName>
    <definedName name="IQRSheet2DJ11" hidden="1">#REF!</definedName>
    <definedName name="IQRSheet2DK11" hidden="1">#REF!</definedName>
    <definedName name="IQRSheet2DL11" hidden="1">#REF!</definedName>
    <definedName name="IQRSheet2DM11" hidden="1">#REF!</definedName>
    <definedName name="IQRSheet2DN11" hidden="1">#REF!</definedName>
    <definedName name="IQRSheet2DO11" hidden="1">#REF!</definedName>
    <definedName name="IQRSheet2DP11" hidden="1">#REF!</definedName>
    <definedName name="IQRSheet2DQ11" hidden="1">#REF!</definedName>
    <definedName name="IQRSheet2DR11" hidden="1">#REF!</definedName>
    <definedName name="IQRSheet2DS11" hidden="1">#REF!</definedName>
    <definedName name="IQRSheet2DT11" hidden="1">#REF!</definedName>
    <definedName name="IQRSheet2DU11" hidden="1">#REF!</definedName>
    <definedName name="IQRSheet2DV11" hidden="1">#REF!</definedName>
    <definedName name="IQRSheet2DW11" hidden="1">#REF!</definedName>
    <definedName name="IQRSheet2DX11" hidden="1">#REF!</definedName>
    <definedName name="IQRSheet2DY11" hidden="1">#REF!</definedName>
    <definedName name="IQRSheet2DZ11" hidden="1">#REF!</definedName>
    <definedName name="IQRSheet2E11" hidden="1">#REF!</definedName>
    <definedName name="IQRSheet2EA11" hidden="1">#REF!</definedName>
    <definedName name="IQRSheet2EB11" hidden="1">#REF!</definedName>
    <definedName name="IQRSheet2EC11" hidden="1">#REF!</definedName>
    <definedName name="IQRSheet2ED11" hidden="1">#REF!</definedName>
    <definedName name="IQRSheet2EE11" hidden="1">#REF!</definedName>
    <definedName name="IQRSheet2EF11" hidden="1">#REF!</definedName>
    <definedName name="IQRSheet2EG11" hidden="1">#REF!</definedName>
    <definedName name="IQRSheet2EH11" hidden="1">#REF!</definedName>
    <definedName name="IQRSheet2EI11" hidden="1">#REF!</definedName>
    <definedName name="IQRSheet2EJ11" hidden="1">#REF!</definedName>
    <definedName name="IQRSheet2EK11" hidden="1">#REF!</definedName>
    <definedName name="IQRSheet2EL11" hidden="1">#REF!</definedName>
    <definedName name="IQRSheet2EM11" hidden="1">#REF!</definedName>
    <definedName name="IQRSheet2EN11" hidden="1">#REF!</definedName>
    <definedName name="IQRSheet2EO11" hidden="1">#REF!</definedName>
    <definedName name="IQRSheet2EP11" hidden="1">#REF!</definedName>
    <definedName name="IQRSheet2EQ11" hidden="1">#REF!</definedName>
    <definedName name="IQRSheet2ER11" hidden="1">#REF!</definedName>
    <definedName name="IQRSheet2ES11" hidden="1">#REF!</definedName>
    <definedName name="IQRSheet2ET11" hidden="1">#REF!</definedName>
    <definedName name="IQRSheet2EU11" hidden="1">#REF!</definedName>
    <definedName name="IQRSheet2EV11" hidden="1">#REF!</definedName>
    <definedName name="IQRSheet2EY11" hidden="1">#REF!</definedName>
    <definedName name="IQRSheet2EZ11" hidden="1">#REF!</definedName>
    <definedName name="IQRSheet2F11" hidden="1">#REF!</definedName>
    <definedName name="IQRSheet2FA11" hidden="1">#REF!</definedName>
    <definedName name="IQRSheet2FH11" hidden="1">#REF!</definedName>
    <definedName name="IQRSheet2FI11" hidden="1">#REF!</definedName>
    <definedName name="IQRSheet2FJ11" hidden="1">#REF!</definedName>
    <definedName name="IQRSheet2FQ11" hidden="1">#REF!</definedName>
    <definedName name="IQRSheet2FR11" hidden="1">#REF!</definedName>
    <definedName name="IQRSheet2FS11" hidden="1">#REF!</definedName>
    <definedName name="IQRSheet2FZ11" hidden="1">#REF!</definedName>
    <definedName name="IQRSheet2G11" hidden="1">#REF!</definedName>
    <definedName name="IQRSheet2GA11" hidden="1">#REF!</definedName>
    <definedName name="IQRSheet2GB11" hidden="1">#REF!</definedName>
    <definedName name="IQRSheet2GI11" hidden="1">#REF!</definedName>
    <definedName name="IQRSheet2GJ11" hidden="1">#REF!</definedName>
    <definedName name="IQRSheet2GK11" hidden="1">#REF!</definedName>
    <definedName name="IQRSheet2GR11" hidden="1">#REF!</definedName>
    <definedName name="IQRSheet2GS11" hidden="1">#REF!</definedName>
    <definedName name="IQRSheet2GT11" hidden="1">#REF!</definedName>
    <definedName name="IQRSheet2H11" hidden="1">#REF!</definedName>
    <definedName name="IQRSheet2HA11" hidden="1">#REF!</definedName>
    <definedName name="IQRSheet2HB11" hidden="1">#REF!</definedName>
    <definedName name="IQRSheet2HC11" hidden="1">#REF!</definedName>
    <definedName name="IQRSheet2HJ11" hidden="1">#REF!</definedName>
    <definedName name="IQRSheet2HK11" hidden="1">#REF!</definedName>
    <definedName name="IQRSheet2HL11" hidden="1">#REF!</definedName>
    <definedName name="IQRSheet2HS11" hidden="1">#REF!</definedName>
    <definedName name="IQRSheet2HT11" hidden="1">#REF!</definedName>
    <definedName name="IQRSheet2HU11" hidden="1">#REF!</definedName>
    <definedName name="IQRSheet2I11" hidden="1">#REF!</definedName>
    <definedName name="IQRSheet2IB11" hidden="1">#REF!</definedName>
    <definedName name="IQRSheet2IC11" hidden="1">#REF!</definedName>
    <definedName name="IQRSheet2ID11" hidden="1">#REF!</definedName>
    <definedName name="IQRSheet2IK11" hidden="1">#REF!</definedName>
    <definedName name="IQRSheet2IL11" hidden="1">#REF!</definedName>
    <definedName name="IQRSheet2IM11" hidden="1">#REF!</definedName>
    <definedName name="IQRSheet2IT11" hidden="1">#REF!</definedName>
    <definedName name="IQRSheet2IU11" hidden="1">#REF!</definedName>
    <definedName name="IQRSheet2IV11" hidden="1">#REF!</definedName>
    <definedName name="IQRSheet2J11" hidden="1">#REF!</definedName>
    <definedName name="IQRSheet2JC11" hidden="1">#REF!</definedName>
    <definedName name="IQRSheet2JD11" hidden="1">#REF!</definedName>
    <definedName name="IQRSheet2JE11" hidden="1">#REF!</definedName>
    <definedName name="IQRSheet2JL11" hidden="1">#REF!</definedName>
    <definedName name="IQRSheet2JM11" hidden="1">#REF!</definedName>
    <definedName name="IQRSheet2JN11" hidden="1">#REF!</definedName>
    <definedName name="IQRSheet2JU11" hidden="1">#REF!</definedName>
    <definedName name="IQRSheet2JV11" hidden="1">#REF!</definedName>
    <definedName name="IQRSheet2JW11" hidden="1">#REF!</definedName>
    <definedName name="IQRSheet2K11" hidden="1">#REF!</definedName>
    <definedName name="IQRSheet2KD11" hidden="1">#REF!</definedName>
    <definedName name="IQRSheet2KE11" hidden="1">#REF!</definedName>
    <definedName name="IQRSheet2KF11" hidden="1">#REF!</definedName>
    <definedName name="IQRSheet2KM11" hidden="1">#REF!</definedName>
    <definedName name="IQRSheet2KN11" hidden="1">#REF!</definedName>
    <definedName name="IQRSheet2KO11" hidden="1">#REF!</definedName>
    <definedName name="IQRSheet2KV11" hidden="1">#REF!</definedName>
    <definedName name="IQRSheet2KW11" hidden="1">#REF!</definedName>
    <definedName name="IQRSheet2KX11" hidden="1">#REF!</definedName>
    <definedName name="IQRSheet2L11" hidden="1">#REF!</definedName>
    <definedName name="IQRSheet2LE11" hidden="1">#REF!</definedName>
    <definedName name="IQRSheet2LF11" hidden="1">#REF!</definedName>
    <definedName name="IQRSheet2LG11" hidden="1">#REF!</definedName>
    <definedName name="IQRSheet2LN11" hidden="1">#REF!</definedName>
    <definedName name="IQRSheet2LO11" hidden="1">#REF!</definedName>
    <definedName name="IQRSheet2LP11" hidden="1">#REF!</definedName>
    <definedName name="IQRSheet2LW11" hidden="1">#REF!</definedName>
    <definedName name="IQRSheet2LX11" hidden="1">#REF!</definedName>
    <definedName name="IQRSheet2LY11" hidden="1">#REF!</definedName>
    <definedName name="IQRSheet2M11" hidden="1">#REF!</definedName>
    <definedName name="IQRSheet2MF11" hidden="1">#REF!</definedName>
    <definedName name="IQRSheet2MG11" hidden="1">#REF!</definedName>
    <definedName name="IQRSheet2MH11" hidden="1">#REF!</definedName>
    <definedName name="IQRSheet2MO11" hidden="1">#REF!</definedName>
    <definedName name="IQRSheet2MP11" hidden="1">#REF!</definedName>
    <definedName name="IQRSheet2MQ11" hidden="1">#REF!</definedName>
    <definedName name="IQRSheet2MX11" hidden="1">#REF!</definedName>
    <definedName name="IQRSheet2MY11" hidden="1">#REF!</definedName>
    <definedName name="IQRSheet2MZ11" hidden="1">#REF!</definedName>
    <definedName name="IQRSheet2N11" hidden="1">#REF!</definedName>
    <definedName name="IQRSheet2NG11" hidden="1">#REF!</definedName>
    <definedName name="IQRSheet2NH11" hidden="1">#REF!</definedName>
    <definedName name="IQRSheet2NI11" hidden="1">#REF!</definedName>
    <definedName name="IQRSheet2NP11" hidden="1">#REF!</definedName>
    <definedName name="IQRSheet2NQ11" hidden="1">#REF!</definedName>
    <definedName name="IQRSheet2NR11" hidden="1">#REF!</definedName>
    <definedName name="IQRSheet2NY11" hidden="1">#REF!</definedName>
    <definedName name="IQRSheet2NZ11" hidden="1">#REF!</definedName>
    <definedName name="IQRSheet2O11" hidden="1">#REF!</definedName>
    <definedName name="IQRSheet2OA11" hidden="1">#REF!</definedName>
    <definedName name="IQRSheet2OH11" hidden="1">#REF!</definedName>
    <definedName name="IQRSheet2OI11" hidden="1">#REF!</definedName>
    <definedName name="IQRSheet2OJ11" hidden="1">#REF!</definedName>
    <definedName name="IQRSheet2OQ11" hidden="1">#REF!</definedName>
    <definedName name="IQRSheet2OR11" hidden="1">#REF!</definedName>
    <definedName name="IQRSheet2OS11" hidden="1">#REF!</definedName>
    <definedName name="IQRSheet2OZ11" hidden="1">#REF!</definedName>
    <definedName name="IQRSheet2P11" hidden="1">#REF!</definedName>
    <definedName name="IQRSheet2PA11" hidden="1">#REF!</definedName>
    <definedName name="IQRSheet2PB11" hidden="1">#REF!</definedName>
    <definedName name="IQRSheet2PI11" hidden="1">#REF!</definedName>
    <definedName name="IQRSheet2PJ11" hidden="1">#REF!</definedName>
    <definedName name="IQRSheet2PK11" hidden="1">#REF!</definedName>
    <definedName name="IQRSheet2PR11" hidden="1">#REF!</definedName>
    <definedName name="IQRSheet2PS11" hidden="1">#REF!</definedName>
    <definedName name="IQRSheet2PT11" hidden="1">#REF!</definedName>
    <definedName name="IQRSheet2Q11" hidden="1">#REF!</definedName>
    <definedName name="IQRSheet2QA11" hidden="1">#REF!</definedName>
    <definedName name="IQRSheet2QB11" hidden="1">#REF!</definedName>
    <definedName name="IQRSheet2QC11" hidden="1">#REF!</definedName>
    <definedName name="IQRSheet2QJ11" hidden="1">#REF!</definedName>
    <definedName name="IQRSheet2QK11" hidden="1">#REF!</definedName>
    <definedName name="IQRSheet2QL11" hidden="1">#REF!</definedName>
    <definedName name="IQRSheet2R11" hidden="1">#REF!</definedName>
    <definedName name="IQRSheet2S11" hidden="1">#REF!</definedName>
    <definedName name="IQRSheet2T11" hidden="1">#REF!</definedName>
    <definedName name="IQRSheet2U11" hidden="1">#REF!</definedName>
    <definedName name="IQRSheet2V11" hidden="1">#REF!</definedName>
    <definedName name="IQRSheet2W11" hidden="1">#REF!</definedName>
    <definedName name="IQRSheet2X11" hidden="1">#REF!</definedName>
    <definedName name="IQRSheet2Y11" hidden="1">#REF!</definedName>
    <definedName name="IQRSheet2Z11" hidden="1">#REF!</definedName>
    <definedName name="IQRSheet3AA12" hidden="1">#REF!</definedName>
    <definedName name="IQRSheet3AB12" hidden="1">#REF!</definedName>
    <definedName name="IQRSheet3AC11" hidden="1">#REF!</definedName>
    <definedName name="IQRSheet3AC12" hidden="1">#REF!</definedName>
    <definedName name="IQRSheet3AD11" hidden="1">#REF!</definedName>
    <definedName name="IQRSheet3AD12" hidden="1">#REF!</definedName>
    <definedName name="IQRSheet3AE11" hidden="1">#REF!</definedName>
    <definedName name="IQRSheet3AE12" hidden="1">#REF!</definedName>
    <definedName name="IQRSheet3AF12" hidden="1">#REF!</definedName>
    <definedName name="IQRSheet3AG12" hidden="1">#REF!</definedName>
    <definedName name="IQRSheet3AH12" hidden="1">#REF!</definedName>
    <definedName name="IQRSheet3AI12" hidden="1">#REF!</definedName>
    <definedName name="IQRSheet3AJ12" hidden="1">#REF!</definedName>
    <definedName name="IQRSheet3AK12" hidden="1">#REF!</definedName>
    <definedName name="IQRSheet3AL11" hidden="1">#REF!</definedName>
    <definedName name="IQRSheet3AL12" hidden="1">#REF!</definedName>
    <definedName name="IQRSheet3AM11" hidden="1">#REF!</definedName>
    <definedName name="IQRSheet3AM12" hidden="1">#REF!</definedName>
    <definedName name="IQRSheet3AN11" hidden="1">#REF!</definedName>
    <definedName name="IQRSheet3AN12" hidden="1">#REF!</definedName>
    <definedName name="IQRSheet3AO12" hidden="1">#REF!</definedName>
    <definedName name="IQRSheet3AP12" hidden="1">#REF!</definedName>
    <definedName name="IQRSheet3AQ12" hidden="1">#REF!</definedName>
    <definedName name="IQRSheet3AR12" hidden="1">#REF!</definedName>
    <definedName name="IQRSheet3AS12" hidden="1">#REF!</definedName>
    <definedName name="IQRSheet3AT12" hidden="1">#REF!</definedName>
    <definedName name="IQRSheet3AU11" hidden="1">#REF!</definedName>
    <definedName name="IQRSheet3AU12" hidden="1">#REF!</definedName>
    <definedName name="IQRSheet3AV11" hidden="1">#REF!</definedName>
    <definedName name="IQRSheet3AV12" hidden="1">#REF!</definedName>
    <definedName name="IQRSheet3AW11" hidden="1">#REF!</definedName>
    <definedName name="IQRSheet3AW12" hidden="1">#REF!</definedName>
    <definedName name="IQRSheet3AX12" hidden="1">#REF!</definedName>
    <definedName name="IQRSheet3AY12" hidden="1">#REF!</definedName>
    <definedName name="IQRSheet3AZ12" hidden="1">#REF!</definedName>
    <definedName name="IQRSheet3B11" hidden="1">#REF!</definedName>
    <definedName name="IQRSheet3BD11" hidden="1">#REF!</definedName>
    <definedName name="IQRSheet3BE11" hidden="1">#REF!</definedName>
    <definedName name="IQRSheet3BF11" hidden="1">#REF!</definedName>
    <definedName name="IQRSheet3BM11" hidden="1">#REF!</definedName>
    <definedName name="IQRSheet3BN11" hidden="1">#REF!</definedName>
    <definedName name="IQRSheet3BO11" hidden="1">#REF!</definedName>
    <definedName name="IQRSheet3BV11" hidden="1">#REF!</definedName>
    <definedName name="IQRSheet3BW11" hidden="1">#REF!</definedName>
    <definedName name="IQRSheet3BX11" hidden="1">#REF!</definedName>
    <definedName name="IQRSheet3C11" hidden="1">#REF!</definedName>
    <definedName name="IQRSheet3C12" hidden="1">#REF!</definedName>
    <definedName name="IQRSheet3CE11" hidden="1">#REF!</definedName>
    <definedName name="IQRSheet3CF11" hidden="1">#REF!</definedName>
    <definedName name="IQRSheet3CG11" hidden="1">#REF!</definedName>
    <definedName name="IQRSheet3CN11" hidden="1">#REF!</definedName>
    <definedName name="IQRSheet3CO11" hidden="1">#REF!</definedName>
    <definedName name="IQRSheet3CP11" hidden="1">#REF!</definedName>
    <definedName name="IQRSheet3CW11" hidden="1">#REF!</definedName>
    <definedName name="IQRSheet3CX11" hidden="1">#REF!</definedName>
    <definedName name="IQRSheet3CY11" hidden="1">#REF!</definedName>
    <definedName name="IQRSheet3D11" hidden="1">#REF!</definedName>
    <definedName name="IQRSheet3D12" hidden="1">#REF!</definedName>
    <definedName name="IQRSheet3DF11" hidden="1">#REF!</definedName>
    <definedName name="IQRSheet3DG11" hidden="1">#REF!</definedName>
    <definedName name="IQRSheet3DH11" hidden="1">#REF!</definedName>
    <definedName name="IQRSheet3DO11" hidden="1">#REF!</definedName>
    <definedName name="IQRSheet3DP11" hidden="1">#REF!</definedName>
    <definedName name="IQRSheet3DQ11" hidden="1">#REF!</definedName>
    <definedName name="IQRSheet3DX11" hidden="1">#REF!</definedName>
    <definedName name="IQRSheet3DY11" hidden="1">#REF!</definedName>
    <definedName name="IQRSheet3DZ11" hidden="1">#REF!</definedName>
    <definedName name="IQRSheet3E12" hidden="1">#REF!</definedName>
    <definedName name="IQRSheet3EG11" hidden="1">#REF!</definedName>
    <definedName name="IQRSheet3EH11" hidden="1">#REF!</definedName>
    <definedName name="IQRSheet3EI11" hidden="1">#REF!</definedName>
    <definedName name="IQRSheet3EP11" hidden="1">#REF!</definedName>
    <definedName name="IQRSheet3EQ11" hidden="1">#REF!</definedName>
    <definedName name="IQRSheet3ER11" hidden="1">#REF!</definedName>
    <definedName name="IQRSheet3EY11" hidden="1">#REF!</definedName>
    <definedName name="IQRSheet3EZ11" hidden="1">#REF!</definedName>
    <definedName name="IQRSheet3F12" hidden="1">#REF!</definedName>
    <definedName name="IQRSheet3FA11" hidden="1">#REF!</definedName>
    <definedName name="IQRSheet3FH11" hidden="1">#REF!</definedName>
    <definedName name="IQRSheet3FI11" hidden="1">#REF!</definedName>
    <definedName name="IQRSheet3FJ11" hidden="1">#REF!</definedName>
    <definedName name="IQRSheet3FQ11" hidden="1">#REF!</definedName>
    <definedName name="IQRSheet3FR11" hidden="1">#REF!</definedName>
    <definedName name="IQRSheet3FS11" hidden="1">#REF!</definedName>
    <definedName name="IQRSheet3FZ11" hidden="1">#REF!</definedName>
    <definedName name="IQRSheet3G12" hidden="1">#REF!</definedName>
    <definedName name="IQRSheet3GA11" hidden="1">#REF!</definedName>
    <definedName name="IQRSheet3GB11" hidden="1">#REF!</definedName>
    <definedName name="IQRSheet3GI11" hidden="1">#REF!</definedName>
    <definedName name="IQRSheet3GJ11" hidden="1">#REF!</definedName>
    <definedName name="IQRSheet3GK11" hidden="1">#REF!</definedName>
    <definedName name="IQRSheet3GR11" hidden="1">#REF!</definedName>
    <definedName name="IQRSheet3GS11" hidden="1">#REF!</definedName>
    <definedName name="IQRSheet3GT11" hidden="1">#REF!</definedName>
    <definedName name="IQRSheet3H12" hidden="1">#REF!</definedName>
    <definedName name="IQRSheet3HA11" hidden="1">#REF!</definedName>
    <definedName name="IQRSheet3HB11" hidden="1">#REF!</definedName>
    <definedName name="IQRSheet3HC11" hidden="1">#REF!</definedName>
    <definedName name="IQRSheet3HJ11" hidden="1">#REF!</definedName>
    <definedName name="IQRSheet3HK11" hidden="1">#REF!</definedName>
    <definedName name="IQRSheet3HL11" hidden="1">#REF!</definedName>
    <definedName name="IQRSheet3HS11" hidden="1">#REF!</definedName>
    <definedName name="IQRSheet3HT11" hidden="1">#REF!</definedName>
    <definedName name="IQRSheet3HU11" hidden="1">#REF!</definedName>
    <definedName name="IQRSheet3I12" hidden="1">#REF!</definedName>
    <definedName name="IQRSheet3IB11" hidden="1">#REF!</definedName>
    <definedName name="IQRSheet3IC11" hidden="1">#REF!</definedName>
    <definedName name="IQRSheet3ID11" hidden="1">#REF!</definedName>
    <definedName name="IQRSheet3IK11" hidden="1">#REF!</definedName>
    <definedName name="IQRSheet3IL11" hidden="1">#REF!</definedName>
    <definedName name="IQRSheet3IM11" hidden="1">#REF!</definedName>
    <definedName name="IQRSheet3IT11" hidden="1">#REF!</definedName>
    <definedName name="IQRSheet3IU11" hidden="1">#REF!</definedName>
    <definedName name="IQRSheet3IV11" hidden="1">#REF!</definedName>
    <definedName name="IQRSheet3J12" hidden="1">#REF!</definedName>
    <definedName name="IQRSheet3JC11" hidden="1">#REF!</definedName>
    <definedName name="IQRSheet3JD11" hidden="1">#REF!</definedName>
    <definedName name="IQRSheet3JE11" hidden="1">#REF!</definedName>
    <definedName name="IQRSheet3JL11" hidden="1">#REF!</definedName>
    <definedName name="IQRSheet3JM11" hidden="1">#REF!</definedName>
    <definedName name="IQRSheet3JN11" hidden="1">#REF!</definedName>
    <definedName name="IQRSheet3JU11" hidden="1">#REF!</definedName>
    <definedName name="IQRSheet3JV11" hidden="1">#REF!</definedName>
    <definedName name="IQRSheet3JW11" hidden="1">#REF!</definedName>
    <definedName name="IQRSheet3K11" hidden="1">#REF!</definedName>
    <definedName name="IQRSheet3K12" hidden="1">#REF!</definedName>
    <definedName name="IQRSheet3KD11" hidden="1">#REF!</definedName>
    <definedName name="IQRSheet3KE11" hidden="1">#REF!</definedName>
    <definedName name="IQRSheet3KF11" hidden="1">#REF!</definedName>
    <definedName name="IQRSheet3KM11" hidden="1">#REF!</definedName>
    <definedName name="IQRSheet3KN11" hidden="1">#REF!</definedName>
    <definedName name="IQRSheet3KO11" hidden="1">#REF!</definedName>
    <definedName name="IQRSheet3KV11" hidden="1">#REF!</definedName>
    <definedName name="IQRSheet3KW11" hidden="1">#REF!</definedName>
    <definedName name="IQRSheet3KX11" hidden="1">#REF!</definedName>
    <definedName name="IQRSheet3L11" hidden="1">#REF!</definedName>
    <definedName name="IQRSheet3L12" hidden="1">#REF!</definedName>
    <definedName name="IQRSheet3LE11" hidden="1">#REF!</definedName>
    <definedName name="IQRSheet3LF11" hidden="1">#REF!</definedName>
    <definedName name="IQRSheet3LG11" hidden="1">#REF!</definedName>
    <definedName name="IQRSheet3LN11" hidden="1">#REF!</definedName>
    <definedName name="IQRSheet3LO11" hidden="1">#REF!</definedName>
    <definedName name="IQRSheet3LP11" hidden="1">#REF!</definedName>
    <definedName name="IQRSheet3LW11" hidden="1">#REF!</definedName>
    <definedName name="IQRSheet3LX11" hidden="1">#REF!</definedName>
    <definedName name="IQRSheet3LY11" hidden="1">#REF!</definedName>
    <definedName name="IQRSheet3M11" hidden="1">#REF!</definedName>
    <definedName name="IQRSheet3M12" hidden="1">#REF!</definedName>
    <definedName name="IQRSheet3MF11" hidden="1">#REF!</definedName>
    <definedName name="IQRSheet3MG11" hidden="1">#REF!</definedName>
    <definedName name="IQRSheet3MH11" hidden="1">#REF!</definedName>
    <definedName name="IQRSheet3MO11" hidden="1">#REF!</definedName>
    <definedName name="IQRSheet3MP11" hidden="1">#REF!</definedName>
    <definedName name="IQRSheet3MQ11" hidden="1">#REF!</definedName>
    <definedName name="IQRSheet3MX11" hidden="1">#REF!</definedName>
    <definedName name="IQRSheet3MY11" hidden="1">#REF!</definedName>
    <definedName name="IQRSheet3MZ11" hidden="1">#REF!</definedName>
    <definedName name="IQRSheet3N12" hidden="1">#REF!</definedName>
    <definedName name="IQRSheet3NG11" hidden="1">#REF!</definedName>
    <definedName name="IQRSheet3NH11" hidden="1">#REF!</definedName>
    <definedName name="IQRSheet3NI11" hidden="1">#REF!</definedName>
    <definedName name="IQRSheet3NP11" hidden="1">#REF!</definedName>
    <definedName name="IQRSheet3NQ11" hidden="1">#REF!</definedName>
    <definedName name="IQRSheet3NR11" hidden="1">#REF!</definedName>
    <definedName name="IQRSheet3NY11" hidden="1">#REF!</definedName>
    <definedName name="IQRSheet3NZ11" hidden="1">#REF!</definedName>
    <definedName name="IQRSheet3O12" hidden="1">#REF!</definedName>
    <definedName name="IQRSheet3OA11" hidden="1">#REF!</definedName>
    <definedName name="IQRSheet3OH11" hidden="1">#REF!</definedName>
    <definedName name="IQRSheet3OI11" hidden="1">#REF!</definedName>
    <definedName name="IQRSheet3OJ11" hidden="1">#REF!</definedName>
    <definedName name="IQRSheet3OQ11" hidden="1">#REF!</definedName>
    <definedName name="IQRSheet3OR11" hidden="1">#REF!</definedName>
    <definedName name="IQRSheet3OS11" hidden="1">#REF!</definedName>
    <definedName name="IQRSheet3OZ11" hidden="1">#REF!</definedName>
    <definedName name="IQRSheet3P12" hidden="1">#REF!</definedName>
    <definedName name="IQRSheet3PA11" hidden="1">#REF!</definedName>
    <definedName name="IQRSheet3PB11" hidden="1">#REF!</definedName>
    <definedName name="IQRSheet3PI11" hidden="1">#REF!</definedName>
    <definedName name="IQRSheet3PJ11" hidden="1">#REF!</definedName>
    <definedName name="IQRSheet3PK11" hidden="1">#REF!</definedName>
    <definedName name="IQRSheet3PR11" hidden="1">#REF!</definedName>
    <definedName name="IQRSheet3PS11" hidden="1">#REF!</definedName>
    <definedName name="IQRSheet3PT11" hidden="1">#REF!</definedName>
    <definedName name="IQRSheet3Q12" hidden="1">#REF!</definedName>
    <definedName name="IQRSheet3QA11" hidden="1">#REF!</definedName>
    <definedName name="IQRSheet3QB11" hidden="1">#REF!</definedName>
    <definedName name="IQRSheet3QC11" hidden="1">#REF!</definedName>
    <definedName name="IQRSheet3R12" hidden="1">#REF!</definedName>
    <definedName name="IQRSheet3S12" hidden="1">#REF!</definedName>
    <definedName name="IQRSheet3T11" hidden="1">#REF!</definedName>
    <definedName name="IQRSheet3T12" hidden="1">#REF!</definedName>
    <definedName name="IQRSheet3U11" hidden="1">#REF!</definedName>
    <definedName name="IQRSheet3U12" hidden="1">#REF!</definedName>
    <definedName name="IQRSheet3V11" hidden="1">#REF!</definedName>
    <definedName name="IQRSheet3V12" hidden="1">#REF!</definedName>
    <definedName name="IQRSheet3W12" hidden="1">#REF!</definedName>
    <definedName name="IQRSheet3X12" hidden="1">#REF!</definedName>
    <definedName name="IQRSheet3Y12" hidden="1">#REF!</definedName>
    <definedName name="IQRSheet3Z12" hidden="1">#REF!</definedName>
    <definedName name="IQRT4" hidden="1">"$T$5:$T$16"</definedName>
    <definedName name="IQRU4" hidden="1">"$U$5:$U$16"</definedName>
    <definedName name="IQRV4" hidden="1">"$V$5:$V$13"</definedName>
    <definedName name="IQRVIL_MarketprA8" hidden="1">#REF!</definedName>
    <definedName name="IQRW4" hidden="1">"$W$5:$W$13"</definedName>
    <definedName name="IQRX4" hidden="1">"$X$5:$X$16"</definedName>
    <definedName name="IQRY24" hidden="1">"$Y$25:$Y$27"</definedName>
    <definedName name="IQRY4" hidden="1">"$Y$5:$Y$16"</definedName>
    <definedName name="IQRZ24" hidden="1">"$Z$25:$Z$27"</definedName>
    <definedName name="IQRZ4" hidden="1">"$Z$5:$Z$18"</definedName>
    <definedName name="iQShowHideColumns" hidden="1">"iQShowAll"</definedName>
    <definedName name="is_holdbin">#REF!</definedName>
    <definedName name="IsColHidden" hidden="1">FALSE</definedName>
    <definedName name="IsLTMColHidden" hidden="1">FALSE</definedName>
    <definedName name="IT">NA()</definedName>
    <definedName name="ITDepr">#REF!</definedName>
    <definedName name="ITDepRt">#REF!</definedName>
    <definedName name="iteration">#REF!</definedName>
    <definedName name="ITM_MSTR_033007_Query">#REF!</definedName>
    <definedName name="ITM_MSTR_033007_Query1">#REF!</definedName>
    <definedName name="Ivnt">#REF!</definedName>
    <definedName name="IvntDays">#REF!</definedName>
    <definedName name="iyy">#REF!</definedName>
    <definedName name="j_1" hidden="1">{#N/A,#N/A,TRUE,"Summary";#N/A,"1",TRUE,"Summary";#N/A,"2",TRUE,"Summary";#N/A,"3",TRUE,"Summary";#N/A,"4",TRUE,"Summary";#N/A,"5",TRUE,"Summary";#N/A,"6",TRUE,"Summary";#N/A,"7",TRUE,"Summary";#N/A,"8",TRUE,"Summary";#N/A,"9",TRUE,"Summary";#N/A,"10",TRUE,"Summary";#N/A,"11",TRUE,"Summary"}</definedName>
    <definedName name="j_2" hidden="1">{#N/A,#N/A,TRUE,"Summary";#N/A,"1",TRUE,"Summary";#N/A,"2",TRUE,"Summary";#N/A,"3",TRUE,"Summary";#N/A,"4",TRUE,"Summary";#N/A,"5",TRUE,"Summary";#N/A,"6",TRUE,"Summary";#N/A,"7",TRUE,"Summary";#N/A,"8",TRUE,"Summary";#N/A,"9",TRUE,"Summary";#N/A,"10",TRUE,"Summary";#N/A,"11",TRUE,"Summary"}</definedName>
    <definedName name="j_3" hidden="1">{#N/A,#N/A,TRUE,"Summary";#N/A,"1",TRUE,"Summary";#N/A,"2",TRUE,"Summary";#N/A,"3",TRUE,"Summary";#N/A,"4",TRUE,"Summary";#N/A,"5",TRUE,"Summary";#N/A,"6",TRUE,"Summary";#N/A,"7",TRUE,"Summary";#N/A,"8",TRUE,"Summary";#N/A,"9",TRUE,"Summary";#N/A,"10",TRUE,"Summary";#N/A,"11",TRUE,"Summary"}</definedName>
    <definedName name="j_4" hidden="1">{#N/A,#N/A,TRUE,"Summary";#N/A,"1",TRUE,"Summary";#N/A,"2",TRUE,"Summary";#N/A,"3",TRUE,"Summary";#N/A,"4",TRUE,"Summary";#N/A,"5",TRUE,"Summary";#N/A,"6",TRUE,"Summary";#N/A,"7",TRUE,"Summary";#N/A,"8",TRUE,"Summary";#N/A,"9",TRUE,"Summary";#N/A,"10",TRUE,"Summary";#N/A,"11",TRUE,"Summary"}</definedName>
    <definedName name="j_5" hidden="1">{#N/A,#N/A,TRUE,"Summary";#N/A,"1",TRUE,"Summary";#N/A,"2",TRUE,"Summary";#N/A,"3",TRUE,"Summary";#N/A,"4",TRUE,"Summary";#N/A,"5",TRUE,"Summary";#N/A,"6",TRUE,"Summary";#N/A,"7",TRUE,"Summary";#N/A,"8",TRUE,"Summary";#N/A,"9",TRUE,"Summary";#N/A,"10",TRUE,"Summary";#N/A,"11",TRUE,"Summary"}</definedName>
    <definedName name="JAN">#REF!</definedName>
    <definedName name="jdj" hidden="1">{#N/A,#N/A,FALSE,"5"}</definedName>
    <definedName name="jen" hidden="1">{TRUE,TRUE,-1.25,-15.5,456.75,279.75,FALSE,FALSE,TRUE,TRUE,0,1,8,1,4,6,3,4,TRUE,TRUE,3,TRUE,1,TRUE,100,"Swvu.turnover.","ACwvu.turnover.",1,FALSE,FALSE,0.511811023622047,0.511811023622047,0.511811023622047,0.511811023622047,1,"","",FALSE,FALSE,FALSE,FALSE,1,#N/A,1,1,#DIV/0!,FALSE,"Rwvu.turnover.",#N/A,FALSE,FALSE}</definedName>
    <definedName name="jghj" hidden="1">{#N/A,#N/A,FALSE,"Graphs 1";#N/A,#N/A,FALSE,"Graphs 2"}</definedName>
    <definedName name="jim" hidden="1">{#N/A,#N/A,TRUE,"CONTENTS";#N/A,#N/A,TRUE,"M2";#N/A,#N/A,TRUE,"M2a";#N/A,#N/A,TRUE,"M2b";#N/A,#N/A,TRUE,"M3";#N/A,#N/A,TRUE,"M3a";#N/A,#N/A,TRUE,"M4-H";#N/A,#N/A,TRUE,"M4-P";#N/A,#N/A,TRUE,"M4a";#N/A,#N/A,TRUE,"M4b";#N/A,#N/A,TRUE,"M4c";#N/A,#N/A,TRUE,"M5";#N/A,#N/A,TRUE,"M6";#N/A,#N/A,TRUE,"M7";#N/A,#N/A,TRUE,"M8";#N/A,#N/A,TRUE,"M9";#N/A,#N/A,TRUE,"M10";#N/A,#N/A,TRUE,"M11";#N/A,#N/A,TRUE,"M13";#N/A,#N/A,TRUE,"M14";#N/A,#N/A,TRUE,"M15";#N/A,#N/A,TRUE,"K1"}</definedName>
    <definedName name="jjjj" hidden="1">{#N/A,#N/A,FALSE,"Staffnos &amp; cost"}</definedName>
    <definedName name="jjkk" hidden="1">{#N/A,#N/A,TRUE,"Summary - 1";#N/A,#N/A,TRUE,"Summary - 2";#N/A,#N/A,TRUE,"Group Analysis";#N/A,#N/A,TRUE,"FM Analysis";#N/A,#N/A,TRUE,"T&amp;M-Onsite";#N/A,#N/A,TRUE,"FP-Onsite";#N/A,#N/A,TRUE,"NB-Onsite";#N/A,#N/A,TRUE,"T&amp;M-Offshore";#N/A,#N/A,TRUE,"FP-Offshore";#N/A,#N/A,TRUE,"Appendix-A";#N/A,#N/A,TRUE,"Appendix-B"}</definedName>
    <definedName name="jk" hidden="1">{#N/A,#N/A,FALSE,"FY97";#N/A,#N/A,FALSE,"FY98";#N/A,#N/A,FALSE,"FY99";#N/A,#N/A,FALSE,"FY00";#N/A,#N/A,FALSE,"FY01"}</definedName>
    <definedName name="jkk">#REF!</definedName>
    <definedName name="jl" hidden="1">{#N/A,#N/A,TRUE,"A-site";#N/A,#N/A,TRUE,"B-Buildings";#N/A,#N/A,TRUE,"c-out-of-fence";#N/A,#N/A,TRUE,"d-proj.infr.";#N/A,#N/A,TRUE,"e- land"}</definedName>
    <definedName name="jmgkdjgkdfjgkf" hidden="1">{#N/A,#N/A,FALSE,"Cash Flows";#N/A,#N/A,FALSE,"Fixed Assets";#N/A,#N/A,FALSE,"Balance Sheet";#N/A,#N/A,FALSE,"P &amp; L"}</definedName>
    <definedName name="Jobs0708">#REF!</definedName>
    <definedName name="jsdhsj" hidden="1">{#N/A,#N/A,TRUE,"constb"}</definedName>
    <definedName name="JUL">#REF!</definedName>
    <definedName name="JUN">#REF!</definedName>
    <definedName name="k" localSheetId="20" hidden="1">1000</definedName>
    <definedName name="K" localSheetId="39">#REF!</definedName>
    <definedName name="K">#REF!</definedName>
    <definedName name="K_1" localSheetId="39">#REF!</definedName>
    <definedName name="K_1">#REF!</definedName>
    <definedName name="K_2" localSheetId="39">#REF!</definedName>
    <definedName name="K_2">#REF!</definedName>
    <definedName name="K2_WBEVMODE" hidden="1">3</definedName>
    <definedName name="K2_WBHASINITMODE" hidden="1">1</definedName>
    <definedName name="kavi" hidden="1">{#N/A,#N/A,FALSE,"12"}</definedName>
    <definedName name="kcuf" hidden="1">{"SUMMARY",#N/A,TRUE,"SUMMARY";"compare",#N/A,TRUE,"Vs. Bus Plan";"ratios",#N/A,TRUE,"Ratios";"REVENUE",#N/A,TRUE,"Revenue";"expenses",#N/A,TRUE,"1996 budget";"payroll",#N/A,TRUE,"Payroll"}</definedName>
    <definedName name="Ke">#REF!</definedName>
    <definedName name="key_driv">#REF!</definedName>
    <definedName name="khkh" hidden="1">#REF!</definedName>
    <definedName name="kk"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kkk" hidden="1">{"'UMTS traffic (standard)'!$A$1:$K$80"}</definedName>
    <definedName name="kkkk" hidden="1">{#N/A,#N/A,FALSE,"Layout Aktiva";#N/A,#N/A,FALSE,"Layout Passiva";#N/A,#N/A,FALSE,"Layout GuV";#N/A,#N/A,FALSE,"Layout Cash Flow";#N/A,#N/A,FALSE,"Mittelherkunft";#N/A,#N/A,FALSE,"Mittelverwendung";#N/A,#N/A,FALSE,"Finanzbedarsrechnung"}</definedName>
    <definedName name="kkkkk" hidden="1">{"Full view",#N/A,FALSE,"Market view";"Full view",#N/A,FALSE,"Market view"}</definedName>
    <definedName name="kks" hidden="1">{#N/A,#N/A,FALSE,"17"}</definedName>
    <definedName name="kl" hidden="1">{#N/A,#N/A,FALSE,"FY97";#N/A,#N/A,FALSE,"FY98";#N/A,#N/A,FALSE,"FY99";#N/A,#N/A,FALSE,"FY00";#N/A,#N/A,FALSE,"FY01"}</definedName>
    <definedName name="klll">#REF!,#REF!,#REF!</definedName>
    <definedName name="kn" hidden="1">{#N/A,#N/A,TRUE,"A-site";#N/A,#N/A,TRUE,"B-Buildings";#N/A,#N/A,TRUE,"c-out-of-fence";#N/A,#N/A,TRUE,"d-proj.infr.";#N/A,#N/A,TRUE,"e- land"}</definedName>
    <definedName name="kok" hidden="1">#REF!</definedName>
    <definedName name="KOREA_PLASTIC_in_KUSD">#REF!</definedName>
    <definedName name="kpmg" hidden="1">{#N/A,#N/A,TRUE,"10 Yr Hold";#N/A,#N/A,TRUE,"7 Yr Hold";#N/A,#N/A,TRUE,"5 Yr Hold";#N/A,#N/A,TRUE,"3 Yr Hold"}</definedName>
    <definedName name="kti" hidden="1">{#N/A,#N/A,FALSE,"6"}</definedName>
    <definedName name="KUULSD" hidden="1">{#N/A,#N/A,FALSE,"COMP"}</definedName>
    <definedName name="KUULSD_1" hidden="1">{#N/A,#N/A,FALSE,"COMP"}</definedName>
    <definedName name="KUULSD_2" hidden="1">{#N/A,#N/A,FALSE,"COMP"}</definedName>
    <definedName name="KUULSD_3" hidden="1">{#N/A,#N/A,FALSE,"COMP"}</definedName>
    <definedName name="KUULSD_4" hidden="1">{#N/A,#N/A,FALSE,"COMP"}</definedName>
    <definedName name="KUULSD_5" hidden="1">{#N/A,#N/A,FALSE,"COMP"}</definedName>
    <definedName name="kw" hidden="1">{#N/A,#N/A,FALSE,"17"}</definedName>
    <definedName name="l" localSheetId="2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l" localSheetId="39">#REF!</definedName>
    <definedName name="l">#REF!</definedName>
    <definedName name="l_1" localSheetId="39">#REF!</definedName>
    <definedName name="l_1">#REF!</definedName>
    <definedName name="l_2" localSheetId="39">#REF!</definedName>
    <definedName name="l_2">#REF!</definedName>
    <definedName name="L1L">#REF!,#REF!</definedName>
    <definedName name="L2L">#REF!,#REF!</definedName>
    <definedName name="L3L">#REF!,#REF!</definedName>
    <definedName name="L4L">#REF!,#REF!</definedName>
    <definedName name="L5L">#REF!,#REF!</definedName>
    <definedName name="LAC">#REF!</definedName>
    <definedName name="land_buildings">#REF!</definedName>
    <definedName name="language">#REF!</definedName>
    <definedName name="last_forecast_year">#REF!</definedName>
    <definedName name="Last_Row">IF(Values_Entered,Header_Row+#REF!,Header_Row)</definedName>
    <definedName name="LastFullYear">#REF!</definedName>
    <definedName name="Latest_Q">#REF!</definedName>
    <definedName name="LatestInterim">#REF!</definedName>
    <definedName name="LatestYearEnd">#REF!</definedName>
    <definedName name="LBL" hidden="1">#REF!</definedName>
    <definedName name="LDP_FRT_293">#REF!</definedName>
    <definedName name="LDP_FRT_293___0">#REF!</definedName>
    <definedName name="LDP_FRT_293___0___0">#REF!</definedName>
    <definedName name="LDP_FRT_293___0___0___0">#REF!</definedName>
    <definedName name="LDP_MAC_">#REF!</definedName>
    <definedName name="LDP_MAC____0">#REF!</definedName>
    <definedName name="LDP_MAC____0___0">#REF!</definedName>
    <definedName name="LDP_MAC____0___0___0">#REF!</definedName>
    <definedName name="LDP_MS_291">#REF!</definedName>
    <definedName name="LDP_MS_291___0">#REF!</definedName>
    <definedName name="LDP_MS_291___0___0">#REF!</definedName>
    <definedName name="LDP_MS_291___0___0___0">#REF!</definedName>
    <definedName name="LDP_STL_295">#REF!</definedName>
    <definedName name="LDP_STL_295___0">#REF!</definedName>
    <definedName name="LDP_STL_295___0___0">#REF!</definedName>
    <definedName name="LDP_STL_295___0___0___0">#REF!</definedName>
    <definedName name="lease" localSheetId="20" hidden="1">{#N/A,#N/A,FALSE,"HMF";#N/A,#N/A,FALSE,"FACIL";#N/A,#N/A,FALSE,"HMFINANCE";#N/A,#N/A,FALSE,"HMEUROPE";#N/A,#N/A,FALSE,"HHAB CONSO";#N/A,#N/A,FALSE,"PAB";#N/A,#N/A,FALSE,"MMC";#N/A,#N/A,FALSE,"THAI";#N/A,#N/A,FALSE,"SINPA";#N/A,#N/A,FALSE,"POLAND"}</definedName>
    <definedName name="lease">NA()</definedName>
    <definedName name="LEC_FRT">#REF!</definedName>
    <definedName name="LEC_FRT___0">#REF!</definedName>
    <definedName name="LEC_MAC">#REF!</definedName>
    <definedName name="LEC_MAC___0">#REF!</definedName>
    <definedName name="LEC_MS">#REF!</definedName>
    <definedName name="LEC_MS___0">#REF!</definedName>
    <definedName name="LEC_STL">#REF!</definedName>
    <definedName name="LEC_STL___0">#REF!</definedName>
    <definedName name="leo" hidden="1">{#N/A,#N/A,FALSE,"15"}</definedName>
    <definedName name="LFY_P">#REF!</definedName>
    <definedName name="Licence_amortisation">#REF!</definedName>
    <definedName name="limcount" hidden="1">1</definedName>
    <definedName name="limey" hidden="1">{#N/A,#N/A,FALSE,"Calc";#N/A,#N/A,FALSE,"Sensitivity";#N/A,#N/A,FALSE,"LT Earn.Dil.";#N/A,#N/A,FALSE,"Dil. AVP"}</definedName>
    <definedName name="Linkedin">GL #REF!</definedName>
    <definedName name="Lisa" hidden="1">{#N/A,#N/A,FALSE,"Hip.Bas";#N/A,#N/A,FALSE,"ventas";#N/A,#N/A,FALSE,"ingre-Año";#N/A,#N/A,FALSE,"ventas-Año";#N/A,#N/A,FALSE,"Costepro";#N/A,#N/A,FALSE,"inversion";#N/A,#N/A,FALSE,"personal";#N/A,#N/A,FALSE,"Gastos-V";#N/A,#N/A,FALSE,"Circulante";#N/A,#N/A,FALSE,"CONSOLI";#N/A,#N/A,FALSE,"Es-Fin";#N/A,#N/A,FALSE,"Margen-P"}</definedName>
    <definedName name="list">#REF!</definedName>
    <definedName name="ListOffset" hidden="1">1</definedName>
    <definedName name="Lists">#REF!</definedName>
    <definedName name="LJLJJ" hidden="1">{#N/A,#N/A,FALSE,"FREE"}</definedName>
    <definedName name="lk"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lkjlkj" hidden="1">{"Final",#N/A,FALSE,"Feb-96"}</definedName>
    <definedName name="lklkl" hidden="1">{"consolidated",#N/A,FALSE,"Sheet1";"cms",#N/A,FALSE,"Sheet1";"fse",#N/A,FALSE,"Sheet1"}</definedName>
    <definedName name="ll">#REF!</definedName>
    <definedName name="LLL" hidden="1">{#N/A,#N/A,FALSE,"ACQ_GRAPHS";#N/A,#N/A,FALSE,"T_1 GRAPHS";#N/A,#N/A,FALSE,"T_2 GRAPHS";#N/A,#N/A,FALSE,"COMB_GRAPHS"}</definedName>
    <definedName name="lllll" hidden="1">{#N/A,#N/A,FALSE,"Hip.Bas";#N/A,#N/A,FALSE,"ventas";#N/A,#N/A,FALSE,"ingre-Año";#N/A,#N/A,FALSE,"ventas-Año";#N/A,#N/A,FALSE,"Costepro";#N/A,#N/A,FALSE,"inversion";#N/A,#N/A,FALSE,"personal";#N/A,#N/A,FALSE,"Gastos-V";#N/A,#N/A,FALSE,"Circulante";#N/A,#N/A,FALSE,"CONSOLI";#N/A,#N/A,FALSE,"Es-Fin";#N/A,#N/A,FALSE,"Margen-P"}</definedName>
    <definedName name="Loan">#REF!</definedName>
    <definedName name="Loans">#REF!</definedName>
    <definedName name="loans_advances">#REF!</definedName>
    <definedName name="Loans_and_advances">'Grouping Master Data'!$P$2:$P$1048576</definedName>
    <definedName name="long_term_debt">#REF!</definedName>
    <definedName name="look">#REF!</definedName>
    <definedName name="LOOK6">#REF!</definedName>
    <definedName name="LowRate">#REF!</definedName>
    <definedName name="LT_Debt_1q99">#REF!</definedName>
    <definedName name="lt_debt_foreign">#REF!</definedName>
    <definedName name="lt_debt_lease_financing">#REF!</definedName>
    <definedName name="LT_rate">#REF!</definedName>
    <definedName name="LTDebt">#REF!</definedName>
    <definedName name="LtDebtChg" hidden="1">#REF!</definedName>
    <definedName name="LtDebtDmy" hidden="1">#REF!,#REF!,#REF!,#REF!,#REF!</definedName>
    <definedName name="LtDebtInt">#REF!</definedName>
    <definedName name="LTDebtSer" hidden="1">#REF!</definedName>
    <definedName name="LtInt">#REF!</definedName>
    <definedName name="M" localSheetId="20" hidden="1">#REF!</definedName>
    <definedName name="m"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m"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M_PlaceofPath" hidden="1">"G:\blabla"</definedName>
    <definedName name="macro" hidden="1">{#N/A,#N/A,TRUE,"CONTENTS";#N/A,#N/A,TRUE,"M2";#N/A,#N/A,TRUE,"M2a";#N/A,#N/A,TRUE,"M2b";#N/A,#N/A,TRUE,"M3";#N/A,#N/A,TRUE,"M3a";#N/A,#N/A,TRUE,"M4-H";#N/A,#N/A,TRUE,"M4-P";#N/A,#N/A,TRUE,"M4a";#N/A,#N/A,TRUE,"M4b";#N/A,#N/A,TRUE,"M4c";#N/A,#N/A,TRUE,"M5";#N/A,#N/A,TRUE,"M6";#N/A,#N/A,TRUE,"M7";#N/A,#N/A,TRUE,"M8";#N/A,#N/A,TRUE,"M9";#N/A,#N/A,TRUE,"M10";#N/A,#N/A,TRUE,"M11";#N/A,#N/A,TRUE,"M13";#N/A,#N/A,TRUE,"M14";#N/A,#N/A,TRUE,"M15";#N/A,#N/A,TRUE,"K1"}</definedName>
    <definedName name="macro2"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3" hidden="1">{#N/A,#N/A,TRUE,"CONTENTS";#N/A,#N/A,TRUE,"M2";#N/A,#N/A,TRUE,"M2a";#N/A,#N/A,TRUE,"M2b";#N/A,#N/A,TRUE,"M3";#N/A,#N/A,TRUE,"M3a";#N/A,#N/A,TRUE,"M4-P";#N/A,#N/A,TRUE,"M5";#N/A,#N/A,TRUE,"M6";#N/A,#N/A,TRUE,"M7";#N/A,#N/A,TRUE,"M8";#N/A,#N/A,TRUE,"M9";#N/A,#N/A,TRUE,"M10";#N/A,#N/A,TRUE,"M11";#N/A,#N/A,TRUE,"M13";#N/A,#N/A,TRUE,"M14";#N/A,#N/A,TRUE,"M15";#N/A,#N/A,TRUE,"K1"}</definedName>
    <definedName name="Manager">#REF!</definedName>
    <definedName name="manall">#REF!</definedName>
    <definedName name="manpower">#REF!</definedName>
    <definedName name="MAR">#REF!</definedName>
    <definedName name="marg">#REF!</definedName>
    <definedName name="Marginal_Tax">#REF!</definedName>
    <definedName name="market_capitalisation">#REF!</definedName>
    <definedName name="marketable_securities_at_cost">#REF!</definedName>
    <definedName name="marketing_expenses">#REF!</definedName>
    <definedName name="markup">1.125</definedName>
    <definedName name="MASTERITEMLIST_Query">#REF!</definedName>
    <definedName name="mastertemplatelookup">#REF!</definedName>
    <definedName name="MAT">#REF!</definedName>
    <definedName name="Material">#REF!</definedName>
    <definedName name="MATERIAL_CLASS">#REF!</definedName>
    <definedName name="MATURITY">#REF!</definedName>
    <definedName name="MAY">#REF!</definedName>
    <definedName name="MDEVISES">#REF!,#REF!,#REF!</definedName>
    <definedName name="mel" hidden="1">{#N/A,#N/A,FALSE,"Hip.Bas";#N/A,#N/A,FALSE,"ventas";#N/A,#N/A,FALSE,"ingre-Año";#N/A,#N/A,FALSE,"ventas-Año";#N/A,#N/A,FALSE,"Costepro";#N/A,#N/A,FALSE,"inversion";#N/A,#N/A,FALSE,"personal";#N/A,#N/A,FALSE,"Gastos-V";#N/A,#N/A,FALSE,"Circulante";#N/A,#N/A,FALSE,"CONSOLI";#N/A,#N/A,FALSE,"Es-Fin";#N/A,#N/A,FALSE,"Margen-P"}</definedName>
    <definedName name="mergers">#REF!</definedName>
    <definedName name="MerrillPrintIt" hidden="1">#REF!</definedName>
    <definedName name="meth1">#REF!</definedName>
    <definedName name="meth2">#REF!</definedName>
    <definedName name="MethodAcc">#REF!</definedName>
    <definedName name="metric1">#REF!</definedName>
    <definedName name="metrics2">#REF!</definedName>
    <definedName name="metrics3">#REF!</definedName>
    <definedName name="MfgExp">#REF!</definedName>
    <definedName name="MfgExpSer" hidden="1">#REF!</definedName>
    <definedName name="mgmt">#REF!</definedName>
    <definedName name="mid_yr_subs">#REF!</definedName>
    <definedName name="mike" hidden="1">#REF!</definedName>
    <definedName name="minorities">#REF!</definedName>
    <definedName name="minorities_pl">#REF!</definedName>
    <definedName name="minority_interests">#REF!</definedName>
    <definedName name="misc_exp">#REF!</definedName>
    <definedName name="mj" hidden="1">{#N/A,#N/A,FALSE,"FY97";#N/A,#N/A,FALSE,"FY98";#N/A,#N/A,FALSE,"FY99";#N/A,#N/A,FALSE,"FY00";#N/A,#N/A,FALSE,"FY01"}</definedName>
    <definedName name="MKJ" hidden="1">{#N/A,#N/A,FALSE,"COMP"}</definedName>
    <definedName name="mlkdksdlasld" hidden="1">{#N/A,#N/A,FALSE,"COMP"}</definedName>
    <definedName name="mm" hidden="1">{#N/A,#N/A,FALSE,"Aging Summary";#N/A,#N/A,FALSE,"Ratio Analysis";#N/A,#N/A,FALSE,"Test 120 Day Accts";#N/A,#N/A,FALSE,"Tickmarks"}</definedName>
    <definedName name="MmExcelLinker_416F9294_6410_4D58_BC37_4040AFCEADFA">TQ&amp;#REF! #REF!</definedName>
    <definedName name="mmmmm" hidden="1">{#N/A,#N/A,FALSE,"Calc";#N/A,#N/A,FALSE,"Sensitivity";#N/A,#N/A,FALSE,"LT Earn.Dil.";#N/A,#N/A,FALSE,"Dil. AVP"}</definedName>
    <definedName name="mn">#REF!</definedName>
    <definedName name="MN_MS" hidden="1">#REF!</definedName>
    <definedName name="ModeName">#REF!</definedName>
    <definedName name="MONTH">#REF!</definedName>
    <definedName name="month_mmm">#REF!</definedName>
    <definedName name="month_name">#REF!</definedName>
    <definedName name="month_num">#REF!</definedName>
    <definedName name="Month_Number">#REF!</definedName>
    <definedName name="MonthsYears">#REF!</definedName>
    <definedName name="MPrice">#REF!</definedName>
    <definedName name="ms" hidden="1">{"multiple",#N/A,FALSE,"client (2)";"margins",#N/A,FALSE,"client (2)";"data",#N/A,FALSE,"client (2)";"multiple",#N/A,FALSE,"client";"margins",#N/A,FALSE,"client";"data",#N/A,FALSE,"client"}</definedName>
    <definedName name="MS\BOI">#REF!</definedName>
    <definedName name="MS\REF">#REF!</definedName>
    <definedName name="MS\SEP">#REF!</definedName>
    <definedName name="MS_BOI">#REF!</definedName>
    <definedName name="MS_REF">#REF!</definedName>
    <definedName name="MS_SEP">#REF!</definedName>
    <definedName name="MSa">#REF!</definedName>
    <definedName name="MStVal">#REF!</definedName>
    <definedName name="MTDStart">#REF!</definedName>
    <definedName name="Muliplicator">#REF!</definedName>
    <definedName name="multiples2" hidden="1">{"IS",#N/A,FALSE,"IS";"RPTIS",#N/A,FALSE,"RPTIS";"STATS",#N/A,FALSE,"STATS";"CELL",#N/A,FALSE,"CELL";"BS",#N/A,FALSE,"BS"}</definedName>
    <definedName name="MULTIPLICATOR">#REF!</definedName>
    <definedName name="N" localSheetId="20" hidden="1">{"by departments",#N/A,TRUE,"FORECAST";"cap_headcount",#N/A,TRUE,"FORECAST";"summary",#N/A,TRUE,"FORECAST"}</definedName>
    <definedName name="n"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AME">#REF!</definedName>
    <definedName name="NameList">#REF!</definedName>
    <definedName name="NatureBusiness">#REF!</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t_chg_in_cash">#REF!</definedName>
    <definedName name="Net_debt">#REF!</definedName>
    <definedName name="net_debt_cash">#REF!</definedName>
    <definedName name="net_fixed_assets">#REF!</definedName>
    <definedName name="net_fixed_assets_avg">#REF!</definedName>
    <definedName name="Net_Income">#REF!</definedName>
    <definedName name="net_int">#REF!</definedName>
    <definedName name="Net_margin">#REF!</definedName>
    <definedName name="net_profit">#REF!</definedName>
    <definedName name="net_profit_1997">#REF!</definedName>
    <definedName name="Net_Profit_97">#REF!</definedName>
    <definedName name="net_profit_98">#REF!</definedName>
    <definedName name="Net_Profit_growth_1997">#REF!</definedName>
    <definedName name="Net_Profit_growth_97">#REF!</definedName>
    <definedName name="Net_working_capital">#REF!</definedName>
    <definedName name="Net_working_capital_turns">#REF!</definedName>
    <definedName name="NetCA">#REF!</definedName>
    <definedName name="NetCAChg" hidden="1">#REF!</definedName>
    <definedName name="NetDebt">#N/A</definedName>
    <definedName name="NetDebt_02">#REF!</definedName>
    <definedName name="NetDebt_95">#REF!</definedName>
    <definedName name="NetDebt_96">#REF!</definedName>
    <definedName name="NetDebtChg" hidden="1">#REF!</definedName>
    <definedName name="NetEq">#REF!</definedName>
    <definedName name="NetEqChg" hidden="1">#REF!</definedName>
    <definedName name="NetEstInt">#REF!</definedName>
    <definedName name="NetIncome_00">#REF!</definedName>
    <definedName name="NetIncome_01">#REF!</definedName>
    <definedName name="NetIncome_02">#REF!</definedName>
    <definedName name="NetIncome_03">#REF!</definedName>
    <definedName name="NetIncome_04">#REF!</definedName>
    <definedName name="NetIncome_05">#REF!</definedName>
    <definedName name="NetIncome_06">#REF!</definedName>
    <definedName name="NetIncome_07">#REF!</definedName>
    <definedName name="NetIncome_08">#REF!</definedName>
    <definedName name="NetIncome_96">#REF!</definedName>
    <definedName name="NetIncome_97">#REF!</definedName>
    <definedName name="NetIncome_98">#REF!</definedName>
    <definedName name="NetIncome_99">#REF!</definedName>
    <definedName name="NetInterest">[0]!InterestIncome-[0]!InterestExpense</definedName>
    <definedName name="NetMonthlyExpenses">#REF!</definedName>
    <definedName name="NetMonthlyIncome">#REF!</definedName>
    <definedName name="NetProfit_00">#REF!</definedName>
    <definedName name="NetProfit_01">#REF!</definedName>
    <definedName name="NetProfit_92">#REF!</definedName>
    <definedName name="NetProfit_93">#REF!</definedName>
    <definedName name="NetProfit_94">#REF!</definedName>
    <definedName name="NetProfit_95">#REF!</definedName>
    <definedName name="NetProfit_96">#REF!</definedName>
    <definedName name="NetProfit_97">#REF!</definedName>
    <definedName name="NetProfit_98">#REF!</definedName>
    <definedName name="NetProfit_99">#REF!</definedName>
    <definedName name="NetRsrv">#REF!</definedName>
    <definedName name="new">#REF!</definedName>
    <definedName name="newbel" hidden="1">{"IS",#N/A,FALSE,"IS";"RPTIS",#N/A,FALSE,"RPTIS";"STATS",#N/A,FALSE,"STATS";"CELL",#N/A,FALSE,"CELL";"BS",#N/A,FALSE,"BS"}</definedName>
    <definedName name="NewRange" hidden="1">#REF!</definedName>
    <definedName name="NFA">#REF!</definedName>
    <definedName name="NFAChg" hidden="1">#REF!</definedName>
    <definedName name="NGFHFG" hidden="1">{#N/A,#N/A,FALSE,"PGW"}</definedName>
    <definedName name="NI">#REF!</definedName>
    <definedName name="niki">#REF!</definedName>
    <definedName name="nir" hidden="1">#REF!</definedName>
    <definedName name="nn" hidden="1">{#N/A,#N/A,FALSE,"Status of Projects";#N/A,#N/A,FALSE,"CEA-TEC";#N/A,#N/A,FALSE,"U-Constr.";#N/A,#N/A,FALSE,"summary";#N/A,#N/A,FALSE,"PPP-3 yrs"}</definedName>
    <definedName name="nnn" hidden="1">{#N/A,#N/A,TRUE,"constb"}</definedName>
    <definedName name="nnnb" hidden="1">{"consolidated",#N/A,FALSE,"Sheet1";"cms",#N/A,FALSE,"Sheet1";"fse",#N/A,FALSE,"Sheet1"}</definedName>
    <definedName name="nnnnnnnnnn" hidden="1">{#N/A,#N/A,FALSE,"Status of Projects";#N/A,#N/A,FALSE,"CEA-TEC";#N/A,#N/A,FALSE,"U-Constr.";#N/A,#N/A,FALSE,"summary";#N/A,#N/A,FALSE,"PPP-3 yrs"}</definedName>
    <definedName name="noidea" hidden="1">{#N/A,#N/A,FALSE,"Calc";#N/A,#N/A,FALSE,"Sensitivity";#N/A,#N/A,FALSE,"LT Earn.Dil.";#N/A,#N/A,FALSE,"Dil. AVP"}</definedName>
    <definedName name="NOK">#REF!</definedName>
    <definedName name="Non_current_investments">'Grouping Master Data'!$O$2:$O$1048576</definedName>
    <definedName name="non_recurring_items">#REF!</definedName>
    <definedName name="NOPAT">#REF!</definedName>
    <definedName name="NOPAT_DCF">#REF!</definedName>
    <definedName name="NOPAT_margin">#REF!</definedName>
    <definedName name="NOPBT">#REF!</definedName>
    <definedName name="noplat">#REF!</definedName>
    <definedName name="Note" localSheetId="2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_Pay_1q99">#REF!</definedName>
    <definedName name="note1" localSheetId="2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1"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1"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1.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1.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1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1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2"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2"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notes_payable">#REF!</definedName>
    <definedName name="NOV">#REF!</definedName>
    <definedName name="nps">#REF!</definedName>
    <definedName name="NPT_1">#REF!</definedName>
    <definedName name="NPT_2">#REF!</definedName>
    <definedName name="NPT_P">#REF!</definedName>
    <definedName name="nr" hidden="1">{#N/A,#N/A,TRUE,"constb"}</definedName>
    <definedName name="NRItem">#REF!</definedName>
    <definedName name="NS">#REF!</definedName>
    <definedName name="NtnlPr" hidden="1">#REF!</definedName>
    <definedName name="Number">#REF!</definedName>
    <definedName name="Number_of_Payments">MATCH(0.01,End_Bal,-1)+1</definedName>
    <definedName name="nuovo"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NvsASD">"V2006-05-31"</definedName>
    <definedName name="NvsAutoDrillOk">"VN"</definedName>
    <definedName name="NvsElapsedTime">0.0000115740767796524</definedName>
    <definedName name="NvsEndTime">38873.3528125</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"%,X,RZF..,CZF.."</definedName>
    <definedName name="NvsPanelBusUnit">"VOOIPL"</definedName>
    <definedName name="NvsPanelEffdt">"V2005-05-01"</definedName>
    <definedName name="NvsPanelSetid">"VNONUS"</definedName>
    <definedName name="NvsReqBU">"VOOIPL"</definedName>
    <definedName name="NvsReqBUOnly">"VY"</definedName>
    <definedName name="NvsStyleNme">"Classical.xls"</definedName>
    <definedName name="NvsTransLed">"VN"</definedName>
    <definedName name="NvsTreeASD">"V2006-05-31"</definedName>
    <definedName name="NvsValTbl.ACCOUNT">"GL_ACCOUNT_TBL"</definedName>
    <definedName name="NvsValTbl.CURRENCY_CD">"CURRENCY_CD_TBL"</definedName>
    <definedName name="NW">#REF!</definedName>
    <definedName name="o" hidden="1">{#N/A,#N/A,FALSE,"New Depr Sch-150% DB";#N/A,#N/A,FALSE,"Cash Flows RLP";#N/A,#N/A,FALSE,"IRR";#N/A,#N/A,FALSE,"Proforma IS";#N/A,#N/A,FALSE,"Assumptions"}</definedName>
    <definedName name="oa" hidden="1">{#N/A,#N/A,FALSE,"Hip.Bas";#N/A,#N/A,FALSE,"ventas";#N/A,#N/A,FALSE,"ingre-Año";#N/A,#N/A,FALSE,"ventas-Año";#N/A,#N/A,FALSE,"Costepro";#N/A,#N/A,FALSE,"inversion";#N/A,#N/A,FALSE,"personal";#N/A,#N/A,FALSE,"Gastos-V";#N/A,#N/A,FALSE,"Circulante";#N/A,#N/A,FALSE,"CONSOLI";#N/A,#N/A,FALSE,"Es-Fin";#N/A,#N/A,FALSE,"Margen-P"}</definedName>
    <definedName name="OCA">#REF!</definedName>
    <definedName name="OCT">#REF!</definedName>
    <definedName name="OD">VLOOKUP(#REF!,#REF!,2,FALSE)</definedName>
    <definedName name="odActual">0</definedName>
    <definedName name="odBudget">1</definedName>
    <definedName name="odForecast">2</definedName>
    <definedName name="Off_B_S_Income">#REF!</definedName>
    <definedName name="Off_B_S_Income_DCF">#REF!</definedName>
    <definedName name="offpr">#REF!</definedName>
    <definedName name="OI">#REF!</definedName>
    <definedName name="OI_Var_Output">#REF!</definedName>
    <definedName name="oil">#REF!</definedName>
    <definedName name="OILKULY" hidden="1">{#N/A,#N/A,FALSE,"PMTABB";#N/A,#N/A,FALSE,"PMTABB"}</definedName>
    <definedName name="ok">GL #REF!</definedName>
    <definedName name="okay" hidden="1">{#N/A,"Store 1",FALSE,"Store";#N/A,"Store 2",FALSE,"Store"}</definedName>
    <definedName name="OL_1">#REF!</definedName>
    <definedName name="OL_P">#REF!</definedName>
    <definedName name="OLE_LINK1">#REF!</definedName>
    <definedName name="OLE_MAC">#REF!</definedName>
    <definedName name="OLE_MAC___0">#REF!</definedName>
    <definedName name="oo" hidden="1">{#N/A,#N/A,FALSE,"Hip.Bas";#N/A,#N/A,FALSE,"ventas";#N/A,#N/A,FALSE,"ingre-Año";#N/A,#N/A,FALSE,"ventas-Año";#N/A,#N/A,FALSE,"Costepro";#N/A,#N/A,FALSE,"inversion";#N/A,#N/A,FALSE,"personal";#N/A,#N/A,FALSE,"Gastos-V";#N/A,#N/A,FALSE,"Circulante";#N/A,#N/A,FALSE,"CONSOLI";#N/A,#N/A,FALSE,"Es-Fin";#N/A,#N/A,FALSE,"Margen-P"}</definedName>
    <definedName name="ooooo" hidden="1">{#N/A,#N/A,FALSE,"Calc";#N/A,#N/A,FALSE,"Sensitivity";#N/A,#N/A,FALSE,"LT Earn.Dil.";#N/A,#N/A,FALSE,"Dil. AVP"}</definedName>
    <definedName name="Op_profit_01">#REF!</definedName>
    <definedName name="Op_profit_02">#REF!</definedName>
    <definedName name="Op_profit00">#REF!</definedName>
    <definedName name="Op_profit03">#REF!</definedName>
    <definedName name="Op_profit96">#REF!</definedName>
    <definedName name="Op_profit97">#REF!</definedName>
    <definedName name="Op_profit98">#REF!</definedName>
    <definedName name="Op_profit99">#REF!</definedName>
    <definedName name="OpEqSh">#REF!</definedName>
    <definedName name="operating_free_cash_flow">#REF!</definedName>
    <definedName name="Operating_Lease_Expense">#REF!</definedName>
    <definedName name="operational_data_search">#N/A</definedName>
    <definedName name="operations">#REF!</definedName>
    <definedName name="OpIncDmy" hidden="1">#REF!</definedName>
    <definedName name="OpIncSer" hidden="1">#REF!</definedName>
    <definedName name="Ops_Data">#REF!</definedName>
    <definedName name="OrderTable" hidden="1">#REF!</definedName>
    <definedName name="OthCFItem">#REF!</definedName>
    <definedName name="other">#REF!</definedName>
    <definedName name="Other_asset_turns">#REF!</definedName>
    <definedName name="other_current_assets" localSheetId="20">#REF!</definedName>
    <definedName name="Other_Current_Assets">'Grouping Master Data'!$U$2:$U$1048576</definedName>
    <definedName name="other_current_liabilities" localSheetId="20">#REF!</definedName>
    <definedName name="Other_current_liabilities">'Grouping Master Data'!$M$2:$M$1048576</definedName>
    <definedName name="other_deferred_assets">#REF!</definedName>
    <definedName name="other_deferred_liabilities">#REF!</definedName>
    <definedName name="Other_Expenses" localSheetId="20">#REF!</definedName>
    <definedName name="Other_Expenses">'Grouping Master Data'!$G$2:$G$1048576</definedName>
    <definedName name="Other_expenses_gains">#REF!</definedName>
    <definedName name="Other_Income">'Grouping Master Data'!$C$2:$C$1048576</definedName>
    <definedName name="other_intangible_fixed_assets">#REF!</definedName>
    <definedName name="Other_long_term_liabilities">'Grouping Master Data'!$J$2:$J$1048576</definedName>
    <definedName name="Other_LTL">'Grouping Master Data'!$J$2:$J$1048576</definedName>
    <definedName name="Other_NC_assets">'Grouping Master Data'!$Q$2:$Q$1048576</definedName>
    <definedName name="other_non_current_assets" localSheetId="20">#REF!</definedName>
    <definedName name="Other_non_current_assets">'Grouping Master Data'!$Q$2:$Q$1048576</definedName>
    <definedName name="other_non_current_liabilities">#REF!</definedName>
    <definedName name="other_non_equity_interests">#REF!</definedName>
    <definedName name="other_operating_expenses">#REF!</definedName>
    <definedName name="other_pretax">#REF!</definedName>
    <definedName name="other_provisions">#REF!</definedName>
    <definedName name="other_provisions_bs">#REF!</definedName>
    <definedName name="other_reserves">#REF!</definedName>
    <definedName name="other_tangible_fixed_assets">#REF!</definedName>
    <definedName name="Others" localSheetId="39">#REF!</definedName>
    <definedName name="Others">#REF!</definedName>
    <definedName name="Others_1">#REF!</definedName>
    <definedName name="Others_2">#REF!</definedName>
    <definedName name="Others_3">#REF!</definedName>
    <definedName name="OthOpInc">#REF!</definedName>
    <definedName name="output">#REF!</definedName>
    <definedName name="Ownership">OFFSET([0]!Data.Top.Left,1,0)</definedName>
    <definedName name="p" localSheetId="20" hidden="1">{#N/A,#N/A,FALSE,"Distbn Ntwrk";#N/A,#N/A,FALSE,"Workforce";#N/A,#N/A,FALSE,"cur-prod1";#N/A,#N/A,FALSE,"in-proc"}</definedName>
    <definedName name="p"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p"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P_L">#REF!</definedName>
    <definedName name="pac" hidden="1">{TRUE,TRUE,-1.25,-15.5,456.75,279.75,FALSE,FALSE,TRUE,TRUE,0,1,18,1,199,6,3,4,TRUE,TRUE,3,TRUE,1,TRUE,100,"Swvu.cash.","ACwvu.cash.",1,FALSE,FALSE,0.511811023622047,0.511811023622047,0.511811023622047,0.511811023622047,1,"","",FALSE,FALSE,FALSE,FALSE,1,#N/A,1,1,#DIV/0!,FALSE,"Rwvu.cash.",#N/A,FALSE,FALSE}</definedName>
    <definedName name="PAC_FRT">#REF!</definedName>
    <definedName name="PAC_FRT___0">#REF!</definedName>
    <definedName name="PAC_MAC">#REF!</definedName>
    <definedName name="PAC_MS">#REF!</definedName>
    <definedName name="PAC_STL">#REF!</definedName>
    <definedName name="PACIFIC_NET">#REF!,#REF!,#REF!</definedName>
    <definedName name="PACK_FRT_235">#REF!</definedName>
    <definedName name="PACK_FRT_235___0">#REF!</definedName>
    <definedName name="PACK_FRT_235___0___0">#REF!</definedName>
    <definedName name="PACK_FRT_235___0___0___0">#REF!</definedName>
    <definedName name="PACK_MAC_201">#REF!</definedName>
    <definedName name="PACK_MAC_201___0">#REF!</definedName>
    <definedName name="PACK_MAC_201___0___0">#REF!</definedName>
    <definedName name="PACK_MAC_201___0___0___0">#REF!</definedName>
    <definedName name="PACK_MS_205">#REF!</definedName>
    <definedName name="PACK_MS_205___0">#REF!</definedName>
    <definedName name="PACK_MS_205___0___0">#REF!</definedName>
    <definedName name="PACK_MS_205___0___0___0">#REF!</definedName>
    <definedName name="PACK_STL_225">#REF!</definedName>
    <definedName name="PACK_STL_225___0">#REF!</definedName>
    <definedName name="PACK_STL_225___0___0">#REF!</definedName>
    <definedName name="PACK_STL_225___0___0___0">#REF!</definedName>
    <definedName name="paid_up_capital">#REF!</definedName>
    <definedName name="PAN">#REF!</definedName>
    <definedName name="PartDesignation">#REF!</definedName>
    <definedName name="PAT">#REF!</definedName>
    <definedName name="Payment_Date">DATE(YEAR(Loan_Start),MONTH(Loan_Start)+#REF!,DAY(Loan_Start))</definedName>
    <definedName name="PBT">#REF!</definedName>
    <definedName name="PCSA" localSheetId="39">#REF!</definedName>
    <definedName name="PCSA">#REF!</definedName>
    <definedName name="PCSA_1">#REF!</definedName>
    <definedName name="PCSA_2">#REF!</definedName>
    <definedName name="PCSA_3">#REF!</definedName>
    <definedName name="PDvTax">#REF!</definedName>
    <definedName name="pe">#REF!</definedName>
    <definedName name="Period_Factor">#REF!</definedName>
    <definedName name="period_months">#REF!</definedName>
    <definedName name="Pers" hidden="1">#REF!</definedName>
    <definedName name="pik">#REF!</definedName>
    <definedName name="PIPE_UNIT_WEIGHT">#REF!</definedName>
    <definedName name="PipeInfo">#REF!</definedName>
    <definedName name="PL">#REF!</definedName>
    <definedName name="pl_ganesh">#REF!</definedName>
    <definedName name="pl_jb">#REF!</definedName>
    <definedName name="pl_ratio_jb">#REF!</definedName>
    <definedName name="plannonexec">#REF!</definedName>
    <definedName name="plannonexeccol">#REF!</definedName>
    <definedName name="plannonexecrow">#REF!</definedName>
    <definedName name="plant_equipment">#REF!</definedName>
    <definedName name="plant_table">#REF!</definedName>
    <definedName name="PLCY" localSheetId="32">#REF!</definedName>
    <definedName name="PLCY" localSheetId="26">#REF!</definedName>
    <definedName name="PLCY">'Backup Data'!$C$13</definedName>
    <definedName name="PLPY" localSheetId="32">#REF!</definedName>
    <definedName name="PLPY" localSheetId="26">#REF!</definedName>
    <definedName name="PLPY">'Backup Data'!$C$14</definedName>
    <definedName name="plr">#REF!</definedName>
    <definedName name="ply" hidden="1">#REF!</definedName>
    <definedName name="plywood" hidden="1">#REF!</definedName>
    <definedName name="pn">#REF!</definedName>
    <definedName name="po" hidden="1">{"'PS-SOTM'!$A$1","'PS-SOTM'!$A$2:$M$30","'PS-SOTM'!$A$31:$A$38"}</definedName>
    <definedName name="PopCache_GL_INTERFACE_REFERENCE7" hidden="1">#REF!</definedName>
    <definedName name="Population">#REF!</definedName>
    <definedName name="Possible2004_Patrick_12Nov2003" hidden="1">{"'W.W. Summary'!$A$1:$K$37"}</definedName>
    <definedName name="power">#REF!</definedName>
    <definedName name="pp" localSheetId="20" hidden="1">{#N/A,#N/A,FALSE,"Calc";#N/A,#N/A,FALSE,"Sensitivity";#N/A,#N/A,FALSE,"LT Earn.Dil.";#N/A,#N/A,FALSE,"Dil. AVP"}</definedName>
    <definedName name="pp"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pp"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PPPP" hidden="1">{#N/A,#N/A,FALSE,"ISBL"}</definedName>
    <definedName name="ppr.xls"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PrDiv">#REF!</definedName>
    <definedName name="preference_dividend">#REF!</definedName>
    <definedName name="Preferred_stock">#REF!</definedName>
    <definedName name="Premium">#REF!</definedName>
    <definedName name="PREPAID">#REF!</definedName>
    <definedName name="Present_Value_Oper_lease">#REF!</definedName>
    <definedName name="Presentation"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tax_income">#REF!</definedName>
    <definedName name="PrfDmy" hidden="1">#REF!</definedName>
    <definedName name="PrfShSer" hidden="1">#REF!</definedName>
    <definedName name="print">#REF!</definedName>
    <definedName name="print_all_stat">#REF!,#REF!,#REF!</definedName>
    <definedName name="_xlnm.Print_Area" localSheetId="14">'Accounting Policies'!$B$8:$D$264</definedName>
    <definedName name="_xlnm.Print_Area" localSheetId="27">'Add. Regulatory Disc.'!$B$8:$K$283</definedName>
    <definedName name="_xlnm.Print_Area" localSheetId="22">'Addl Info to the FS'!$B$8:$G$239</definedName>
    <definedName name="_xlnm.Print_Area" localSheetId="19">'AS 15 Disclosures'!$B$8:$K$156</definedName>
    <definedName name="_xlnm.Print_Area" localSheetId="25">'AS 17 Disclosures'!$C$8:$H$121</definedName>
    <definedName name="_xlnm.Print_Area" localSheetId="21">'AS 18 Disclosures'!$B$8:$H$120</definedName>
    <definedName name="_xlnm.Print_Area" localSheetId="20">'AS 19 Disclosures'!$B$2:$G$23</definedName>
    <definedName name="_xlnm.Print_Area" localSheetId="24">'AS 22 Disclosures'!$B$8:$F$39</definedName>
    <definedName name="_xlnm.Print_Area" localSheetId="34">'AS 27 Disclosures'!$B$8:$K$38</definedName>
    <definedName name="_xlnm.Print_Area" localSheetId="35">'AS 29 Disclosures'!$B$8:$J$40</definedName>
    <definedName name="_xlnm.Print_Area" localSheetId="16">Assets!$B$8:$J$428</definedName>
    <definedName name="_xlnm.Print_Area" localSheetId="11">'Balance Sheet'!$B$8:$H$84</definedName>
    <definedName name="_xlnm.Print_Area" localSheetId="32">'Balance Sheet-FY 22'!$B$8:$H$84</definedName>
    <definedName name="_xlnm.Print_Area" localSheetId="26">'Balance Sheet-FY 22-23'!$B$8:$H$84</definedName>
    <definedName name="_xlnm.Print_Area" localSheetId="13">'Cash Flow'!$B$8:$I$182</definedName>
    <definedName name="_xlnm.Print_Area" localSheetId="36">'Details of ESOP'!$B$8:$J$109</definedName>
    <definedName name="_xlnm.Print_Area" localSheetId="23">'Disclosures under AS'!$B$8:$F$230</definedName>
    <definedName name="_xlnm.Print_Area" localSheetId="17">FAR!$B$10:$Z$126</definedName>
    <definedName name="_xlnm.Print_Area" localSheetId="39">'Gratuity-FY 23-24'!$B$1:$G$142,'Gratuity-FY 23-24'!$B$144:$G$214</definedName>
    <definedName name="_xlnm.Print_Area" localSheetId="15">Liabilities!$B$8:$J$701</definedName>
    <definedName name="_xlnm.Print_Area" localSheetId="18">'Notes To P&amp;L'!$B$8:$G$404</definedName>
    <definedName name="_xlnm.Print_Area" localSheetId="12">'Profit and Loss'!$B$8:$H$87</definedName>
    <definedName name="_xlnm.Print_Area" localSheetId="28">'Qualitative Disclosures for AS'!$B$2:$G$2444</definedName>
    <definedName name="_xlnm.Print_Area">#REF!</definedName>
    <definedName name="Print_Area_MI">#REF!</definedName>
    <definedName name="Print_Area_Reset">#N/A</definedName>
    <definedName name="print_subs">#REF!</definedName>
    <definedName name="Print1">#REF!</definedName>
    <definedName name="ProdDmy" hidden="1">#REF!</definedName>
    <definedName name="ProdForm" hidden="1">#REF!</definedName>
    <definedName name="ProdForm1" hidden="1">#REF!</definedName>
    <definedName name="Product" hidden="1">#REF!</definedName>
    <definedName name="Product_Booked1">#REF!</definedName>
    <definedName name="PRODUCT_FAMILY_CATEGORY">#REF!</definedName>
    <definedName name="Product_Shipped">#REF!</definedName>
    <definedName name="ProdUnit" hidden="1">#REF!</definedName>
    <definedName name="prof">#REF!</definedName>
    <definedName name="profit_after_tax">#REF!</definedName>
    <definedName name="PROFIT_AND_LOSS_GROUPINGS">NA()</definedName>
    <definedName name="Profitability">#REF!</definedName>
    <definedName name="profitloss" localSheetId="39">#REF!</definedName>
    <definedName name="profitloss">#REF!</definedName>
    <definedName name="profits">#REF!</definedName>
    <definedName name="PROJ">#REF!</definedName>
    <definedName name="PROJECT">#REF!</definedName>
    <definedName name="ProjectName">{"Client Name or Project Name"}</definedName>
    <definedName name="prova"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Provisions">'Grouping Master Data'!$K$2:$K$1048576</definedName>
    <definedName name="PrsExp">#REF!</definedName>
    <definedName name="PrsExpSer" hidden="1">#REF!</definedName>
    <definedName name="PrsVar">#REF!</definedName>
    <definedName name="PrTax">#REF!</definedName>
    <definedName name="pryear">#REF!</definedName>
    <definedName name="PrYears" hidden="1">#REF!</definedName>
    <definedName name="q" localSheetId="20" hidden="1">{"Qtr Op Mgd Q2",#N/A,FALSE,"Qtr-Op (Mng)";"Qtr Op Rpt Q2",#N/A,FALSE,"Qtr-Op (Rpt)";"Operating Vs Reported",#N/A,FALSE,"Rpt-Op Inc"}</definedName>
    <definedName name="q" localSheetId="39">#REF!</definedName>
    <definedName name="q">#REF!</definedName>
    <definedName name="Q1.2">#REF!,#REF!,#REF!</definedName>
    <definedName name="Q1.3">#REF!,#REF!,#REF!</definedName>
    <definedName name="Q1.4">#REF!,#REF!,#REF!</definedName>
    <definedName name="Q2.1">#REF!,#REF!,#REF!</definedName>
    <definedName name="Q2.2">#REF!,#REF!,#REF!</definedName>
    <definedName name="Q2.3">#REF!,#REF!,#REF!</definedName>
    <definedName name="Q2.4">#REF!,#REF!,#REF!</definedName>
    <definedName name="Q3.1">#REF!,#REF!,#REF!</definedName>
    <definedName name="qewqeqwerq" hidden="1">{#N/A,#N/A,FALSE,"Cash Flows";#N/A,#N/A,FALSE,"Fixed Assets";#N/A,#N/A,FALSE,"Balance Sheet";#N/A,#N/A,FALSE,"P &amp; L"}</definedName>
    <definedName name="QL1.1">#REF!,#REF!</definedName>
    <definedName name="QL1.2">#REF!,#REF!</definedName>
    <definedName name="QL1.3">#REF!,#REF!</definedName>
    <definedName name="QL1.4">#REF!,#REF!</definedName>
    <definedName name="QL2.1">#REF!,#REF!</definedName>
    <definedName name="QL2.2">#REF!,#REF!</definedName>
    <definedName name="QL2.3">#REF!,#REF!</definedName>
    <definedName name="QL2.4">#REF!,#REF!</definedName>
    <definedName name="QL3.1">#REF!,#REF!</definedName>
    <definedName name="qq" hidden="1">{#N/A,#N/A,FALSE,"Status of Projects";#N/A,#N/A,FALSE,"CEA-TEC";#N/A,#N/A,FALSE,"U-Constr.";#N/A,#N/A,FALSE,"summary";#N/A,#N/A,FALSE,"PPP-3 yrs"}</definedName>
    <definedName name="qqq" hidden="1">{"Full view",#N/A,FALSE,"Market view";"Full view",#N/A,FALSE,"Market view"}</definedName>
    <definedName name="QQQQ" hidden="1">{#N/A,#N/A,FALSE,"EW"}</definedName>
    <definedName name="QryToPrint99CentsItemList">#REF!</definedName>
    <definedName name="QTDStart">#REF!</definedName>
    <definedName name="qtr_bs">#REF!</definedName>
    <definedName name="qtr_is_2">#REF!</definedName>
    <definedName name="QuanOpDmy">#REF!,#REF!,#REF!,#REF!,#REF!,#REF!</definedName>
    <definedName name="quantity">INDEX(codematch,1,20)</definedName>
    <definedName name="QWE" hidden="1">#REF!</definedName>
    <definedName name="qwef" hidden="1">{#N/A,#N/A,FALSE,"EW"}</definedName>
    <definedName name="QWER" hidden="1">{#N/A,#N/A,FALSE,"SUMMARY";#N/A,#N/A,FALSE,"SUMMARY"}</definedName>
    <definedName name="R_D_Amortization">#REF!</definedName>
    <definedName name="R_D_expense">#REF!</definedName>
    <definedName name="ram" hidden="1">#REF!</definedName>
    <definedName name="Range1">#REF!</definedName>
    <definedName name="Range2">#REF!</definedName>
    <definedName name="Range3">#REF!</definedName>
    <definedName name="RATING_1">#REF!</definedName>
    <definedName name="RATIOS">#REF!</definedName>
    <definedName name="raw_material">#REF!</definedName>
    <definedName name="RawMat" hidden="1">#REF!</definedName>
    <definedName name="RCArea" hidden="1">#REF!</definedName>
    <definedName name="re" hidden="1">{#N/A,#N/A,FALSE,"COMP"}</definedName>
    <definedName name="rec">#REF!</definedName>
    <definedName name="recap">#REF!</definedName>
    <definedName name="Reclass">#REF!</definedName>
    <definedName name="RedefinePrintTableRange" hidden="1">#REF!</definedName>
    <definedName name="redo" hidden="1">{#N/A,#N/A,FALSE,"ACQ_GRAPHS";#N/A,#N/A,FALSE,"T_1 GRAPHS";#N/A,#N/A,FALSE,"T_2 GRAPHS";#N/A,#N/A,FALSE,"COMB_GRAPHS"}</definedName>
    <definedName name="Ref_Area">IF(#REF!="m",PI()*((VLOOKUP(#REF!,PipeInfo,2,FALSE))/1000)*#REF!,IF(#REF!="m2",#REF!,IF(#REF!="m3",#REF!/(#REF!/1000),0)))</definedName>
    <definedName name="REF_CSL">#REF!</definedName>
    <definedName name="REF_CUS_51">#REF!</definedName>
    <definedName name="REF_CUS_51___0">#REF!</definedName>
    <definedName name="REF_CUS_51___0___0">#REF!</definedName>
    <definedName name="REF_CUS_51___0___0___0">#REF!</definedName>
    <definedName name="REF_EF">#REF!</definedName>
    <definedName name="REF_EF_39">#REF!</definedName>
    <definedName name="REF_EF_39___0">#REF!</definedName>
    <definedName name="REF_EF_39___0___0">#REF!</definedName>
    <definedName name="REF_EF_39___0___0___0">#REF!</definedName>
    <definedName name="REF_FRT">#REF!</definedName>
    <definedName name="REF_FRT_35">#REF!</definedName>
    <definedName name="REF_FRT_35___0">#REF!</definedName>
    <definedName name="REF_FRT_35___0___0">#REF!</definedName>
    <definedName name="REF_FRT_35___0___0___0">#REF!</definedName>
    <definedName name="REF_LBR">#REF!</definedName>
    <definedName name="REF_LR_45">#REF!</definedName>
    <definedName name="REF_LR_45___0">#REF!</definedName>
    <definedName name="REF_LR_45___0___0">#REF!</definedName>
    <definedName name="REF_LR_45___0___0___0">#REF!</definedName>
    <definedName name="REF_MAC_12">#REF!</definedName>
    <definedName name="REF_MAC_12___0">#REF!</definedName>
    <definedName name="REF_MAC_12___0___0">#REF!</definedName>
    <definedName name="REF_MAC_12___0___0___0">#REF!</definedName>
    <definedName name="REF_MS">#REF!</definedName>
    <definedName name="REF_MS_5">#REF!</definedName>
    <definedName name="REF_MS_5___0">#REF!</definedName>
    <definedName name="REF_MS_5___0___0">#REF!</definedName>
    <definedName name="REF_MS_5___0___0___0">#REF!</definedName>
    <definedName name="REF_STL">#REF!</definedName>
    <definedName name="REF_STL_21">#REF!</definedName>
    <definedName name="REF_STL_21___0">#REF!</definedName>
    <definedName name="REF_STL_21___0___0">#REF!</definedName>
    <definedName name="REF_STL_21___0___0___0">#REF!</definedName>
    <definedName name="Ref_Vol">IF(#REF!="m",((((VLOOKUP(#REF!,PipeInfo,2,FALSE)+2*#REF!)/1000)^2/4*PI())-(((VLOOKUP(#REF!,PipeInfo,2,FALSE))/1000)^2/4*PI()))*#REF!,IF(#REF!="m2",#REF!*(#REF!/1000),IF(#REF!="m3",#REF!,0)))</definedName>
    <definedName name="REF_WR_52">#REF!</definedName>
    <definedName name="REF_WR_52___0">#REF!</definedName>
    <definedName name="REF_WR_52___0___0">#REF!</definedName>
    <definedName name="REF_WR_52___0___0___0">#REF!</definedName>
    <definedName name="Ref_Wt">IF(ISNA(#REF!),0.02466*#REF!*(#REF!-#REF!)*#REF!/1000,#REF!*#REF!/1000)</definedName>
    <definedName name="REFMS">#REF!</definedName>
    <definedName name="regdet">#REF!</definedName>
    <definedName name="region10" hidden="1">#REF!</definedName>
    <definedName name="REIMB" localSheetId="39">#REF!</definedName>
    <definedName name="REIMB">#REF!</definedName>
    <definedName name="REIMB_1">#REF!</definedName>
    <definedName name="REIMB_2">#REF!</definedName>
    <definedName name="REIMB_3">#REF!</definedName>
    <definedName name="rep" hidden="1">{#N/A,#N/A,FALSE,"COVER";#N/A,#N/A,FALSE,"VALUATION";#N/A,#N/A,FALSE,"FORECAST";#N/A,#N/A,FALSE,"FY ANALYSIS ";#N/A,#N/A,FALSE," HY ANALYSIS"}</definedName>
    <definedName name="repayment">#REF!</definedName>
    <definedName name="ReportWeek">#REF!</definedName>
    <definedName name="RepYear">#REF!</definedName>
    <definedName name="Required_cash_percent">#REF!</definedName>
    <definedName name="reserves">#REF!</definedName>
    <definedName name="Reserves_and_Surplus">'Grouping Master Data'!$H$2:$H$1048576</definedName>
    <definedName name="reserves_surplus">#REF!</definedName>
    <definedName name="resincome">#REF!</definedName>
    <definedName name="RestatedSales_01">#REF!</definedName>
    <definedName name="retail" hidden="1">{#N/A,#N/A,FALSE,"Hip.Bas";#N/A,#N/A,FALSE,"ventas";#N/A,#N/A,FALSE,"ingre-Año";#N/A,#N/A,FALSE,"ventas-Año";#N/A,#N/A,FALSE,"Costepro";#N/A,#N/A,FALSE,"inversion";#N/A,#N/A,FALSE,"personal";#N/A,#N/A,FALSE,"Gastos-V";#N/A,#N/A,FALSE,"Circulante";#N/A,#N/A,FALSE,"CONSOLI";#N/A,#N/A,FALSE,"Es-Fin";#N/A,#N/A,FALSE,"Margen-P"}</definedName>
    <definedName name="retained_earnings">#REF!</definedName>
    <definedName name="retained_profit">#REF!</definedName>
    <definedName name="RetEarn">#REF!</definedName>
    <definedName name="retirement_provision">#REF!</definedName>
    <definedName name="REV_CAL01">#REF!</definedName>
    <definedName name="REV_CAL02">#REF!</definedName>
    <definedName name="REV_CAL95">#REF!</definedName>
    <definedName name="REV_CAL96">#REF!</definedName>
    <definedName name="REV_CAL97">#REF!</definedName>
    <definedName name="REV_CAL98">#REF!</definedName>
    <definedName name="REV_CAL99">#REF!</definedName>
    <definedName name="rev_g">#REF!</definedName>
    <definedName name="rev_mix">#REF!</definedName>
    <definedName name="Rev_Std_Mix">#REF!</definedName>
    <definedName name="RevalRsrv">#REF!</definedName>
    <definedName name="revaluation_reserves">#REF!</definedName>
    <definedName name="Revenue">#REF!</definedName>
    <definedName name="Revenue_from_operations">'Grouping Master Data'!$A$2:$A$1048576</definedName>
    <definedName name="Revenue_from_operations___Finance_Company">'Grouping Master Data'!$B$2:$B$1048576</definedName>
    <definedName name="Revenue_from_operations_of_Finance_Company">'Grouping Master Data'!$B$2:$B$1048576</definedName>
    <definedName name="revise">GL #REF!</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twe" hidden="1">{#N/A,#N/A,FALSE,"COMP"}</definedName>
    <definedName name="reynoldm">#REF!</definedName>
    <definedName name="RG" hidden="1">{TRUE,TRUE,-1.25,-15.5,456.75,279.75,FALSE,FALSE,TRUE,TRUE,0,1,8,1,4,6,3,4,TRUE,TRUE,3,TRUE,1,TRUE,100,"Swvu.turnover.","ACwvu.turnover.",1,FALSE,FALSE,0.511811023622047,0.511811023622047,0.511811023622047,0.511811023622047,1,"","",FALSE,FALSE,FALSE,FALSE,1,#N/A,1,1,#DIV/0!,FALSE,"Rwvu.turnover.",#N/A,FALSE,FALSE}</definedName>
    <definedName name="rgfdgf" hidden="1">{0}</definedName>
    <definedName name="rhw" hidden="1">{#N/A,#N/A,FALSE,"FREE"}</definedName>
    <definedName name="rhwr" hidden="1">{TRUE,TRUE,-1.25,-15.5,484.5,255,FALSE,FALSE,TRUE,FALSE,0,2,16,1,6,13,5,4,TRUE,TRUE,3,TRUE,1,TRUE,75,"Swvu.A.","ACwvu.A.",#N/A,FALSE,FALSE,0.2,0.22,1,0.641,2,"&amp;L&amp;""Arial,Bold""&amp;11Essar Projects Limited
EOL Refinery Project&amp;C&amp;""Arial,Bold""&amp;14TOTAL REFINERY PROJECT
REFINERY FACILITIES AND TERMINAL/MARKETING FACILITIES&amp;R&amp;""Arial,Bold""&amp;12Updated as on 17th November, 1997","&amp;L&amp;""Poster Bodoni ATT,Bold""&amp;12Prepared By : EPL (Planning and Cost Control)&amp;R&amp;D, &amp;T",TRUE,FALSE,FALSE,FALSE,1,#N/A,1,1,#DIV/0!,"=R1:R5","Rwvu.A.","Cwvu.A.",FALSE,FALSE,FALSE,8,65532,65532,FALSE,FALSE,TRUE,TRUE,TRUE}</definedName>
    <definedName name="Risk_Free">#REF!</definedName>
    <definedName name="RiskCollectDistributionSamples">2</definedName>
    <definedName name="RiskExcelReportsToGenerate">0</definedName>
    <definedName name="RiskFixedSeed">1</definedName>
    <definedName name="RiskGenerateExcelReportsAtEndOfSimulation">FALSE</definedName>
    <definedName name="RiskHasSettings">TRUE</definedName>
    <definedName name="RiskMinimizeOnStart">FALSE</definedName>
    <definedName name="RiskMonitorConvergence">FALSE</definedName>
    <definedName name="RiskNumIterations">5000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howRiskWindowAtEndOfSimulation">TRUE</definedName>
    <definedName name="RiskStandardRecalc">1</definedName>
    <definedName name="RiskStatFunctionsUpdateFreq">1</definedName>
    <definedName name="RiskTemplateSheetName">"myTemplate"</definedName>
    <definedName name="RiskUpdateDisplay">FALSE</definedName>
    <definedName name="RiskUpdateStatFunctions">TRUE</definedName>
    <definedName name="RiskUseDifferentSeedForEachSim">FALSE</definedName>
    <definedName name="RiskUseFixedSeed">FALSE</definedName>
    <definedName name="RiskUseMultipleCPUs">FALSE</definedName>
    <definedName name="RM">#REF!</definedName>
    <definedName name="RMDmy" hidden="1">#REF!</definedName>
    <definedName name="RMUnit" hidden="1">#REF!</definedName>
    <definedName name="Rnd" localSheetId="20">#REF!</definedName>
    <definedName name="Rnd">#REF!</definedName>
    <definedName name="RnD_expense">#REF!</definedName>
    <definedName name="roce">#REF!</definedName>
    <definedName name="roce01">#REF!</definedName>
    <definedName name="roce02">#REF!</definedName>
    <definedName name="roce03">#REF!</definedName>
    <definedName name="roce04">#REF!</definedName>
    <definedName name="rohig" hidden="1">{#N/A,#N/A,TRUE,"Staffnos &amp; cost"}</definedName>
    <definedName name="ROIC">#REF!</definedName>
    <definedName name="Rounding_factor" localSheetId="32">#REF!</definedName>
    <definedName name="Rounding_factor" localSheetId="26">#REF!</definedName>
    <definedName name="Rounding_factor">'Master Data'!$C$25</definedName>
    <definedName name="Rounding_factor_Text" localSheetId="32">#REF!</definedName>
    <definedName name="Rounding_factor_Text" localSheetId="26">#REF!</definedName>
    <definedName name="Rounding_factor_Text">'Master Data'!$C$26</definedName>
    <definedName name="rr">#REF!</definedName>
    <definedName name="rrrrr" hidden="1">{#N/A,#N/A,FALSE,"BANNERS";#N/A,#N/A,FALSE,"Market";#N/A,#N/A,FALSE,"Tel Rev";#N/A,#N/A,FALSE,"Revenues IOL";#N/A,#N/A,FALSE,"Invest";#N/A,#N/A,FALSE,"Op Cost1";#N/A,#N/A,FALSE,"Op Cost2";#N/A,#N/A,FALSE,"Oth_&amp;_Tot_Revenues";#N/A,#N/A,FALSE,"Fin Mod";#N/A,#N/A,FALSE,"FinMod_RoW";#N/A,#N/A,FALSE,"P&amp;E Burocrat";#N/A,#N/A,FALSE,"cash flow"}</definedName>
    <definedName name="rsem" hidden="1">{#N/A,#N/A,FALSE,"1996";#N/A,#N/A,FALSE,"1995";#N/A,#N/A,FALSE,"1994"}</definedName>
    <definedName name="rural">#REF!</definedName>
    <definedName name="rural_urban">#REF!</definedName>
    <definedName name="s" hidden="1">{0}</definedName>
    <definedName name="S_M">#REF!</definedName>
    <definedName name="S3a" hidden="1">{#N/A,#N/A,TRUE,"CONTENTS";#N/A,#N/A,TRUE,"M2";#N/A,#N/A,TRUE,"M2a";#N/A,#N/A,TRUE,"M2b";#N/A,#N/A,TRUE,"M3";#N/A,#N/A,TRUE,"M3a";#N/A,#N/A,TRUE,"M4-P";#N/A,#N/A,TRUE,"M5";#N/A,#N/A,TRUE,"M6";#N/A,#N/A,TRUE,"M7";#N/A,#N/A,TRUE,"M8";#N/A,#N/A,TRUE,"M9";#N/A,#N/A,TRUE,"M10";#N/A,#N/A,TRUE,"M11";#N/A,#N/A,TRUE,"M13";#N/A,#N/A,TRUE,"M14";#N/A,#N/A,TRUE,"M15";#N/A,#N/A,TRUE,"K1"}</definedName>
    <definedName name="SAG" hidden="1">#REF!</definedName>
    <definedName name="SALES">#REF!</definedName>
    <definedName name="Sales_00">#REF!</definedName>
    <definedName name="Sales_01">#REF!</definedName>
    <definedName name="Sales_02">#REF!</definedName>
    <definedName name="Sales_03">#REF!</definedName>
    <definedName name="Sales_04">#REF!</definedName>
    <definedName name="Sales_05">#REF!</definedName>
    <definedName name="Sales_06">#REF!</definedName>
    <definedName name="Sales_07">#REF!</definedName>
    <definedName name="Sales_08">#REF!</definedName>
    <definedName name="sales_1997">#REF!</definedName>
    <definedName name="sales_2001">#REF!</definedName>
    <definedName name="sales_2002">#REF!</definedName>
    <definedName name="sales_2003">#REF!</definedName>
    <definedName name="sales_2004">#REF!</definedName>
    <definedName name="Sales_92">#REF!</definedName>
    <definedName name="Sales_93">#REF!</definedName>
    <definedName name="Sales_94">#REF!</definedName>
    <definedName name="Sales_95">#REF!</definedName>
    <definedName name="Sales_96">#REF!</definedName>
    <definedName name="Sales_97">#REF!</definedName>
    <definedName name="Sales_98">#REF!</definedName>
    <definedName name="Sales_99">#REF!</definedName>
    <definedName name="sales_eu_01">#REF!</definedName>
    <definedName name="sales_eu_02">#REF!</definedName>
    <definedName name="sales_eu_03">#REF!</definedName>
    <definedName name="sales_eu_04">#REF!</definedName>
    <definedName name="Sales_floor_query">#REF!</definedName>
    <definedName name="sales_growth_1997">#REF!</definedName>
    <definedName name="sales_growth_97">#REF!</definedName>
    <definedName name="sales_marketing">#REF!</definedName>
    <definedName name="Sales_Tax">#REF!</definedName>
    <definedName name="sales01">#REF!</definedName>
    <definedName name="sales02">#REF!</definedName>
    <definedName name="sales03">#REF!</definedName>
    <definedName name="sales04">#REF!</definedName>
    <definedName name="SaleUnit" hidden="1">#REF!,#REF!,#REF!,#REF!,#REF!,#REF!,#REF!,#REF!</definedName>
    <definedName name="SaleVal">#REF!</definedName>
    <definedName name="SaleValue" hidden="1">#REF!,#REF!,#REF!,#REF!,#REF!,#REF!,#REF!,#REF!</definedName>
    <definedName name="SaleVol">#REF!</definedName>
    <definedName name="Sanjay" hidden="1">{#N/A,#N/A,FALSE,"Mukesh Shivdasani"}</definedName>
    <definedName name="Sanjay_1" hidden="1">{#N/A,#N/A,FALSE,"Mukesh Shivdasani"}</definedName>
    <definedName name="Sanjay_2" hidden="1">{#N/A,#N/A,FALSE,"Mukesh Shivdasani"}</definedName>
    <definedName name="Sanjay_3" hidden="1">{#N/A,#N/A,FALSE,"Mukesh Shivdasani"}</definedName>
    <definedName name="Sanjay_4" hidden="1">{#N/A,#N/A,FALSE,"Mukesh Shivdasani"}</definedName>
    <definedName name="Sanjay_5" hidden="1">{#N/A,#N/A,FALSE,"Mukesh Shivdasani"}</definedName>
    <definedName name="SAPBEXhrIndnt" hidden="1">2</definedName>
    <definedName name="SAPBEXrevision" hidden="1">1</definedName>
    <definedName name="SAPBEXsysID" hidden="1">"CL3"</definedName>
    <definedName name="SAPBEXwbID" hidden="1">"413JGNHYXAXPPN4M51A5NSQOW"</definedName>
    <definedName name="sasd" hidden="1">{#N/A,#N/A,FALSE,"Status of Projects";#N/A,#N/A,FALSE,"CEA-TEC";#N/A,#N/A,FALSE,"U-Constr.";#N/A,#N/A,FALSE,"summary";#N/A,#N/A,FALSE,"PPP-3 yrs"}</definedName>
    <definedName name="sc">#REF!</definedName>
    <definedName name="scb">#REF!</definedName>
    <definedName name="scedule" hidden="1">{"'CQ1-4'!$B$1:$L$49"}</definedName>
    <definedName name="SCH_INVESTMENTS_Continued">NA()</definedName>
    <definedName name="Sch3Fixed" hidden="1">#REF!</definedName>
    <definedName name="SCH7A">#REF!</definedName>
    <definedName name="SCH7B">#REF!</definedName>
    <definedName name="Schdule1" hidden="1">{#N/A,#N/A,FALSE,"COMP"}</definedName>
    <definedName name="Schdule1_1" hidden="1">{#N/A,#N/A,FALSE,"COMP"}</definedName>
    <definedName name="Schdule1_2" hidden="1">{#N/A,#N/A,FALSE,"COMP"}</definedName>
    <definedName name="Schdule1_3" hidden="1">{#N/A,#N/A,FALSE,"COMP"}</definedName>
    <definedName name="Schdule1_4" hidden="1">{#N/A,#N/A,FALSE,"COMP"}</definedName>
    <definedName name="Schdule1_5" hidden="1">{#N/A,#N/A,FALSE,"COMP"}</definedName>
    <definedName name="sched" hidden="1">{"'CQ1-4'!$B$1:$L$49"}</definedName>
    <definedName name="schedu" hidden="1">{"'CQ1-4'!$B$1:$L$49"}</definedName>
    <definedName name="schedule" hidden="1">{#N/A,#N/A,FALSE,"COMP"}</definedName>
    <definedName name="schedule_1" hidden="1">{#N/A,#N/A,FALSE,"COMP"}</definedName>
    <definedName name="schedule_2" hidden="1">{#N/A,#N/A,FALSE,"COMP"}</definedName>
    <definedName name="schedule_3" hidden="1">{#N/A,#N/A,FALSE,"COMP"}</definedName>
    <definedName name="schedule_4" hidden="1">{#N/A,#N/A,FALSE,"COMP"}</definedName>
    <definedName name="schedule_5" hidden="1">{#N/A,#N/A,FALSE,"COMP"}</definedName>
    <definedName name="SCRAP" hidden="1">{"'subnets'!$A$1:$F$20"}</definedName>
    <definedName name="SCrt">#REF!</definedName>
    <definedName name="ScrtDays">#REF!</definedName>
    <definedName name="scx">#REF!</definedName>
    <definedName name="SDbt">#REF!</definedName>
    <definedName name="SdbtDays">#REF!</definedName>
    <definedName name="sdf" hidden="1">#REF!</definedName>
    <definedName name="sdfcs">GL #REF!</definedName>
    <definedName name="SDFHG" hidden="1">{"Agg Output",#N/A,FALSE,"Operational Drivers Output";"NW Output",#N/A,FALSE,"Operational Drivers Output";"South Output",#N/A,FALSE,"Operational Drivers Output";"Central Output",#N/A,FALSE,"Operational Drivers Output"}</definedName>
    <definedName name="sdgklnklsksd" hidden="1">{0}</definedName>
    <definedName name="sdhdhfdfhh" hidden="1">{#N/A,#N/A,FALSE,"Balance Sheet";#N/A,#N/A,FALSE,"Income Statement";#N/A,#N/A,FALSE,"Changes in Financial Position"}</definedName>
    <definedName name="sdrfse" hidden="1">{#N/A,#N/A,FALSE,"COMP"}</definedName>
    <definedName name="seashistcol">#REF!</definedName>
    <definedName name="secsplit">"Chart 3"</definedName>
    <definedName name="SEctionCode" localSheetId="39">#REF!</definedName>
    <definedName name="SEctionCode">#REF!</definedName>
    <definedName name="SEctionCode_1" localSheetId="39">#REF!</definedName>
    <definedName name="SEctionCode_1">#REF!</definedName>
    <definedName name="sector">#REF!</definedName>
    <definedName name="Segment1_income">#REF!</definedName>
    <definedName name="Segment1_income_DCF">#REF!</definedName>
    <definedName name="Segment2_income">#REF!</definedName>
    <definedName name="Segment2_income_DCF">#REF!</definedName>
    <definedName name="SelExp">#REF!</definedName>
    <definedName name="SelExpSer" hidden="1">#REF!</definedName>
    <definedName name="seller">#REF!</definedName>
    <definedName name="sencount" hidden="1">1</definedName>
    <definedName name="sensit_analysis">#REF!</definedName>
    <definedName name="SEP">#REF!</definedName>
    <definedName name="sepms">#REF!</definedName>
    <definedName name="Sept2" hidden="1">#REF!</definedName>
    <definedName name="Services">#REF!</definedName>
    <definedName name="SessionId" hidden="1">"FiorinoA68071458386781"</definedName>
    <definedName name="SFG" hidden="1">{TRUE,TRUE,-1.25,-15.5,456.75,279.75,FALSE,FALSE,TRUE,TRUE,0,1,21,1,127,6,3,4,TRUE,TRUE,3,TRUE,1,TRUE,100,"Swvu.profits.","ACwvu.profits.",1,FALSE,FALSE,0.511811023622047,0.511811023622047,0.511811023622047,0.511811023622047,1,"","",FALSE,FALSE,FALSE,FALSE,1,#N/A,1,1,#DIV/0!,FALSE,"Rwvu.profits.",#N/A,FALSE,FALSE}</definedName>
    <definedName name="sfgv" hidden="1">{"consolidated",#N/A,FALSE,"Sheet1";"cms",#N/A,FALSE,"Sheet1";"fse",#N/A,FALSE,"Sheet1"}</definedName>
    <definedName name="sfq" hidden="1">{#N/A,#N/A,FALSE,"Calc";#N/A,#N/A,FALSE,"Sensitivity";#N/A,#N/A,FALSE,"LT Earn.Dil.";#N/A,#N/A,FALSE,"Dil. AVP"}</definedName>
    <definedName name="sfsf" hidden="1">{#N/A,#N/A,FALSE,"Calc";#N/A,#N/A,FALSE,"Sensitivity";#N/A,#N/A,FALSE,"LT Earn.Dil.";#N/A,#N/A,FALSE,"Dil. AVP"}</definedName>
    <definedName name="SFTBASIS">#REF!</definedName>
    <definedName name="sg" hidden="1">{"PANDL",#N/A,TRUE,"Input";"SALIND",#N/A,TRUE,"Input";"WCAP",#N/A,TRUE,"Input";"MANP",#N/A,TRUE,"Input";"PRODA",#N/A,TRUE,"Input";"LEGAL",#N/A,TRUE,"Input";"EXCEPT",#N/A,TRUE,"Input";"MARKET",#N/A,TRUE,"Input";"NONGR",#N/A,TRUE,"Input"}</definedName>
    <definedName name="SGA">#REF!</definedName>
    <definedName name="sga_expenses">#REF!</definedName>
    <definedName name="SGCInv">#REF!</definedName>
    <definedName name="SGCInvChg" hidden="1">#REF!</definedName>
    <definedName name="sgd" hidden="1">{#N/A,#N/A,FALSE,"Calc";#N/A,#N/A,FALSE,"Sensitivity";#N/A,#N/A,FALSE,"LT Earn.Dil.";#N/A,#N/A,FALSE,"Dil. AVP"}</definedName>
    <definedName name="sgdg" hidden="1">{#N/A,#N/A,FALSE,"Calc";#N/A,#N/A,FALSE,"Sensitivity";#N/A,#N/A,FALSE,"LT Earn.Dil.";#N/A,#N/A,FALSE,"Dil. AVP"}</definedName>
    <definedName name="sgsx" hidden="1">{"consolidated",#N/A,FALSE,"Sheet1";"cms",#N/A,FALSE,"Sheet1";"fse",#N/A,FALSE,"Sheet1"}</definedName>
    <definedName name="share_premium">#REF!</definedName>
    <definedName name="Share_price">#REF!</definedName>
    <definedName name="ShareCapCY">#REF!</definedName>
    <definedName name="shareholders_equity">#REF!</definedName>
    <definedName name="Shares">#REF!</definedName>
    <definedName name="shares_01">#REF!</definedName>
    <definedName name="shares_02">#REF!</definedName>
    <definedName name="shares_03">#REF!</definedName>
    <definedName name="shares_04">#REF!</definedName>
    <definedName name="Shares_growth">#REF!</definedName>
    <definedName name="Shares_Out">#REF!</definedName>
    <definedName name="shares_plc_00">#REF!</definedName>
    <definedName name="Sheet_Challan_ListCol_3" localSheetId="39">#REF!</definedName>
    <definedName name="Sheet_Challan_ListCol_3">#REF!</definedName>
    <definedName name="Sheet_Deduction_ListCol_4" localSheetId="39">#REF!</definedName>
    <definedName name="Sheet_Deduction_ListCol_4">#REF!</definedName>
    <definedName name="SHOP_BEVEL">#REF!</definedName>
    <definedName name="SHOP_CUT">#REF!</definedName>
    <definedName name="SHOP_HANDLE">#REF!</definedName>
    <definedName name="SHOP_HYDRO_COST">#REF!</definedName>
    <definedName name="SHOP_HYDRO_COST1">#REF!</definedName>
    <definedName name="SHOP_MAKE_ON">#REF!</definedName>
    <definedName name="SHOP_MT">#REF!</definedName>
    <definedName name="SHOP_OLET">#REF!</definedName>
    <definedName name="SHOP_RT_COST">#REF!</definedName>
    <definedName name="SHOP_THREAD">#REF!</definedName>
    <definedName name="SHOP_WELD">#REF!</definedName>
    <definedName name="short_term_debt">#REF!</definedName>
    <definedName name="ShOutst">#REF!</definedName>
    <definedName name="ShPrm">#REF!</definedName>
    <definedName name="ShPrmChg" hidden="1">#REF!</definedName>
    <definedName name="sipp">GL #REF!</definedName>
    <definedName name="SITE_BEVEL">#REF!</definedName>
    <definedName name="SITE_CUT">#REF!</definedName>
    <definedName name="SITE_ERECTION">#REF!</definedName>
    <definedName name="SITE_HYDRO">#REF!</definedName>
    <definedName name="SITE_MAKE_ON">#REF!</definedName>
    <definedName name="SITE_OLET">#REF!</definedName>
    <definedName name="SITE_THREAD">#REF!</definedName>
    <definedName name="SITE_WELD">#REF!</definedName>
    <definedName name="Six">#REF!</definedName>
    <definedName name="sjlk" hidden="1">{#N/A,#N/A,FALSE,"1"}</definedName>
    <definedName name="solver_adj" hidden="1">#REF!</definedName>
    <definedName name="solver_drv" hidden="1">1</definedName>
    <definedName name="solver_eng" localSheetId="5" hidden="1">1</definedName>
    <definedName name="solver_est" hidden="1">1</definedName>
    <definedName name="solver_itr" hidden="1">100</definedName>
    <definedName name="solver_lin" hidden="1">0</definedName>
    <definedName name="solver_neg" localSheetId="5" hidden="1">1</definedName>
    <definedName name="solver_num" localSheetId="5" hidden="1">0</definedName>
    <definedName name="solver_num" hidden="1">0</definedName>
    <definedName name="solver_nwt" hidden="1">1</definedName>
    <definedName name="solver_opt" localSheetId="5" hidden="1">'Master Data'!$F$10</definedName>
    <definedName name="solver_opt" hidden="1">#REF!</definedName>
    <definedName name="solver_pre" hidden="1">0.000001</definedName>
    <definedName name="solver_scl" hidden="1">0</definedName>
    <definedName name="solver_sho" hidden="1">0</definedName>
    <definedName name="solver_tim" hidden="1">100</definedName>
    <definedName name="solver_tol" hidden="1">0.05</definedName>
    <definedName name="solver_typ" localSheetId="5" hidden="1">1</definedName>
    <definedName name="solver_typ" hidden="1">3</definedName>
    <definedName name="solver_val" localSheetId="5" hidden="1">0</definedName>
    <definedName name="solver_val" hidden="1">0.6</definedName>
    <definedName name="solver_ver" localSheetId="5" hidden="1">3</definedName>
    <definedName name="SortRange">#REF!</definedName>
    <definedName name="sp" hidden="1">{"hist_bs",#N/A,FALSE,"Exhibit D,E1,E2";#N/A,#N/A,FALSE,"Exhibit E3";#N/A,#N/A,FALSE,"Mgmt. Projtn";#N/A,#N/A,FALSE,"Exhibit B-1";#N/A,#N/A,FALSE,"Exhibit A";#N/A,#N/A,FALSE,"WACC";#N/A,#N/A,FALSE,"Control";"hist_inc",#N/A,FALSE,"Exhibit D,E1,E2"}</definedName>
    <definedName name="SpecialPrice" hidden="1">#REF!</definedName>
    <definedName name="spot_rate">#REF!</definedName>
    <definedName name="SRP_20120401">#REF!</definedName>
    <definedName name="ss" hidden="1">{#N/A,#N/A,FALSE,"Calc";#N/A,#N/A,FALSE,"Sensitivity";#N/A,#N/A,FALSE,"LT Earn.Dil.";#N/A,#N/A,FALSE,"Dil. AVP"}</definedName>
    <definedName name="SS_Cap">#REF!</definedName>
    <definedName name="SSK" hidden="1">{#N/A,#N/A,FALSE,"COMP"}</definedName>
    <definedName name="SSK_1" hidden="1">{#N/A,#N/A,FALSE,"COMP"}</definedName>
    <definedName name="SSK_2" hidden="1">{#N/A,#N/A,FALSE,"COMP"}</definedName>
    <definedName name="SSK_3" hidden="1">{#N/A,#N/A,FALSE,"COMP"}</definedName>
    <definedName name="SSK_4" hidden="1">{#N/A,#N/A,FALSE,"COMP"}</definedName>
    <definedName name="SSK_5" hidden="1">{#N/A,#N/A,FALSE,"COMP"}</definedName>
    <definedName name="sss" hidden="1">{#N/A,#N/A,TRUE,"pd_SSS";#N/A,#N/A,TRUE,"fo_SSS";#N/A,#N/A,TRUE,"eqpt_SSS";#N/A,#N/A,TRUE,"ftrs_SSS"}</definedName>
    <definedName name="sssss" hidden="1">{#N/A,#N/A,FALSE,"Calc";#N/A,#N/A,FALSE,"Sensitivity";#N/A,#N/A,FALSE,"LT Earn.Dil.";#N/A,#N/A,FALSE,"Dil. AVP"}</definedName>
    <definedName name="st" localSheetId="39">#REF!</definedName>
    <definedName name="st">#REF!</definedName>
    <definedName name="st_1">#REF!</definedName>
    <definedName name="st_2">#REF!</definedName>
    <definedName name="st_3">#REF!</definedName>
    <definedName name="st_debt_lease_financing">#REF!</definedName>
    <definedName name="start">#REF!</definedName>
    <definedName name="state_luxury_tax">#REF!</definedName>
    <definedName name="STATUS4">#REF!</definedName>
    <definedName name="StatusDescriptions">#REF!</definedName>
    <definedName name="statutory_rate_of_tax">#REF!</definedName>
    <definedName name="Std_Mix">#REF!</definedName>
    <definedName name="Std_Rate">#REF!</definedName>
    <definedName name="StDebt">#REF!</definedName>
    <definedName name="StDebtChg" hidden="1">#REF!</definedName>
    <definedName name="StDebtDmy" hidden="1">#REF!,#REF!,#REF!,#REF!,#REF!</definedName>
    <definedName name="STDebtSer" hidden="1">#REF!</definedName>
    <definedName name="StInt">#REF!</definedName>
    <definedName name="Stocks">#REF!</definedName>
    <definedName name="Store">#REF!</definedName>
    <definedName name="stores">#REF!</definedName>
    <definedName name="subdisc">#REF!</definedName>
    <definedName name="subscribers">#REF!</definedName>
    <definedName name="subscription_revenue">#REF!</definedName>
    <definedName name="sUGU">NA()</definedName>
    <definedName name="SummaryIssuers">#REF!</definedName>
    <definedName name="SummaryTypes">#REF!</definedName>
    <definedName name="supervisor">91.05</definedName>
    <definedName name="Suppliers" hidden="1">{#N/A,#N/A,FALSE,"HMF";#N/A,#N/A,FALSE,"FACIL";#N/A,#N/A,FALSE,"HMFINANCE";#N/A,#N/A,FALSE,"HMEUROPE";#N/A,#N/A,FALSE,"HHAB CONSO";#N/A,#N/A,FALSE,"PAB";#N/A,#N/A,FALSE,"MMC";#N/A,#N/A,FALSE,"THAI";#N/A,#N/A,FALSE,"SINPA";#N/A,#N/A,FALSE,"POLAND"}</definedName>
    <definedName name="surveyor">235</definedName>
    <definedName name="Swap2" hidden="1">#REF!</definedName>
    <definedName name="SXC">#REF!</definedName>
    <definedName name="sxn">#REF!</definedName>
    <definedName name="t">#REF!</definedName>
    <definedName name="t_1" hidden="1">{"Co1statements",#N/A,FALSE,"Cmpy1";"Co2statement",#N/A,FALSE,"Cmpy2";"co1pm",#N/A,FALSE,"Co1PM";"co2PM",#N/A,FALSE,"Co2PM";"value",#N/A,FALSE,"value";"opco",#N/A,FALSE,"NewSparkle";"adjusts",#N/A,FALSE,"Adjustments"}</definedName>
    <definedName name="t_2" hidden="1">{"Co1statements",#N/A,FALSE,"Cmpy1";"Co2statement",#N/A,FALSE,"Cmpy2";"co1pm",#N/A,FALSE,"Co1PM";"co2PM",#N/A,FALSE,"Co2PM";"value",#N/A,FALSE,"value";"opco",#N/A,FALSE,"NewSparkle";"adjusts",#N/A,FALSE,"Adjustments"}</definedName>
    <definedName name="t_3" hidden="1">{"Co1statements",#N/A,FALSE,"Cmpy1";"Co2statement",#N/A,FALSE,"Cmpy2";"co1pm",#N/A,FALSE,"Co1PM";"co2PM",#N/A,FALSE,"Co2PM";"value",#N/A,FALSE,"value";"opco",#N/A,FALSE,"NewSparkle";"adjusts",#N/A,FALSE,"Adjustments"}</definedName>
    <definedName name="t_4" hidden="1">{"Co1statements",#N/A,FALSE,"Cmpy1";"Co2statement",#N/A,FALSE,"Cmpy2";"co1pm",#N/A,FALSE,"Co1PM";"co2PM",#N/A,FALSE,"Co2PM";"value",#N/A,FALSE,"value";"opco",#N/A,FALSE,"NewSparkle";"adjusts",#N/A,FALSE,"Adjustments"}</definedName>
    <definedName name="t_5" hidden="1">{"Co1statements",#N/A,FALSE,"Cmpy1";"Co2statement",#N/A,FALSE,"Cmpy2";"co1pm",#N/A,FALSE,"Co1PM";"co2PM",#N/A,FALSE,"Co2PM";"value",#N/A,FALSE,"value";"opco",#N/A,FALSE,"NewSparkle";"adjusts",#N/A,FALSE,"Adjustments"}</definedName>
    <definedName name="t3tr" hidden="1">{#N/A,#N/A,FALSE,"COMP"}</definedName>
    <definedName name="Table">#REF!</definedName>
    <definedName name="table_name">#REF!</definedName>
    <definedName name="TableA">#REF!</definedName>
    <definedName name="tableb">#REF!</definedName>
    <definedName name="TAMNo">#REF!</definedName>
    <definedName name="TAName">#REF!</definedName>
    <definedName name="Tangible_Intangible_Assets">'Grouping Master Data'!$N$2:$N$1048576</definedName>
    <definedName name="TAPlace">#REF!</definedName>
    <definedName name="TargetCurr">#REF!</definedName>
    <definedName name="Tax">#REF!</definedName>
    <definedName name="tax_on_non_recurring_items">#REF!</definedName>
    <definedName name="tax_payable">#REF!</definedName>
    <definedName name="tax_provided">#REF!</definedName>
    <definedName name="tax_rate">#REF!</definedName>
    <definedName name="TaxAudAdd">#REF!</definedName>
    <definedName name="TaxAuditDate">#REF!</definedName>
    <definedName name="TAXCOMPMAR03" hidden="1">{#N/A,#N/A,FALSE,"4"}</definedName>
    <definedName name="taxrate">#REF!</definedName>
    <definedName name="Taxrate_00">#REF!</definedName>
    <definedName name="Taxrate_97">#REF!</definedName>
    <definedName name="Taxrate_98">#REF!</definedName>
    <definedName name="Taxrate_99">#REF!</definedName>
    <definedName name="TB">#REF!</definedName>
    <definedName name="tbl_ProdInfo" hidden="1">#REF!</definedName>
    <definedName name="tech" hidden="1">{#N/A,#N/A,FALSE,"Hip.Bas";#N/A,#N/A,FALSE,"ventas";#N/A,#N/A,FALSE,"ingre-Año";#N/A,#N/A,FALSE,"ventas-Año";#N/A,#N/A,FALSE,"Costepro";#N/A,#N/A,FALSE,"inversion";#N/A,#N/A,FALSE,"personal";#N/A,#N/A,FALSE,"Gastos-V";#N/A,#N/A,FALSE,"Circulante";#N/A,#N/A,FALSE,"CONSOLI";#N/A,#N/A,FALSE,"Es-Fin";#N/A,#N/A,FALSE,"Margen-P"}</definedName>
    <definedName name="temp">#REF!</definedName>
    <definedName name="template" hidden="1">{"Deal information sheet",#N/A,TRUE,"MBOco";"Projected P and L Accounts",#N/A,TRUE,"MBOco";"Projected Balance Sheet",#N/A,TRUE,"MBOco";"Projected Cash Flows",#N/A,TRUE,"MBOco"}</definedName>
    <definedName name="TemplateVersion" hidden="1">#REF!</definedName>
    <definedName name="TermLoanOther">#REF!,#REF!,#REF!</definedName>
    <definedName name="test"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ST0">#REF!</definedName>
    <definedName name="TEST1">#REF!</definedName>
    <definedName name="TEST2">#REF!</definedName>
    <definedName name="TESTHKEY">#REF!</definedName>
    <definedName name="TESTKEYS">#REF!</definedName>
    <definedName name="TESTVKEY">#REF!</definedName>
    <definedName name="tete" hidden="1">{#N/A,#N/A,FALSE,"Calc";#N/A,#N/A,FALSE,"Sensitivity";#N/A,#N/A,FALSE,"LT Earn.Dil.";#N/A,#N/A,FALSE,"Dil. AVP"}</definedName>
    <definedName name="TextRefCopyRangeCount" hidden="1">14</definedName>
    <definedName name="TGHG" hidden="1">{#N/A,#N/A,FALSE,"SUMMARY";#N/A,#N/A,FALSE,"SUMMARY"}</definedName>
    <definedName name="TGTFGF" hidden="1">{TRUE,TRUE,-1.25,-15.5,484.5,255,FALSE,FALSE,TRUE,FALSE,0,2,16,1,6,13,5,4,TRUE,TRUE,3,TRUE,1,TRUE,75,"Swvu.A.","ACwvu.A.",#N/A,FALSE,FALSE,0.2,0.22,1,0.641,2,"&amp;L&amp;""Arial,Bold""&amp;11Essar Projects Limited
EOL Refinery Project&amp;C&amp;""Arial,Bold""&amp;14TOTAL REFINERY PROJECT
REFINERY FACILITIES AND TERMINAL/MARKETING FACILITIES&amp;R&amp;""Arial,Bold""&amp;12Updated as on 17th November, 1997","&amp;L&amp;""Poster Bodoni ATT,Bold""&amp;12Prepared By : EPL (Planning and Cost Control)&amp;R&amp;D, &amp;T",TRUE,FALSE,FALSE,FALSE,1,#N/A,1,1,#DIV/0!,"=R1:R5","Rwvu.A.","Cwvu.A.",FALSE,FALSE,FALSE,8,65532,65532,FALSE,FALSE,TRUE,TRUE,TRUE}</definedName>
    <definedName name="thth" hidden="1">{#N/A,#N/A,FALSE,"Calc";#N/A,#N/A,FALSE,"Sensitivity";#N/A,#N/A,FALSE,"LT Earn.Dil.";#N/A,#N/A,FALSE,"Dil. AVP"}</definedName>
    <definedName name="Title">4-GL [0]!SALES !$E$1:$E$1</definedName>
    <definedName name="Titles">#REF!</definedName>
    <definedName name="TopSection">#REF!</definedName>
    <definedName name="TOT_Dem___0">#REF!</definedName>
    <definedName name="TOT_ENER">#REF!</definedName>
    <definedName name="TOT_ENER___0">#REF!</definedName>
    <definedName name="TOT_ETP">#REF!</definedName>
    <definedName name="TOT_GRAND">#REF!</definedName>
    <definedName name="TOT_GRAND___0">#REF!</definedName>
    <definedName name="TOT_LEC">#REF!</definedName>
    <definedName name="TOT_LEC___0">#REF!</definedName>
    <definedName name="TOT_OLE">#REF!</definedName>
    <definedName name="TOT_OLE___0">#REF!</definedName>
    <definedName name="TOT_PAC">#REF!</definedName>
    <definedName name="TOT_REF">#REF!</definedName>
    <definedName name="Total_Act_Qty">#REF!</definedName>
    <definedName name="Total_Actual_Sales_Qty">#REF!</definedName>
    <definedName name="total_amortisation">#REF!</definedName>
    <definedName name="Total_Amortization">#REF!</definedName>
    <definedName name="total_assets">#REF!</definedName>
    <definedName name="total_assets_avg">#REF!</definedName>
    <definedName name="total_capex">#REF!</definedName>
    <definedName name="Total_COS">#REF!</definedName>
    <definedName name="total_current_assets">#REF!</definedName>
    <definedName name="total_current_liabilities">#REF!</definedName>
    <definedName name="total_depreciation">#REF!</definedName>
    <definedName name="total_enterprise_value">#REF!</definedName>
    <definedName name="total_equity_liabilities">#REF!</definedName>
    <definedName name="Total_Fringe_Rate">#REF!</definedName>
    <definedName name="total_income">#REF!</definedName>
    <definedName name="Total_Income__Loss__Before_Taxes">#REF!</definedName>
    <definedName name="total_intangible_fixed_assets">#REF!</definedName>
    <definedName name="total_liabilities">#REF!</definedName>
    <definedName name="total_non_current_assets">#REF!</definedName>
    <definedName name="total_non_current_liabilities">#REF!</definedName>
    <definedName name="TOTAL_OF_APPLICATION_OF_FUNDS">#REF!</definedName>
    <definedName name="total_operating_cash_flow">#REF!</definedName>
    <definedName name="total_operating_expenses">#REF!</definedName>
    <definedName name="Total_other_assets">#REF!</definedName>
    <definedName name="total_shareholders_equity">#REF!</definedName>
    <definedName name="total_shareholders_equity_avg">#REF!</definedName>
    <definedName name="total_tangible_fixed_assets">#REF!</definedName>
    <definedName name="total_tax_paid">#REF!</definedName>
    <definedName name="TotalAssets">[0]!CapitalEmployed+[0]!CurrentLiab</definedName>
    <definedName name="Totalsourcesoffunds">#REF!</definedName>
    <definedName name="TotAst">#REF!</definedName>
    <definedName name="TotDebt">#REF!</definedName>
    <definedName name="TotEqShAd">#REF!</definedName>
    <definedName name="TotLia">#REF!</definedName>
    <definedName name="tr" localSheetId="20">#REF!</definedName>
    <definedName name="tr"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tr"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tr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tr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trade">#REF!</definedName>
    <definedName name="Trade_Payables">'Grouping Master Data'!$L$2:$L$1048576</definedName>
    <definedName name="Trade_Receivables">'Grouping Master Data'!$S$2:$S$1048576</definedName>
    <definedName name="treeList" hidden="1">"11000000000000000000000000000000000000000000000000000000000000000000000000000000000000000000000000000000000000000000000000000000000000000000000000000000000000000000000000000000000000000000000000000000"</definedName>
    <definedName name="trout"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RS">#REF!</definedName>
    <definedName name="ttthtr" hidden="1">{#N/A,#N/A,FALSE,"TOWNSHIP"}</definedName>
    <definedName name="tttt">INDEX(codematch,1,20)</definedName>
    <definedName name="tu"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TU_Req">#REF!</definedName>
    <definedName name="Turkcell_highlights">#REF!</definedName>
    <definedName name="TUrnover">#REF!</definedName>
    <definedName name="TV_INPUT">#REF!</definedName>
    <definedName name="TVTRagetCurr">#REF!</definedName>
    <definedName name="twertert" hidden="1">{#N/A,#N/A,FALSE,"COMP"}</definedName>
    <definedName name="twofiftytcrane">1</definedName>
    <definedName name="txsep">#REF!</definedName>
    <definedName name="uioui" hidden="1">{#N/A,#N/A,FALSE,"COMP"}</definedName>
    <definedName name="uiui" hidden="1">{#N/A,#N/A,FALSE,"COMP"}</definedName>
    <definedName name="uiyg" hidden="1">{#N/A,#N/A,FALSE,"COMP"}</definedName>
    <definedName name="Umglieder." hidden="1">{#N/A,#N/A,FALSE,"AKTIVA";#N/A,#N/A,FALSE,"PASSIVA";#N/A,#N/A,FALSE,"GUV-RECHNUNG"}</definedName>
    <definedName name="unadj._shares">#REF!</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t">#REF!</definedName>
    <definedName name="Unit_Wt">IF(#REF!="m",INDEX(#REF!, MATCH(#REF!,#REF!,), MATCH(#REF!,#REF!,)),0)</definedName>
    <definedName name="update">4-GL [0]!SALES !$E$2:$V$937</definedName>
    <definedName name="US_I1">#REF!</definedName>
    <definedName name="usage_revenue">#REF!</definedName>
    <definedName name="usd">#REF!</definedName>
    <definedName name="USD.A">#REF!</definedName>
    <definedName name="USD.E">#REF!</definedName>
    <definedName name="USD_B">#REF!</definedName>
    <definedName name="usdr">#REF!</definedName>
    <definedName name="UtilCap" hidden="1">#REF!,#REF!,#REF!,#REF!,#REF!,#REF!,#REF!,#REF!</definedName>
    <definedName name="UtilProd" hidden="1">#REF!,#REF!,#REF!,#REF!,#REF!,#REF!,#REF!,#REF!</definedName>
    <definedName name="V" hidden="1">{#N/A,#N/A,FALSE,"BANNERS";#N/A,#N/A,FALSE,"Market";#N/A,#N/A,FALSE,"# of POP MAN";#N/A,#N/A,FALSE,"Penet Input";#N/A,#N/A,FALSE,"Tel Rev";#N/A,#N/A,FALSE,"Invest";#N/A,#N/A,FALSE,"Op Cost1";#N/A,#N/A,FALSE,"Op Cost2";#N/A,#N/A,FALSE,"Oth_&amp;_Tot_Revenues";#N/A,#N/A,FALSE,"Fin Mod";#N/A,#N/A,FALSE,"P&amp;E Burocrat";#N/A,#N/A,FALSE,"cash flow"}</definedName>
    <definedName name="val" hidden="1">{#N/A,#N/A,FALSE,"Valuation Assumptions";#N/A,#N/A,FALSE,"Summary";#N/A,#N/A,FALSE,"DCF";#N/A,#N/A,FALSE,"Valuation";#N/A,#N/A,FALSE,"WACC";#N/A,#N/A,FALSE,"UBVH";#N/A,#N/A,FALSE,"Free Cash Flow"}</definedName>
    <definedName name="Val_Date">#REF!</definedName>
    <definedName name="valdate">#REF!</definedName>
    <definedName name="validation1">#REF!</definedName>
    <definedName name="validation2">#REF!</definedName>
    <definedName name="validation3">#REF!</definedName>
    <definedName name="valn_jb">#REF!</definedName>
    <definedName name="ValuationDate">#REF!</definedName>
    <definedName name="value_of_non_core_assets">#REF!</definedName>
    <definedName name="Values_Entered">IF(Loan_Amount*Interest_Rate*Loan_Years*Loan_Start&gt;0,1,0)</definedName>
    <definedName name="VALVE_HANDLE">#REF!</definedName>
    <definedName name="VarExp">#REF!</definedName>
    <definedName name="Vendor">#REF!</definedName>
    <definedName name="Version">#REF!</definedName>
    <definedName name="vga" hidden="1">{#N/A,#N/A,TRUE,"Summary";#N/A,#N/A,TRUE,"Balance Sheet";#N/A,#N/A,TRUE,"P &amp; L";#N/A,#N/A,TRUE,"Fixed Assets";#N/A,#N/A,TRUE,"Cash Flows"}</definedName>
    <definedName name="vmpandit" hidden="1">{#N/A,#N/A,FALSE,"Mukesh Shivdasani"}</definedName>
    <definedName name="vmpandit_1" hidden="1">{#N/A,#N/A,FALSE,"Mukesh Shivdasani"}</definedName>
    <definedName name="vmpandit_2" hidden="1">{#N/A,#N/A,FALSE,"Mukesh Shivdasani"}</definedName>
    <definedName name="vmpandit_3" hidden="1">{#N/A,#N/A,FALSE,"Mukesh Shivdasani"}</definedName>
    <definedName name="vmpandit_4" hidden="1">{#N/A,#N/A,FALSE,"Mukesh Shivdasani"}</definedName>
    <definedName name="vmpandit_5" hidden="1">{#N/A,#N/A,FALSE,"Mukesh Shivdasani"}</definedName>
    <definedName name="vo" hidden="1">{"consolidated",#N/A,FALSE,"Sheet1";"cms",#N/A,FALSE,"Sheet1";"fse",#N/A,FALSE,"Sheet1"}</definedName>
    <definedName name="VOLVO_INDIA_PRIVATE_LIMITED">#REF!</definedName>
    <definedName name="votl" hidden="1">{TRUE,TRUE,-1.25,-15.5,484.5,255,FALSE,FALSE,TRUE,FALSE,0,2,16,1,6,13,5,4,TRUE,TRUE,3,TRUE,1,TRUE,75,"Swvu.A.","ACwvu.A.",#N/A,FALSE,FALSE,0.2,0.22,1,0.641,2,"&amp;L&amp;""Arial,Bold""&amp;11Essar Projects Limited
EOL Refinery Project&amp;C&amp;""Arial,Bold""&amp;14TOTAL REFINERY PROJECT
REFINERY FACILITIES AND TERMINAL/MARKETING FACILITIES&amp;R&amp;""Arial,Bold""&amp;12Updated as on 17th November, 1997","&amp;L&amp;""Poster Bodoni ATT,Bold""&amp;12Prepared By : EPL (Planning and Cost Control)&amp;R&amp;D, &amp;T",TRUE,FALSE,FALSE,FALSE,1,#N/A,1,1,#DIV/0!,"=R1:R5","Rwvu.A.","Cwvu.A.",FALSE,FALSE,FALSE,8,65532,65532,FALSE,FALSE,TRUE,TRUE,TRUE}</definedName>
    <definedName name="VRSA">#REF!</definedName>
    <definedName name="vv"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VVVV">IF(#REF!="m",INDEX(#REF!, MATCH(#REF!,#REF!,), MATCH(#REF!,#REF!,)),0)</definedName>
    <definedName name="wacc">#REF!</definedName>
    <definedName name="WACC_P">#REF!</definedName>
    <definedName name="WACC_P_1">#REF!</definedName>
    <definedName name="WAEqSh">#REF!</definedName>
    <definedName name="WCDays">#REF!</definedName>
    <definedName name="wcom" hidden="1">{"IS",#N/A,FALSE,"IS";"RPTIS",#N/A,FALSE,"RPTIS";"STATS",#N/A,FALSE,"STATS";"BS",#N/A,FALSE,"BS"}</definedName>
    <definedName name="WeeklyHours">#REF!</definedName>
    <definedName name="wer" hidden="1">{#N/A,#N/A,FALSE,"Staffnos &amp; cost"}</definedName>
    <definedName name="werfwe" hidden="1">{#N/A,#N/A,FALSE,"COMP"}</definedName>
    <definedName name="werwe" hidden="1">{#N/A,#N/A,FALSE,"COMP"}</definedName>
    <definedName name="wewe" hidden="1">{#N/A,#N/A,TRUE,"pd_SSS";#N/A,#N/A,TRUE,"fo_SSS";#N/A,#N/A,TRUE,"eqpt_SSS";#N/A,#N/A,TRUE,"ftrs_SSS"}</definedName>
    <definedName name="wgbwt" hidden="1">{#N/A,#N/A,FALSE,"ISBL"}</definedName>
    <definedName name="wgtd_shares">#REF!</definedName>
    <definedName name="wht" hidden="1">{#N/A,#N/A,FALSE,"COMP"}</definedName>
    <definedName name="Wire">#REF!</definedName>
    <definedName name="with">#REF!</definedName>
    <definedName name="wls">#REF!</definedName>
    <definedName name="wol" hidden="1">{#N/A,#N/A,FALSE,"FCST94";#N/A,#N/A,FALSE,"FIRM";#N/A,#N/A,FALSE,"BACK94";#N/A,#N/A,FALSE,"FCST95";#N/A,#N/A,FALSE,"BACK95";#N/A,#N/A,FALSE,"FCST96"}</definedName>
    <definedName name="wol_1" hidden="1">{#N/A,#N/A,FALSE,"FCST94";#N/A,#N/A,FALSE,"FIRM";#N/A,#N/A,FALSE,"BACK94";#N/A,#N/A,FALSE,"FCST95";#N/A,#N/A,FALSE,"BACK95";#N/A,#N/A,FALSE,"FCST96"}</definedName>
    <definedName name="wol_2" hidden="1">{#N/A,#N/A,FALSE,"FCST94";#N/A,#N/A,FALSE,"FIRM";#N/A,#N/A,FALSE,"BACK94";#N/A,#N/A,FALSE,"FCST95";#N/A,#N/A,FALSE,"BACK95";#N/A,#N/A,FALSE,"FCST96"}</definedName>
    <definedName name="wol_3" hidden="1">{#N/A,#N/A,FALSE,"FCST94";#N/A,#N/A,FALSE,"FIRM";#N/A,#N/A,FALSE,"BACK94";#N/A,#N/A,FALSE,"FCST95";#N/A,#N/A,FALSE,"BACK95";#N/A,#N/A,FALSE,"FCST96"}</definedName>
    <definedName name="wol_4" hidden="1">{#N/A,#N/A,FALSE,"FCST94";#N/A,#N/A,FALSE,"FIRM";#N/A,#N/A,FALSE,"BACK94";#N/A,#N/A,FALSE,"FCST95";#N/A,#N/A,FALSE,"BACK95";#N/A,#N/A,FALSE,"FCST96"}</definedName>
    <definedName name="wol_5" hidden="1">{#N/A,#N/A,FALSE,"FCST94";#N/A,#N/A,FALSE,"FIRM";#N/A,#N/A,FALSE,"BACK94";#N/A,#N/A,FALSE,"FCST95";#N/A,#N/A,FALSE,"BACK95";#N/A,#N/A,FALSE,"FCST96"}</definedName>
    <definedName name="Workers_Comp_Rate">#REF!</definedName>
    <definedName name="Working_capiotal">#REF!</definedName>
    <definedName name="working_capital">#REF!</definedName>
    <definedName name="Works">#REF!</definedName>
    <definedName name="wr" hidden="1">{#N/A,#N/A,FALSE,"COMP"}</definedName>
    <definedName name="wrd" hidden="1">{#N/A,#N/A,FALSE,"INPUTS";#N/A,#N/A,FALSE,"PROFORMA BSHEET";#N/A,#N/A,FALSE,"COMBINED";#N/A,#N/A,FALSE,"HIGH YIELD";#N/A,#N/A,FALSE,"COMB_GRAPHS"}</definedName>
    <definedName name="wrd.2._.pagers.3" hidden="1">{"Cover",#N/A,FALSE,"Cover";"Summary",#N/A,FALSE,"Summarpage"}</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I" hidden="1">{#N/A,#N/A,FALSE,"COMP"}</definedName>
    <definedName name="wrn" hidden="1">{#N/A,#N/A,FALSE,"DCF Summary";#N/A,#N/A,FALSE,"Casema";#N/A,#N/A,FALSE,"Casema NoTel";#N/A,#N/A,FALSE,"UK";#N/A,#N/A,FALSE,"RCF";#N/A,#N/A,FALSE,"Intercable CZ";#N/A,#N/A,FALSE,"Interkabel P"}</definedName>
    <definedName name="wrn.1." hidden="1">{#N/A,#N/A,FALSE,"Calc";#N/A,#N/A,FALSE,"Sensitivity";#N/A,#N/A,FALSE,"LT Earn.Dil.";#N/A,#N/A,FALSE,"Dil. AVP"}</definedName>
    <definedName name="wrn.1996._.BUDGET." hidden="1">{"SUMMARY",#N/A,TRUE,"SUMMARY";"compare",#N/A,TRUE,"Vs. Bus Plan";"ratios",#N/A,TRUE,"Ratios";"REVENUE",#N/A,TRUE,"Revenue";"expenses",#N/A,TRUE,"1996 budget";"payroll",#N/A,TRUE,"Payroll"}</definedName>
    <definedName name="wrn.1996._.BUDGET.1" hidden="1">{"SUMMARY",#N/A,TRUE,"SUMMARY";"compare",#N/A,TRUE,"Vs. Bus Plan";"ratios",#N/A,TRUE,"Ratios";"REVENUE",#N/A,TRUE,"Revenue";"expenses",#N/A,TRUE,"1996 budget";"payroll",#N/A,TRUE,"Payroll"}</definedName>
    <definedName name="wrn.1996._.TO._.2004." hidden="1">{"ten year ratios",#N/A,TRUE,"PROFIT_LOSS";"ten year ratios",#N/A,TRUE,"Ratios";"ten yr opex and capex",#N/A,TRUE,"1996 budget";"ten year revenues",#N/A,TRUE,"Revenue_1996-2004";"ten year payroll",#N/A,TRUE,"Payroll"}</definedName>
    <definedName name="wrn.1998_MONTHLY." hidden="1">{"BS_98_ASSETS",#N/A,FALSE,"CONSOL";"BS_98_LIAB",#N/A,FALSE,"CONSOL";"PL_98",#N/A,FALSE,"CONSOL";"CF_98",#N/A,FALSE,"CONSOL";"CORP_BS_98_ASSETS",#N/A,FALSE,"CORP";"CORP_BS_98_LIAB",#N/A,FALSE,"CORP";"CORP_PL_98",#N/A,FALSE,"CORP";"CORP_CF_98",#N/A,FALSE,"CORP";"SMT_BS_98_ASSETS",#N/A,FALSE,"SMTEK";"SMTEK_BS_98_LIAB",#N/A,FALSE,"SMTEK";"SMT_PL_98",#N/A,FALSE,"SMTEK";"SMT_CF_98",#N/A,FALSE,"SMTEK";"IRLAN_BS_98_ASSETS",#N/A,FALSE,"IRLAN";"IRLAN_BS_98_LIAB",#N/A,FALSE,"IRLAN";"IRLAN_PL_98",#N/A,FALSE,"IRLAN";"IRLAN_CF_98",#N/A,FALSE,"IRLAN";"DDL-E_BS_98_ASSETS",#N/A,FALSE,"DDL-E";"DDL-E_BS_98_LIAB",#N/A,FALSE,"DDL-E";"DDL-E_PL_98",#N/A,FALSE,"DDL-E";"DDL-E_CF_98",#N/A,FALSE,"DDL-E";"JOLT_BS_98_ASSETS",#N/A,FALSE,"JOLT";"JOLT_BS_98_LIAB",#N/A,FALSE,"JOLT";"JOLT_PL_98",#N/A,FALSE,"JOLT";"JOLT_CF_98",#N/A,FALSE,"JOLT"}</definedName>
    <definedName name="wrn.1999_Monthly." hidden="1">{"assets_99",#N/A,FALSE,"CONSOL";"liabilities_99",#N/A,FALSE,"CONSOL";"pl_99",#N/A,FALSE,"CONSOL";"Corp_99_assets",#N/A,FALSE,"CORP";"Corp_99_liab",#N/A,FALSE,"CORP";"Corp_99_PL",#N/A,FALSE,"CORP";"SMT_99_assets",#N/A,FALSE,"SMTEK";"SMT_99_liab",#N/A,FALSE,"SMTEK";"SMT_99_PL",#N/A,FALSE,"SMTEK";"Jolt_99_assets",#N/A,FALSE,"JOLT";"Jolt_99_liab",#N/A,FALSE,"JOLT";"Jolt_99_PL",#N/A,FALSE,"JOLT";"Irlan_99_assets",#N/A,FALSE,"IRLAN";"Irlan_99_liab",#N/A,FALSE,"IRLAN";"Irlan_99_PL",#N/A,FALSE,"IRLAN";"DDL-E_99_assets",#N/A,FALSE,"DDL-E";"DDL-E_99_liab",#N/A,FALSE,"DDL-E";"DDL-E_99_PL",#N/A,FALSE,"DDL-E"}</definedName>
    <definedName name="wrn.2._.pagers." hidden="1">{"Cover",#N/A,FALSE,"Cover";"Summary",#N/A,FALSE,"Summarpage"}</definedName>
    <definedName name="wrn.2._.pagers.2" hidden="1">{"Cover",#N/A,FALSE,"Cover";"Summary",#N/A,FALSE,"Summarpage"}</definedName>
    <definedName name="wrn.3._.hojas." hidden="1">{"DESVI1",#N/A,FALSE,"JULIO";"DESVI2",#N/A,FALSE,"JULIO";"DESVI3",#N/A,FALSE,"JULIO"}</definedName>
    <definedName name="wrn.3yr.CF." hidden="1">{"assume",#N/A,FALSE,"K&amp;20th Month CF";"MoCF",#N/A,FALSE,"K&amp;20th Month CF";"AnCF",#N/A,FALSE,"K&amp;20th Month CF"}</definedName>
    <definedName name="wrn.3YR_Fin_Stmts." hidden="1">{"3YR_00 to 02_Consol_BS",#N/A,FALSE,"CONSOL";"3YR_00 to 02_Consol_IS",#N/A,FALSE,"CONSOL";"3YR_00 to 02_Consol_SOCF",#N/A,FALSE,"CONSOL";"3YR_00 to 02_TO_BS",#N/A,FALSE,"1000 OAKS";"3YR_00 to 02_TO_IS",#N/A,FALSE,"1000 OAKS";"3YR_00 to 02_TO_SOCF",#N/A,FALSE,"1000 OAKS";"3YR_00 to 02_SD_BS",#N/A,FALSE,"SAN DIEGO";"3YR_00 to 02_SD_IS",#N/A,FALSE,"SAN DIEGO";"3YR_00 to 02_SD_SOCF",#N/A,FALSE,"SAN DIEGO";"3YR_00 to 02_FL_BS",#N/A,FALSE,"FT.LAUD.";"3YR_00 to 02_FL_IS",#N/A,FALSE,"FT.LAUD.";"3YR_00 to 02_FL_SOCF",#N/A,FALSE,"FT.LAUD.";"3YR_00 to 02_Eur_BS",#N/A,FALSE,"SMK EUR";"3YR_00 to 02_Eur_IS",#N/A,FALSE,"SMK EUR";"3YR_00 to 02_Eur_SOCF",#N/A,FALSE,"SMK EUR";"3YR_00 to 02_Corp_BS",#N/A,FALSE,"CORP";"3YR_00 to 02_Corp_IS",#N/A,FALSE,"CORP";"3YR_00 to 02_Corp_SOCF",#N/A,FALSE,"CORP";"3YR_00 to 02_DDL-E_BS",#N/A,FALSE,"DDL EUR";"3YR_00 to 02_DDL-E_IS",#N/A,FALSE,"DDL EUR";"3YR_00 to 02_DDL-E_SOCF",#N/A,FALSE,"DDL EUR"}</definedName>
    <definedName name="wrn.95_17910." hidden="1">{#N/A,#N/A,FALSE,"Aktiva";#N/A,#N/A,FALSE,"Passiva";#N/A,#N/A,FALSE,"GuV Erl"}</definedName>
    <definedName name="wrn.95_55000." hidden="1">{#N/A,#N/A,FALSE,"AKTIVA";#N/A,#N/A,FALSE,"PASSIVA";#N/A,#N/A,FALSE,"GUV-RECHNUNG"}</definedName>
    <definedName name="wrn.96_model." hidden="1">{"qtr_is_94_95",#N/A,FALSE,"MA";"ann_is_96",#N/A,FALSE,"MA";"seg_sales_96",#N/A,FALSE,"MA";"seg_inc_96",#N/A,FALSE,"MA";"divisional_91_95",#N/A,FALSE,"MA";"ann_bs_96",#N/A,FALSE,"MA";"ann_cf_96",#N/A,FALSE,"MA"}</definedName>
    <definedName name="wrn.A3._.Reports." hidden="1">{#N/A,#N/A,FALSE,"ActvBud";#N/A,#N/A,FALSE,"RptSalJC";#N/A,#N/A,FALSE,"RptSalTot ";#N/A,#N/A,FALSE,"RptSumExp";#N/A,#N/A,FALSE,"RptSum"}</definedName>
    <definedName name="wrn.A4._.Reports." hidden="1">{#N/A,#N/A,FALSE,"RptMrgCh";#N/A,#N/A,FALSE,"RptMrg";#N/A,#N/A,FALSE,"RptPLCh";#N/A,#N/A,FALSE,"RptPL";#N/A,#N/A,FALSE,"RptAdv ";#N/A,#N/A,FALSE,"RptSalary";#N/A,#N/A,FALSE,"RptSalExp";#N/A,#N/A,FALSE,"RptNW";#N/A,#N/A,FALSE,"RptSalYr";#N/A,#N/A,FALSE,"RptSales";#N/A,#N/A,FALSE,"RptPostn";#N/A,#N/A,FALSE,"RtpPLA-B";#N/A,#N/A,FALSE,"Rpt%age";#N/A,#N/A,FALSE,"RptPLSum";#N/A,#N/A,FALSE,"Index";#N/A,#N/A,FALSE,"Cover";#N/A,#N/A,FALSE,"Memo"}</definedName>
    <definedName name="wrn.AA." hidden="1">{#N/A,#N/A,FALSE,"PMTABB";#N/A,#N/A,FALSE,"PMTABB"}</definedName>
    <definedName name="wrn.ABR._.DATA." hidden="1">{"PANDL",#N/A,TRUE,"Input";"SALIND",#N/A,TRUE,"Input";"WCAP",#N/A,TRUE,"Input";"MANP",#N/A,TRUE,"Input";"PRODA",#N/A,TRUE,"Input";"LEGAL",#N/A,TRUE,"Input";"EXCEPT",#N/A,TRUE,"Input";"MARKET",#N/A,TRUE,"Input";"NONGR",#N/A,TRUE,"Input"}</definedName>
    <definedName name="wrn.Accounts." hidden="1">{"turnover",#N/A,FALSE;"profits",#N/A,FALSE;"cash",#N/A,FALSE}</definedName>
    <definedName name="wrn.adj95." hidden="1">{"adj95mult",#N/A,FALSE,"COMPCO";"adj95est",#N/A,FALSE,"COMPCO"}</definedName>
    <definedName name="wrn.Aging._.and._.Trend._.Analysis." hidden="1">{#N/A,#N/A,FALSE,"Aging Summary";#N/A,#N/A,FALSE,"Ratio Analysis";#N/A,#N/A,FALSE,"Test 120 Day Accts";#N/A,#N/A,FALSE,"Tickmarks"}</definedName>
    <definedName name="wrn.ALL." hidden="1">{#N/A,#N/A,FALSE,"INPUTS";#N/A,#N/A,FALSE,"PROFORMA BSHEET";#N/A,#N/A,FALSE,"COMBINED";#N/A,#N/A,FALSE,"ACQUIROR";#N/A,#N/A,FALSE,"TARGET 1";#N/A,#N/A,FALSE,"TARGET 2";#N/A,#N/A,FALSE,"HIGH YIELD";#N/A,#N/A,FALSE,"OVERFUND"}</definedName>
    <definedName name="wrn.All._.Financials." hidden="1">{#N/A,#N/A,TRUE,"Assumptions";#N/A,#N/A,TRUE,"Op Projection";#N/A,#N/A,TRUE,"Capital";#N/A,#N/A,TRUE,"Income";#N/A,#N/A,TRUE,"Balance";#N/A,#N/A,TRUE,"Sources&amp;Uses"}</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Reports."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1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1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1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1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1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2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2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2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2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2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3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3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3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3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3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4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4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4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4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4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5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5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5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5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1_5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1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1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1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1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1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2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2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2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2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2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3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3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3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3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3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4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4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4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4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4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5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5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5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5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2_5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1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1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1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1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1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2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2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2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2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2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3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3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3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3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3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4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4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4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4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4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5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5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5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5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3_5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1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1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1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1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1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2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2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2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2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2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3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3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3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3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3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4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4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4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4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4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5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5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5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5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4_5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1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1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1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1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1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2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2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2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2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2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3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3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3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3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3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4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4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4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4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4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5_1"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5_2"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5_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5_4"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_5_5_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2" hidden="1">{#N/A,#N/A,FALSE,"DCF";#N/A,#N/A,FALSE,"WACC";#N/A,#N/A,FALSE,"Sales_EBIT";#N/A,#N/A,FALSE,"Capex_Depreciation";#N/A,#N/A,FALSE,"WC";#N/A,#N/A,FALSE,"Interest";#N/A,#N/A,FALSE,"Assumptions"}</definedName>
    <definedName name="wrn.ALL2." hidden="1">{#N/A,#N/A,FALSE,"DCF";#N/A,#N/A,FALSE,"WACC";#N/A,#N/A,FALSE,"Sales_EBIT";#N/A,#N/A,FALSE,"Capex_Depreciation";#N/A,#N/A,FALSE,"WC";#N/A,#N/A,FALSE,"Interest";#N/A,#N/A,FALSE,"Assumptions"}</definedName>
    <definedName name="wrn.all3" hidden="1">{#N/A,#N/A,FALSE,"assumptions";#N/A,#N/A,FALSE,"v_projcy";#N/A,#N/A,FALSE,"tar_proj";#N/A,#N/A,FALSE,"contrib_annual";#N/A,#N/A,FALSE,"Proforma";#N/A,#N/A,FALSE,"purc_97";#N/A,#N/A,FALSE,"syn_purc_97";#N/A,#N/A,FALSE,"pool_97";#N/A,#N/A,FALSE,"syn_pool_97";#N/A,#N/A,FALSE,"pool1_FY2"}</definedName>
    <definedName name="wrn.AllDataPages." hidden="1">{#N/A,#N/A,FALSE,"Balance Sheet";#N/A,#N/A,FALSE,"Income Statement";#N/A,#N/A,FALSE,"Changes in Financial Position"}</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pt1." hidden="1">{#N/A,#N/A,FALSE,"Summary"}</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Back._.Page." hidden="1">{"Back Page",#N/A,FALSE,"Front and Back"}</definedName>
    <definedName name="wrn.Basic._.External." hidden="1">{"INCSTAT",#N/A,FALSE,"Income Stat";"Rev1",#N/A,FALSE,"IPO Revs";"OpEx1",#N/A,FALSE,"Op Expenses";"OpEx2",#N/A,FALSE,"Op Expenses";"Cash Flow",#N/A,FALSE,"Cash Flow";"Bal Sht",#N/A,FALSE,"Bal Sht"}</definedName>
    <definedName name="wrn.Basic._.Report." hidden="1">{#N/A,#N/A,FALSE,"New Depr Sch-150% DB";#N/A,#N/A,FALSE,"Cash Flows RLP";#N/A,#N/A,FALSE,"IRR";#N/A,#N/A,FALSE,"Proforma IS";#N/A,#N/A,FALSE,"Assumptions"}</definedName>
    <definedName name="wrn.BEL." hidden="1">{"IS",#N/A,FALSE,"IS";"RPTIS",#N/A,FALSE,"RPTIS";"STATS",#N/A,FALSE,"STATS";"CELL",#N/A,FALSE,"CELL";"BS",#N/A,FALSE,"BS"}</definedName>
    <definedName name="wrn.Bewegungsbilanz." hidden="1">{#N/A,#N/A,FALSE,"Mittelherkunft";#N/A,#N/A,FALSE,"Mittelverwendung"}</definedName>
    <definedName name="wrn.Bilanz." hidden="1">{#N/A,#N/A,FALSE,"Layout Aktiva";#N/A,#N/A,FALSE,"Layout Passiva"}</definedName>
    <definedName name="wrn.BP._.print." hidden="1">{#N/A,#N/A,FALSE,"BANNERS";#N/A,#N/A,FALSE,"Market";#N/A,#N/A,FALSE,"Tel Rev";#N/A,#N/A,FALSE,"Revenues IOL";#N/A,#N/A,FALSE,"Invest";#N/A,#N/A,FALSE,"Op Cost1";#N/A,#N/A,FALSE,"Op Cost2";#N/A,#N/A,FALSE,"Oth_&amp;_Tot_Revenues";#N/A,#N/A,FALSE,"Fin Mod";#N/A,#N/A,FALSE,"FinMod_RoW";#N/A,#N/A,FALSE,"P&amp;E Burocrat";#N/A,#N/A,FALSE,"cash flow"}</definedName>
    <definedName name="wrn.Brief." hidden="1">{#N/A,#N/A,TRUE,"Summary";#N/A,#N/A,TRUE,"Balance Sheet";#N/A,#N/A,TRUE,"P &amp; L";#N/A,#N/A,TRUE,"Fixed Assets";#N/A,#N/A,TRUE,"Cash Flows"}</definedName>
    <definedName name="wrn.bs.com." hidden="1">{#N/A,#N/A,FALSE,"Summary (A)";#N/A,#N/A,FALSE,"DCF (B-1)";#N/A,#N/A,FALSE,"WACC (B-2)";#N/A,#N/A,FALSE,"Web Comps (B-3)";#N/A,#N/A,FALSE,"Web Approach (C-1)";#N/A,#N/A,FALSE,"Recnt Trans (D)";#N/A,#N/A,FALSE,"Inc. Stmt Scen 1(E-1,E-2)";#N/A,#N/A,FALSE,"Fixed Assets (E-3)";#N/A,#N/A,FALSE,"Venture Cap (F)";#N/A,#N/A,FALSE,"Control (G)"}</definedName>
    <definedName name="wrn.Budget._.Book._.1998." hidden="1">{#N/A,#N/A,FALSE,"Cover sheet";#N/A,#N/A,FALSE,"Blank page";#N/A,#N/A,FALSE,"Contents";#N/A,#N/A,FALSE,"Blank page";#N/A,#N/A,FALSE,"Section 1";#N/A,#N/A,FALSE,"Blank page";#N/A,#N/A,FALSE,"Trading 98";#N/A,#N/A,FALSE,"ISK P&amp;L 98";#N/A,#N/A,FALSE,"Cash Flow 98";#N/A,#N/A,FALSE,"WCap ISK impact";#N/A,#N/A,FALSE,"Section 2";#N/A,#N/A,FALSE,"Blank page";#N/A,#N/A,FALSE,"Exchange profile";#N/A,#N/A,FALSE,"P&amp;L";#N/A,#N/A,FALSE,"Trading Account";#N/A,#N/A,FALSE,"Fixed Costs";#N/A,#N/A,FALSE,"M&amp;S Fixed Cost";#N/A,#N/A,FALSE,"AI VPC";#N/A,#N/A,FALSE,"Sundry";#N/A,#N/A,FALSE,"Product Report";#N/A,#N/A,FALSE,"Strategic HQ";#N/A,#N/A,FALSE,"Misc.";#N/A,#N/A,FALSE,"Cash Flow";#N/A,#N/A,FALSE,"Balance sheet";#N/A,#N/A,FALSE,"WCap";#N/A,#N/A,FALSE,"Capital";#N/A,#N/A,FALSE,"Blank page";#N/A,#N/A,FALSE,"Section 3";#N/A,#N/A,FALSE,"EU";#N/A,#N/A,FALSE,"NA";#N/A,#N/A,FALSE,"AP";#N/A,#N/A,FALSE,"LA";#N/A,#N/A,FALSE,"SU";#N/A,#N/A,FALSE,"Section 4";#N/A,#N/A,FALSE,"Cumulative Phased TA";#N/A,#N/A,FALSE,"Cumulative Phased ISK TA";#N/A,#N/A,FALSE,"Blank page";#N/A,#N/A,FALSE,"Cumulative Phased CF";#N/A,#N/A,FALSE,"Cumulative Phased Sundry";#N/A,#N/A,FALSE,"Cumulative Post ISK Phased WC";#N/A,#N/A,FALSE,"Blank page";#N/A,#N/A,FALSE,"Section 5";#N/A,#N/A,FALSE,"Discrete Phased TA";#N/A,#N/A,FALSE,"Discrete Phased ISK TA";#N/A,#N/A,FALSE,"Blank page";#N/A,#N/A,FALSE,"Discrete Phased CF";#N/A,#N/A,FALSE,"Discrete Phased Sundry"}</definedName>
    <definedName name="wrn.CapEx." hidden="1">{"CapEx1",#N/A,FALSE,"Capex";"CapEx2",#N/A,FALSE,"Capex";"CapEx4",#N/A,FALSE,"Capex";"CapEx6",#N/A,FALSE,"Capex";"CapEx8",#N/A,FALSE,"Capex";"CapEx10",#N/A,FALSE,"Capex";"CapEx12",#N/A,FALSE,"Capex";"CapEx14",#N/A,FALSE,"Capex";"CapEx16",#N/A,FALSE,"Capex";"CapEx18",#N/A,FALSE,"Capex"}</definedName>
    <definedName name="wrn.Cash._.Flow." hidden="1">{#N/A,#N/A,FALSE,"Layout Cash Flow"}</definedName>
    <definedName name="wrn.cg" hidden="1">{#N/A,#N/A,TRUE,"CIN-11";#N/A,#N/A,TRUE,"CIN-13";#N/A,#N/A,TRUE,"CIN-14";#N/A,#N/A,TRUE,"CIN-16";#N/A,#N/A,TRUE,"CIN-17";#N/A,#N/A,TRUE,"CIN-18";#N/A,#N/A,TRUE,"CIN Earnings To Fixed Charges";#N/A,#N/A,TRUE,"CIN Financial Ratios";#N/A,#N/A,TRUE,"CIN-IS";#N/A,#N/A,TRUE,"CIN-BS";#N/A,#N/A,TRUE,"CIN-CS";#N/A,#N/A,TRUE,"Invest In Unconsol Subs"}</definedName>
    <definedName name="wrn.cg_1" hidden="1">{#N/A,#N/A,TRUE,"CIN-11";#N/A,#N/A,TRUE,"CIN-13";#N/A,#N/A,TRUE,"CIN-14";#N/A,#N/A,TRUE,"CIN-16";#N/A,#N/A,TRUE,"CIN-17";#N/A,#N/A,TRUE,"CIN-18";#N/A,#N/A,TRUE,"CIN Earnings To Fixed Charges";#N/A,#N/A,TRUE,"CIN Financial Ratios";#N/A,#N/A,TRUE,"CIN-IS";#N/A,#N/A,TRUE,"CIN-BS";#N/A,#N/A,TRUE,"CIN-CS";#N/A,#N/A,TRUE,"Invest In Unconsol Subs"}</definedName>
    <definedName name="wrn.cg_2" hidden="1">{#N/A,#N/A,TRUE,"CIN-11";#N/A,#N/A,TRUE,"CIN-13";#N/A,#N/A,TRUE,"CIN-14";#N/A,#N/A,TRUE,"CIN-16";#N/A,#N/A,TRUE,"CIN-17";#N/A,#N/A,TRUE,"CIN-18";#N/A,#N/A,TRUE,"CIN Earnings To Fixed Charges";#N/A,#N/A,TRUE,"CIN Financial Ratios";#N/A,#N/A,TRUE,"CIN-IS";#N/A,#N/A,TRUE,"CIN-BS";#N/A,#N/A,TRUE,"CIN-CS";#N/A,#N/A,TRUE,"Invest In Unconsol Subs"}</definedName>
    <definedName name="wrn.cg_3" hidden="1">{#N/A,#N/A,TRUE,"CIN-11";#N/A,#N/A,TRUE,"CIN-13";#N/A,#N/A,TRUE,"CIN-14";#N/A,#N/A,TRUE,"CIN-16";#N/A,#N/A,TRUE,"CIN-17";#N/A,#N/A,TRUE,"CIN-18";#N/A,#N/A,TRUE,"CIN Earnings To Fixed Charges";#N/A,#N/A,TRUE,"CIN Financial Ratios";#N/A,#N/A,TRUE,"CIN-IS";#N/A,#N/A,TRUE,"CIN-BS";#N/A,#N/A,TRUE,"CIN-CS";#N/A,#N/A,TRUE,"Invest In Unconsol Subs"}</definedName>
    <definedName name="wrn.cg_4" hidden="1">{#N/A,#N/A,TRUE,"CIN-11";#N/A,#N/A,TRUE,"CIN-13";#N/A,#N/A,TRUE,"CIN-14";#N/A,#N/A,TRUE,"CIN-16";#N/A,#N/A,TRUE,"CIN-17";#N/A,#N/A,TRUE,"CIN-18";#N/A,#N/A,TRUE,"CIN Earnings To Fixed Charges";#N/A,#N/A,TRUE,"CIN Financial Ratios";#N/A,#N/A,TRUE,"CIN-IS";#N/A,#N/A,TRUE,"CIN-BS";#N/A,#N/A,TRUE,"CIN-CS";#N/A,#N/A,TRUE,"Invest In Unconsol Subs"}</definedName>
    <definedName name="wrn.cg_5" hidden="1">{#N/A,#N/A,TRUE,"CIN-11";#N/A,#N/A,TRUE,"CIN-13";#N/A,#N/A,TRUE,"CIN-14";#N/A,#N/A,TRUE,"CIN-16";#N/A,#N/A,TRUE,"CIN-17";#N/A,#N/A,TRUE,"CIN-18";#N/A,#N/A,TRUE,"CIN Earnings To Fixed Charges";#N/A,#N/A,TRUE,"CIN Financial Ratios";#N/A,#N/A,TRUE,"CIN-IS";#N/A,#N/A,TRUE,"CIN-BS";#N/A,#N/A,TRUE,"CIN-CS";#N/A,#N/A,TRUE,"Invest In Unconsol Subs"}</definedName>
    <definedName name="wrn.CGE" hidden="1">{#N/A,#N/A,TRUE,"CIN-11";#N/A,#N/A,TRUE,"CIN-13";#N/A,#N/A,TRUE,"CIN-14";#N/A,#N/A,TRUE,"CIN-16";#N/A,#N/A,TRUE,"CIN-17";#N/A,#N/A,TRUE,"CIN-18";#N/A,#N/A,TRUE,"CIN Earnings To Fixed Charges";#N/A,#N/A,TRUE,"CIN Financial Ratios";#N/A,#N/A,TRUE,"CIN-IS";#N/A,#N/A,TRUE,"CIN-BS";#N/A,#N/A,TRUE,"CIN-CS";#N/A,#N/A,TRUE,"Invest In Unconsol Subs"}</definedName>
    <definedName name="wrn.CGE_1" hidden="1">{#N/A,#N/A,TRUE,"CIN-11";#N/A,#N/A,TRUE,"CIN-13";#N/A,#N/A,TRUE,"CIN-14";#N/A,#N/A,TRUE,"CIN-16";#N/A,#N/A,TRUE,"CIN-17";#N/A,#N/A,TRUE,"CIN-18";#N/A,#N/A,TRUE,"CIN Earnings To Fixed Charges";#N/A,#N/A,TRUE,"CIN Financial Ratios";#N/A,#N/A,TRUE,"CIN-IS";#N/A,#N/A,TRUE,"CIN-BS";#N/A,#N/A,TRUE,"CIN-CS";#N/A,#N/A,TRUE,"Invest In Unconsol Subs"}</definedName>
    <definedName name="wrn.CGE_2" hidden="1">{#N/A,#N/A,TRUE,"CIN-11";#N/A,#N/A,TRUE,"CIN-13";#N/A,#N/A,TRUE,"CIN-14";#N/A,#N/A,TRUE,"CIN-16";#N/A,#N/A,TRUE,"CIN-17";#N/A,#N/A,TRUE,"CIN-18";#N/A,#N/A,TRUE,"CIN Earnings To Fixed Charges";#N/A,#N/A,TRUE,"CIN Financial Ratios";#N/A,#N/A,TRUE,"CIN-IS";#N/A,#N/A,TRUE,"CIN-BS";#N/A,#N/A,TRUE,"CIN-CS";#N/A,#N/A,TRUE,"Invest In Unconsol Subs"}</definedName>
    <definedName name="wrn.CGE_3" hidden="1">{#N/A,#N/A,TRUE,"CIN-11";#N/A,#N/A,TRUE,"CIN-13";#N/A,#N/A,TRUE,"CIN-14";#N/A,#N/A,TRUE,"CIN-16";#N/A,#N/A,TRUE,"CIN-17";#N/A,#N/A,TRUE,"CIN-18";#N/A,#N/A,TRUE,"CIN Earnings To Fixed Charges";#N/A,#N/A,TRUE,"CIN Financial Ratios";#N/A,#N/A,TRUE,"CIN-IS";#N/A,#N/A,TRUE,"CIN-BS";#N/A,#N/A,TRUE,"CIN-CS";#N/A,#N/A,TRUE,"Invest In Unconsol Subs"}</definedName>
    <definedName name="wrn.CGE_4" hidden="1">{#N/A,#N/A,TRUE,"CIN-11";#N/A,#N/A,TRUE,"CIN-13";#N/A,#N/A,TRUE,"CIN-14";#N/A,#N/A,TRUE,"CIN-16";#N/A,#N/A,TRUE,"CIN-17";#N/A,#N/A,TRUE,"CIN-18";#N/A,#N/A,TRUE,"CIN Earnings To Fixed Charges";#N/A,#N/A,TRUE,"CIN Financial Ratios";#N/A,#N/A,TRUE,"CIN-IS";#N/A,#N/A,TRUE,"CIN-BS";#N/A,#N/A,TRUE,"CIN-CS";#N/A,#N/A,TRUE,"Invest In Unconsol Subs"}</definedName>
    <definedName name="wrn.CGE_5" hidden="1">{#N/A,#N/A,TRUE,"CIN-11";#N/A,#N/A,TRUE,"CIN-13";#N/A,#N/A,TRUE,"CIN-14";#N/A,#N/A,TRUE,"CIN-16";#N/A,#N/A,TRUE,"CIN-17";#N/A,#N/A,TRUE,"CIN-18";#N/A,#N/A,TRUE,"CIN Earnings To Fixed Charges";#N/A,#N/A,TRUE,"CIN Financial Ratios";#N/A,#N/A,TRUE,"CIN-IS";#N/A,#N/A,TRUE,"CIN-BS";#N/A,#N/A,TRUE,"CIN-CS";#N/A,#N/A,TRUE,"Invest In Unconsol Subs"}</definedName>
    <definedName name="wrn.ci" hidden="1">{#N/A,#N/A,TRUE,"CIN-11";#N/A,#N/A,TRUE,"CIN-13";#N/A,#N/A,TRUE,"CIN-14";#N/A,#N/A,TRUE,"CIN-16";#N/A,#N/A,TRUE,"CIN-17";#N/A,#N/A,TRUE,"CIN-18";#N/A,#N/A,TRUE,"CIN Earnings To Fixed Charges";#N/A,#N/A,TRUE,"CIN Financial Ratios";#N/A,#N/A,TRUE,"CIN-IS";#N/A,#N/A,TRUE,"CIN-BS";#N/A,#N/A,TRUE,"CIN-CS";#N/A,#N/A,TRUE,"Invest In Unconsol Subs"}</definedName>
    <definedName name="wrn.ci_1" hidden="1">{#N/A,#N/A,TRUE,"CIN-11";#N/A,#N/A,TRUE,"CIN-13";#N/A,#N/A,TRUE,"CIN-14";#N/A,#N/A,TRUE,"CIN-16";#N/A,#N/A,TRUE,"CIN-17";#N/A,#N/A,TRUE,"CIN-18";#N/A,#N/A,TRUE,"CIN Earnings To Fixed Charges";#N/A,#N/A,TRUE,"CIN Financial Ratios";#N/A,#N/A,TRUE,"CIN-IS";#N/A,#N/A,TRUE,"CIN-BS";#N/A,#N/A,TRUE,"CIN-CS";#N/A,#N/A,TRUE,"Invest In Unconsol Subs"}</definedName>
    <definedName name="wrn.ci_2" hidden="1">{#N/A,#N/A,TRUE,"CIN-11";#N/A,#N/A,TRUE,"CIN-13";#N/A,#N/A,TRUE,"CIN-14";#N/A,#N/A,TRUE,"CIN-16";#N/A,#N/A,TRUE,"CIN-17";#N/A,#N/A,TRUE,"CIN-18";#N/A,#N/A,TRUE,"CIN Earnings To Fixed Charges";#N/A,#N/A,TRUE,"CIN Financial Ratios";#N/A,#N/A,TRUE,"CIN-IS";#N/A,#N/A,TRUE,"CIN-BS";#N/A,#N/A,TRUE,"CIN-CS";#N/A,#N/A,TRUE,"Invest In Unconsol Subs"}</definedName>
    <definedName name="wrn.ci_3" hidden="1">{#N/A,#N/A,TRUE,"CIN-11";#N/A,#N/A,TRUE,"CIN-13";#N/A,#N/A,TRUE,"CIN-14";#N/A,#N/A,TRUE,"CIN-16";#N/A,#N/A,TRUE,"CIN-17";#N/A,#N/A,TRUE,"CIN-18";#N/A,#N/A,TRUE,"CIN Earnings To Fixed Charges";#N/A,#N/A,TRUE,"CIN Financial Ratios";#N/A,#N/A,TRUE,"CIN-IS";#N/A,#N/A,TRUE,"CIN-BS";#N/A,#N/A,TRUE,"CIN-CS";#N/A,#N/A,TRUE,"Invest In Unconsol Subs"}</definedName>
    <definedName name="wrn.ci_4" hidden="1">{#N/A,#N/A,TRUE,"CIN-11";#N/A,#N/A,TRUE,"CIN-13";#N/A,#N/A,TRUE,"CIN-14";#N/A,#N/A,TRUE,"CIN-16";#N/A,#N/A,TRUE,"CIN-17";#N/A,#N/A,TRUE,"CIN-18";#N/A,#N/A,TRUE,"CIN Earnings To Fixed Charges";#N/A,#N/A,TRUE,"CIN Financial Ratios";#N/A,#N/A,TRUE,"CIN-IS";#N/A,#N/A,TRUE,"CIN-BS";#N/A,#N/A,TRUE,"CIN-CS";#N/A,#N/A,TRUE,"Invest In Unconsol Subs"}</definedName>
    <definedName name="wrn.ci_5" hidden="1">{#N/A,#N/A,TRUE,"CIN-11";#N/A,#N/A,TRUE,"CIN-13";#N/A,#N/A,TRUE,"CIN-14";#N/A,#N/A,TRUE,"CIN-16";#N/A,#N/A,TRUE,"CIN-17";#N/A,#N/A,TRUE,"CIN-18";#N/A,#N/A,TRUE,"CIN Earnings To Fixed Charges";#N/A,#N/A,TRUE,"CIN Financial Ratios";#N/A,#N/A,TRUE,"CIN-IS";#N/A,#N/A,TRUE,"CIN-BS";#N/A,#N/A,TRUE,"CIN-CS";#N/A,#N/A,TRUE,"Invest In Unconsol Subs"}</definedName>
    <definedName name="wrn.CIN." hidden="1">{#N/A,#N/A,TRUE,"CIN-11";#N/A,#N/A,TRUE,"CIN-13";#N/A,#N/A,TRUE,"CIN-14";#N/A,#N/A,TRUE,"CIN-16";#N/A,#N/A,TRUE,"CIN-17";#N/A,#N/A,TRUE,"CIN-18";#N/A,#N/A,TRUE,"CIN Earnings To Fixed Charges";#N/A,#N/A,TRUE,"CIN Financial Ratios";#N/A,#N/A,TRUE,"CIN-IS";#N/A,#N/A,TRUE,"CIN-BS";#N/A,#N/A,TRUE,"CIN-CS";#N/A,#N/A,TRUE,"Invest In Unconsol Subs"}</definedName>
    <definedName name="wrn.CIN._1" hidden="1">{#N/A,#N/A,TRUE,"CIN-11";#N/A,#N/A,TRUE,"CIN-13";#N/A,#N/A,TRUE,"CIN-14";#N/A,#N/A,TRUE,"CIN-16";#N/A,#N/A,TRUE,"CIN-17";#N/A,#N/A,TRUE,"CIN-18";#N/A,#N/A,TRUE,"CIN Earnings To Fixed Charges";#N/A,#N/A,TRUE,"CIN Financial Ratios";#N/A,#N/A,TRUE,"CIN-IS";#N/A,#N/A,TRUE,"CIN-BS";#N/A,#N/A,TRUE,"CIN-CS";#N/A,#N/A,TRUE,"Invest In Unconsol Subs"}</definedName>
    <definedName name="wrn.CIN._2" hidden="1">{#N/A,#N/A,TRUE,"CIN-11";#N/A,#N/A,TRUE,"CIN-13";#N/A,#N/A,TRUE,"CIN-14";#N/A,#N/A,TRUE,"CIN-16";#N/A,#N/A,TRUE,"CIN-17";#N/A,#N/A,TRUE,"CIN-18";#N/A,#N/A,TRUE,"CIN Earnings To Fixed Charges";#N/A,#N/A,TRUE,"CIN Financial Ratios";#N/A,#N/A,TRUE,"CIN-IS";#N/A,#N/A,TRUE,"CIN-BS";#N/A,#N/A,TRUE,"CIN-CS";#N/A,#N/A,TRUE,"Invest In Unconsol Subs"}</definedName>
    <definedName name="wrn.CIN._3" hidden="1">{#N/A,#N/A,TRUE,"CIN-11";#N/A,#N/A,TRUE,"CIN-13";#N/A,#N/A,TRUE,"CIN-14";#N/A,#N/A,TRUE,"CIN-16";#N/A,#N/A,TRUE,"CIN-17";#N/A,#N/A,TRUE,"CIN-18";#N/A,#N/A,TRUE,"CIN Earnings To Fixed Charges";#N/A,#N/A,TRUE,"CIN Financial Ratios";#N/A,#N/A,TRUE,"CIN-IS";#N/A,#N/A,TRUE,"CIN-BS";#N/A,#N/A,TRUE,"CIN-CS";#N/A,#N/A,TRUE,"Invest In Unconsol Subs"}</definedName>
    <definedName name="wrn.CIN._4" hidden="1">{#N/A,#N/A,TRUE,"CIN-11";#N/A,#N/A,TRUE,"CIN-13";#N/A,#N/A,TRUE,"CIN-14";#N/A,#N/A,TRUE,"CIN-16";#N/A,#N/A,TRUE,"CIN-17";#N/A,#N/A,TRUE,"CIN-18";#N/A,#N/A,TRUE,"CIN Earnings To Fixed Charges";#N/A,#N/A,TRUE,"CIN Financial Ratios";#N/A,#N/A,TRUE,"CIN-IS";#N/A,#N/A,TRUE,"CIN-BS";#N/A,#N/A,TRUE,"CIN-CS";#N/A,#N/A,TRUE,"Invest In Unconsol Subs"}</definedName>
    <definedName name="wrn.CIN._5" hidden="1">{#N/A,#N/A,TRUE,"CIN-11";#N/A,#N/A,TRUE,"CIN-13";#N/A,#N/A,TRUE,"CIN-14";#N/A,#N/A,TRUE,"CIN-16";#N/A,#N/A,TRUE,"CIN-17";#N/A,#N/A,TRUE,"CIN-18";#N/A,#N/A,TRUE,"CIN Earnings To Fixed Charges";#N/A,#N/A,TRUE,"CIN Financial Ratios";#N/A,#N/A,TRUE,"CIN-IS";#N/A,#N/A,TRUE,"CIN-BS";#N/A,#N/A,TRUE,"CIN-CS";#N/A,#N/A,TRUE,"Invest In Unconsol Subs"}</definedName>
    <definedName name="wrn.client." hidden="1">{"multiple",#N/A,FALSE,"client";"margins",#N/A,FALSE,"client";"data",#N/A,FALSE,"client"}</definedName>
    <definedName name="wrn.Client._.report." hidden="1">{"Deal information sheet",#N/A,TRUE,"MBOco";"Projected P and L Accounts",#N/A,TRUE,"MBOco";"Projected Balance Sheet",#N/A,TRUE,"MBOco";"Projected Cash Flows",#N/A,TRUE,"MBOco"}</definedName>
    <definedName name="wrn.Client3." hidden="1">{"data",#N/A,FALSE,"client (3)";"margins",#N/A,FALSE,"client (3)";"multiple",#N/A,FALSE,"client (3)"}</definedName>
    <definedName name="wrn.client4." hidden="1">{"multiple",#N/A,FALSE,"client (4)";"margins",#N/A,FALSE,"client (4)";"data",#N/A,FALSE,"client (4)"}</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MBINED." hidden="1">{#N/A,#N/A,FALSE,"INPUTS";#N/A,#N/A,FALSE,"PROFORMA BSHEET";#N/A,#N/A,FALSE,"COMBINED";#N/A,#N/A,FALSE,"HIGH YIELD";#N/A,#N/A,FALSE,"COMB_GRAPHS"}</definedName>
    <definedName name="wrn.COMPCO." hidden="1">{"Page1",#N/A,FALSE,"CompCo";"Page2",#N/A,FALSE,"CompCo"}</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Report." hidden="1">{#N/A,#N/A,FALSE,"Assumptions";#N/A,#N/A,FALSE,"Proforma IS";#N/A,#N/A,FALSE,"Cash Flows RLP";#N/A,#N/A,FALSE,"IRR";#N/A,#N/A,FALSE,"New Depr Sch-150% DB";#N/A,#N/A,FALSE,"Comments"}</definedName>
    <definedName name="wrn.Complete._.Spreadsheet." hidden="1">{"Complete Spreadsheet",#N/A,FALSE,"BASIC"}</definedName>
    <definedName name="wrn.Complete.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tinous._.Page._.Numbers._.DCF."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st._.Plan._.Report." hidden="1">{"Summary",#N/A,TRUE,"Summary";"Cost Plan",#N/A,TRUE,"Cost Plan"}</definedName>
    <definedName name="wrn.Country._.consolidation." hidden="1">{#N/A,"Belgium",TRUE,"Country conso graphs";#N/A,"Netherlands",TRUE,"Country conso graphs";#N/A,"Germany",TRUE,"Country conso graphs";#N/A,"France",TRUE,"Country conso graphs";#N/A,"Sweden",TRUE,"Country conso graphs";#N/A,"Denmark",TRUE,"Country conso graphs";#N/A,"UK",TRUE,"Country conso graphs";#N/A,"Italy",TRUE,"Country conso graphs"}</definedName>
    <definedName name="wrn.Covenants." hidden="1">{"Page1",#N/A,FALSE,"Covenants";"Page2",#N/A,FALSE,"Covenants";"Page3",#N/A,FALSE,"Covenants"}</definedName>
    <definedName name="wrn.Cover." hidden="1">{"coverall",#N/A,FALSE,"Definitions";"cover1",#N/A,FALSE,"Definitions";"cover2",#N/A,FALSE,"Definitions";"cover3",#N/A,FALSE,"Definitions";"cover4",#N/A,FALSE,"Definitions";"cover5",#N/A,FALSE,"Definitions";"blank",#N/A,FALSE,"Definitions"}</definedName>
    <definedName name="wrn.Customer._.with._.Site._.Equipment." hidden="1">{"Customer with Site Equipment",#N/A,FALSE,"BASIC"}</definedName>
    <definedName name="wrn.Customer._.with._.Site._.Pricing." hidden="1">{"Customer with Site Pricing",#N/A,FALSE,"BASIC"}</definedName>
    <definedName name="wrn.datapak." hidden="1">{#N/A,#N/A,FALSE,"Status of Projects";#N/A,#N/A,FALSE,"CEA-TEC";#N/A,#N/A,FALSE,"U-Constr.";#N/A,#N/A,FALSE,"summary";#N/A,#N/A,FALSE,"PPP-3 yrs"}</definedName>
    <definedName name="wrn.DCF." hidden="1">{"DCF1",#N/A,FALSE,"SIERRA DCF";"MATRIX1",#N/A,FALSE,"SIERRA DCF"}</definedName>
    <definedName name="wrn.DCF._.Only." hidden="1">{#N/A,#N/A,FALSE,"DCF Summary";#N/A,#N/A,FALSE,"Casema";#N/A,#N/A,FALSE,"Casema NoTel";#N/A,#N/A,FALSE,"UK";#N/A,#N/A,FALSE,"RCF";#N/A,#N/A,FALSE,"Intercable CZ";#N/A,#N/A,FALSE,"Interkabel P"}</definedName>
    <definedName name="wrn.DCFEpervier."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d." hidden="1">{#N/A,#N/A,FALSE,"Sheet2"}</definedName>
    <definedName name="wrn.detail." hidden="1">{#N/A,#N/A,FALSE,"TOTAL SSS";#N/A,#N/A,FALSE,"SES Y93";#N/A,#N/A,FALSE,"SES AW FEE";#N/A,#N/A,FALSE,"DSP BK14";#N/A,#N/A,FALSE,"DSP BK14 AW FEE";#N/A,#N/A,FALSE,"DSP BLK 14 FPLOE";#N/A,#N/A,FALSE,"DSP BLK 14 FPLOE";#N/A,#N/A,FALSE,"S14 DESGN";#N/A,#N/A,FALSE,"DSP BLK 18";#N/A,#N/A,FALSE,"DSP BLK 18 AW FEE";#N/A,#N/A,FALSE,"DSP BL18 FFP";#N/A,#N/A,FALSE,"DSP BLK18 CPAF";#N/A,#N/A,FALSE,"DSP BLK 23";#N/A,#N/A,FALSE,"DSP BLK 23 AW FEE";#N/A,#N/A,FALSE,"DSP 23 TERM";#N/A,#N/A,FALSE,"H2O DAMAGE";#N/A,#N/A,FALSE,"DSP ENG";#N/A,#N/A,FALSE,"SBIR";#N/A,#N/A,FALSE,"SBIR STUDY";#N/A,#N/A,FALSE,"CTPP";#N/A,#N/A,FALSE,"CTPP AW FEE";#N/A,#N/A,FALSE,"JTAGS";#N/A,#N/A,FALSE,"TSD";#N/A,#N/A,FALSE,"TSDE";#N/A,#N/A,FALSE,"SRSU";#N/A,#N/A,FALSE,"SRSU Spares";#N/A,#N/A,FALSE,"TSS";#N/A,#N/A,FALSE,"LVI";#N/A,#N/A,FALSE,"GS14";#N/A,#N/A,FALSE,"GS14 CPFF";#N/A,#N/A,FALSE,"GCO";#N/A,#N/A,FALSE,"GCO";#N/A,#N/A,FALSE,"PUP";#N/A,#N/A,FALSE,"CENTRAL FP";#N/A,#N/A,FALSE,"CENTRAL CPFF";#N/A,#N/A,FALSE,"CENTRAL TERM";#N/A,#N/A,FALSE,"WAM";#N/A,#N/A,FALSE,"SPIRIT III";#N/A,#N/A,FALSE,"LLUM";#N/A,#N/A,FALSE,"Mixed Signal";#N/A,#N/A,FALSE,"HGCDTE";#N/A,#N/A,FALSE,"CO INV";#N/A,#N/A,FALSE,"MISC"}</definedName>
    <definedName name="wrn.Detailed._.P._.and._.L." hidden="1">{"P and L Detail Page 1",#N/A,FALSE,"Data";"P and L Detail Page 2",#N/A,FALSE,"Data"}</definedName>
    <definedName name="wrn.devdeal." hidden="1">{"top",#N/A,TRUE,"Detail";"next",#N/A,TRUE,"Detail";"then",#N/A,TRUE,"Detail";"and",#N/A,TRUE,"Detail";"inaddition",#N/A,TRUE,"Detail";"finally",#N/A,TRUE,"Detail"}</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Diebold._.1." hidden="1">{#N/A,#N/A,FALSE,"Allo SEC";#N/A,#N/A,FALSE,"Consid";#N/A,#N/A,FALSE,"BalSht";#N/A,#N/A,FALSE,"Customer List";#N/A,#N/A,FALSE,"WFIP";#N/A,#N/A,FALSE,"WC";#N/A,#N/A,FALSE,"FA_Dep";#N/A,#N/A,FALSE,"SUMMARY";#N/A,#N/A,FALSE,"Hardware";#N/A,#N/A,FALSE,"WRM";#N/A,#N/A,FALSE,"NWS";#N/A,#N/A,FALSE,"Embed. SW";#N/A,#N/A,FALSE,"WRM-IPRD";#N/A,#N/A,FALSE,"WinForm-IPRD";#N/A,#N/A,FALSE,"Sheet1"}</definedName>
    <definedName name="wrn.document." hidden="1">{"consolidated",#N/A,FALSE,"Sheet1";"cms",#N/A,FALSE,"Sheet1";"fse",#N/A,FALSE,"Sheet1"}</definedName>
    <definedName name="wrn.Draft." hidden="1">{"Draft",#N/A,FALSE,"Feb-96"}</definedName>
    <definedName name="wrn.Economic._.Value._.Added._.Analysis." hidden="1">{"EVA",#N/A,FALSE,"EVA";"WACC",#N/A,FALSE,"WACC"}</definedName>
    <definedName name="wrn.ela" hidden="1">{#N/A,#N/A,FALSE,"Cash Flows";#N/A,#N/A,FALSE,"Fixed Assets";#N/A,#N/A,FALSE,"Balance Sheet";#N/A,#N/A,FALSE,"P &amp; L"}</definedName>
    <definedName name="wrn.Elaborate." hidden="1">{#N/A,#N/A,FALSE,"Cash Flows";#N/A,#N/A,FALSE,"Fixed Assets";#N/A,#N/A,FALSE,"Balance Sheet";#N/A,#N/A,FALSE,"P &amp; L"}</definedName>
    <definedName name="wrn.Equipment._.List." hidden="1">{"Equipment List",#N/A,FALSE,"BASIC"}</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W." hidden="1">{#N/A,#N/A,FALSE,"EW"}</definedName>
    <definedName name="wrn.fc." hidden="1">{"letter",#N/A,FALSE,"Letter";"amort",#N/A,FALSE,"Amort"}</definedName>
    <definedName name="wrn.FCB." hidden="1">{"FCB_ALL",#N/A,FALSE,"FCB"}</definedName>
    <definedName name="wrn.fcb2" hidden="1">{"FCB_ALL",#N/A,FALSE,"FCB"}</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nal." hidden="1">{"Final",#N/A,FALSE,"Feb-96"}</definedName>
    <definedName name="wrn.Financial._.Output." hidden="1">{"P and L",#N/A,FALSE,"Financial Output";"Cashflow",#N/A,FALSE,"Financial Output";"Balance Sheet",#N/A,FALSE,"Financial Output"}</definedName>
    <definedName name="wrn.Finanzbedarfsrechnung." hidden="1">{#N/A,#N/A,FALSE,"Finanzbedarfsrechnung"}</definedName>
    <definedName name="wrn.FIVE._.YEAR._.PROJECTION." hidden="1">{"FIVEYEAR",#N/A,TRUE,"SUMMARY";"FIVEYEAR",#N/A,TRUE,"Ratios";"FIVEYEAR",#N/A,TRUE,"Revenue";"FIVEYEAR",#N/A,TRUE,"DETAIL";"FIVEYEAR",#N/A,TRUE,"Payroll"}</definedName>
    <definedName name="wrn.Five._.Year._.Record." hidden="1">{"Five Year Record",#N/A,FALSE,"Front and Back"}</definedName>
    <definedName name="wrn.FORECAST." hidden="1">{"STATS_SUMMARY",#N/A,FALSE,"STATS";"OP_STATS",#N/A,FALSE,"CONSOL";"2_CONS_BS",#N/A,FALSE,"CONSOL";"2_CONS_PL",#N/A,FALSE,"CONSOL";"2_CONS_CASH",#N/A,FALSE,"CONSOL";"2_CORP_BS",#N/A,FALSE,"CORP";"2_CORP_PL",#N/A,FALSE,"CORP";"2_CORP_CASH",#N/A,FALSE,"CORP";"2_CORP_ASSUMP",#N/A,FALSE,"CORP";"2_SMTEK_BS",#N/A,FALSE,"SMTEK";"2_SMTEK_PL",#N/A,FALSE,"SMTEK";"2_SMTEK_CASH",#N/A,FALSE,"SMTEK";"2_SMTEK_ASSUMP",#N/A,FALSE,"SMTEK";"2_JOLT_BS",#N/A,FALSE,"JOLT";"2_JOLT_PL",#N/A,FALSE,"JOLT";"2_JOLT_CASH",#N/A,FALSE,"JOLT";"2_JOLT_ASSUMP",#N/A,FALSE,"JOLT";"2_IRL_BS",#N/A,FALSE,"IRLAN";"2_IRL_PL",#N/A,FALSE,"IRLAN";"2_IRL_CASH",#N/A,FALSE,"IRLAN";"2_IRLAN_ASSUMP",#N/A,FALSE,"IRLAN";"2_DDL_BS",#N/A,FALSE,"DDL-E";"2_DDL_PL",#N/A,FALSE,"DDL-E";"2_DDL_CASH",#N/A,FALSE,"DDL-E";"2_DDL_ASSUMP",#N/A,FALSE,"DDL-E"}</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M1." hidden="1">{#N/A,#N/A,FALSE,"COMP"}</definedName>
    <definedName name="wrn.FORM1._1" hidden="1">{#N/A,#N/A,FALSE,"COMP"}</definedName>
    <definedName name="wrn.FORM1._2" hidden="1">{#N/A,#N/A,FALSE,"COMP"}</definedName>
    <definedName name="wrn.FORM1._3" hidden="1">{#N/A,#N/A,FALSE,"COMP"}</definedName>
    <definedName name="wrn.FORM1._4" hidden="1">{#N/A,#N/A,FALSE,"COMP"}</definedName>
    <definedName name="wrn.FORM1._5" hidden="1">{#N/A,#N/A,FALSE,"COMP"}</definedName>
    <definedName name="wrn.FOschedules." hidden="1">{"FOschedule1",#N/A,FALSE,"Sheet1";"FOschedule2",#N/A,FALSE,"Sheet1";"FOschedule3",#N/A,FALSE,"Sheet1"}</definedName>
    <definedName name="wrn.FREE." hidden="1">{#N/A,#N/A,FALSE,"FREE"}</definedName>
    <definedName name="wrn.Front._.Page." hidden="1">{"Front Page",#N/A,FALSE,"Front and Back"}</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ll._.Financials." hidden="1">{#N/A,#N/A,TRUE,"Financials";#N/A,#N/A,TRUE,"Operating Statistics";#N/A,#N/A,TRUE,"Capex &amp; Depreciation";#N/A,#N/A,TRUE,"Debt"}</definedName>
    <definedName name="wrn.Full._.Report." hidden="1">{#N/A,#N/A,TRUE,"Income Statement";#N/A,#N/A,TRUE,"Gas Assumptions";#N/A,#N/A,TRUE,"DCF";#N/A,#N/A,TRUE,"Depreciation Matrix";#N/A,#N/A,TRUE,"Matrix";#N/A,#N/A,TRUE,"Matrix_Perpetuity"}</definedName>
    <definedName name="wrn.Full._.view." hidden="1">{"Full view",#N/A,FALSE,"Market view";"Full view",#N/A,FALSE,"Market view"}</definedName>
    <definedName name="wrn.fuz_report." hidden="1">{"fuz_inc_a",#N/A,FALSE,"BKS";"fuz_inc_q",#N/A,FALSE,"BKS";"fuz_bal_a",#N/A,FALSE,"BKS";"fuz_cash_a",#N/A,FALSE,"BKS";"fuz_prod_a",#N/A,FALSE,"BKS";"fuz_div_a",#N/A,FALSE,"BKS";"fuz_div2_a",#N/A,FALSE,"BKS"}</definedName>
    <definedName name="wrn.FY._.2001._.By._.Qtr." hidden="1">{"FY01 Cons BS By Qtr",#N/A,FALSE,"CONSOL";"FY01 Cons PL by Qtr",#N/A,FALSE,"CONSOL";"FY01 Cons CF By Qtr",#N/A,FALSE,"CONSOL";"FY01 TO BS By Qtr",#N/A,FALSE,"1000 OAKS";"FY01 TO PL By Qtr",#N/A,FALSE,"1000 OAKS";"FY01 TO CF By Qtr",#N/A,FALSE,"1000 OAKS";"FY01 SD BS by Qtr",#N/A,FALSE,"SAN DIEGO";"FY01 SD PL By Qtr",#N/A,FALSE,"SAN DIEGO";"FY01 SD CF By Qtr",#N/A,FALSE,"SAN DIEGO";"FY01 FL BS by Qtr",#N/A,FALSE,"FT.LAUD.";"FY01 FL PL By Qtr",#N/A,FALSE,"FT.LAUD.";"FY01 FL CF By Qtr",#N/A,FALSE,"FT.LAUD.";"FY01 SMK Eur BS By Qtr",#N/A,FALSE,"SMK EUR";"FY01 SMK Eur PL By Qtr",#N/A,FALSE,"SMK EUR";"FY01 SMK Eur CF By Qtr",#N/A,FALSE,"SMK EUR";"FY01 Corp BS by Qtr",#N/A,FALSE,"CORP";"FY01 Corp PL By Qtr",#N/A,FALSE,"CORP";"FY01 Corp CF By Qtr",#N/A,FALSE,"CORP";"FY01 DDL Eur BS By Qtr",#N/A,FALSE,"DDL EUR";"FY01 DDL Eur PL By Qtr",#N/A,FALSE,"DDL EUR";"FY01 DDL Eur CF by Qtr",#N/A,FALSE,"DDL EUR";"FY01 Elims BS By Qtr",#N/A,FALSE,"ELIMS";"FY01 Elims PL By Qtr",#N/A,FALSE,"ELIMS"}</definedName>
    <definedName name="wrn.FY01_Fin_Stmts." hidden="1">{"FY01_Consol_Assets",#N/A,FALSE,"CONSOL";"FY01_Consol_Liabilities",#N/A,FALSE,"CONSOL";"FY01_Consol_Inc_Stmt",#N/A,FALSE,"CONSOL";"FY01_Consol_SOCF",#N/A,FALSE,"CONSOL";"FY01_TO_Assets",#N/A,FALSE,"1000 OAKS";"FY01_TO_Liabilities",#N/A,FALSE,"1000 OAKS";"FY01_TO_Inc_Stmt",#N/A,FALSE,"1000 OAKS";"FY01_TO_SOCF",#N/A,FALSE,"1000 OAKS";"FY01_SD_Assets",#N/A,FALSE,"SAN DIEGO";"FY01_SD_Liabilities",#N/A,FALSE,"SAN DIEGO";"FY01_SD_Inc_Stmt",#N/A,FALSE,"SAN DIEGO";"FY01_SD_SOCF",#N/A,FALSE,"SAN DIEGO";"FY01_FL_Assets",#N/A,FALSE,"FT.LAUD.";"FY01_FL_Liabilities",#N/A,FALSE,"FT.LAUD.";"FY01_FL_Inc_Stmt",#N/A,FALSE,"FT.LAUD.";"FY01_FL_SOCF",#N/A,FALSE,"FT.LAUD.";"FY01_Eur_Assets",#N/A,FALSE,"SMK EUR";"FY01_Eur_Liabilities",#N/A,FALSE,"SMK EUR";"FY01_Eur_Inc_Stmt",#N/A,FALSE,"SMK EUR";"FY01_Eur_SOCF",#N/A,FALSE,"SMK EUR";"FY01_Corp_Assets",#N/A,FALSE,"CORP";"FY01_Corp_Liabilities",#N/A,FALSE,"CORP";"FY01_Corp_Inc_Stmt",#N/A,FALSE,"CORP";"FY01_Corp_SOCF",#N/A,FALSE,"CORP";"FY01_DDL-E_Assets",#N/A,FALSE,"DDL EUR";"FY01_DDL-E_Liabilities",#N/A,FALSE,"DDL EUR";"FY01_DDL-E_Inc_Stmt",#N/A,FALSE,"DDL EUR";"FY01_DDL-E_SOCF",#N/A,FALSE,"DDL EUR"}</definedName>
    <definedName name="wrn.FY02_Fin_Stmts." hidden="1">{"FY02_Consol_Assets",#N/A,FALSE,"CONSOL";"FY02_Consol_Liabilities",#N/A,FALSE,"CONSOL";"FY02_Consol_Inc_Stmt",#N/A,FALSE,"CONSOL";"FY02_Consol_SOCF",#N/A,FALSE,"CONSOL";"FY02_TO_Assets",#N/A,FALSE,"1000 OAKS";"FY02_TO_Liabilities",#N/A,FALSE,"1000 OAKS";"FY02_TO_Inc_Stmt",#N/A,FALSE,"1000 OAKS";"FY02_TO_SOCF",#N/A,FALSE,"1000 OAKS";"FY02_SD_Assets",#N/A,FALSE,"SAN DIEGO";"FY02_SD_Liabilities",#N/A,FALSE,"SAN DIEGO";"FY02_SD_Inc_Stmt",#N/A,FALSE,"SAN DIEGO";"FY02_SD_SOCF",#N/A,FALSE,"SAN DIEGO";"FY02_FL_Assets",#N/A,FALSE,"FT.LAUD.";"FY02_FL_Liabilities",#N/A,FALSE,"FT.LAUD.";"FY02_FL_Inc_Stmt",#N/A,FALSE,"FT.LAUD.";"FY02_FL_SOCF",#N/A,FALSE,"FT.LAUD.";"FY02_Eur_Assets",#N/A,FALSE,"SMK EUR";"FY02_Eur_Liabilities",#N/A,FALSE,"SMK EUR";"FY02_Eur_Inc_Stmt",#N/A,FALSE,"SMK EUR";"FY02_Eur_SOCF",#N/A,FALSE,"SMK EUR";"FY02_Corp_Assets",#N/A,FALSE,"CORP";"FY02_Corp_Liabilities",#N/A,FALSE,"CORP";"FY02_Corp_Inc_Stmt",#N/A,FALSE,"CORP";"FY02_Corp_SOCF",#N/A,FALSE,"CORP";"FY02_DDL-E_Assets",#N/A,FALSE,"DDL EUR";"FY02_DDL-E_Liabilities",#N/A,FALSE,"DDL EUR";"FY02_DDL-E_Inc_Stmt",#N/A,FALSE,"DDL EUR";"FY02_DDL-E_SOCF",#N/A,FALSE,"DDL EUR"}</definedName>
    <definedName name="wrn.FY96sbp99" hidden="1">{#N/A,#N/A,FALSE,"FY97";#N/A,#N/A,FALSE,"FY98";#N/A,#N/A,FALSE,"FY99";#N/A,#N/A,FALSE,"FY00";#N/A,#N/A,FALSE,"FY01"}</definedName>
    <definedName name="wrn.FY97SBP." hidden="1">{#N/A,#N/A,FALSE,"FY97";#N/A,#N/A,FALSE,"FY98";#N/A,#N/A,FALSE,"FY99";#N/A,#N/A,FALSE,"FY00";#N/A,#N/A,FALSE,"FY01"}</definedName>
    <definedName name="wrn.FY97SBP2" hidden="1">{#N/A,#N/A,FALSE,"FY97";#N/A,#N/A,FALSE,"FY98";#N/A,#N/A,FALSE,"FY99";#N/A,#N/A,FALSE,"FY00";#N/A,#N/A,FALSE,"FY01"}</definedName>
    <definedName name="wrn.Geographic._.Trends." hidden="1">{"Geographic P1",#N/A,FALSE,"Division &amp; Geog"}</definedName>
    <definedName name="wrn.GRAPHS." hidden="1">{#N/A,#N/A,FALSE,"ACQ_GRAPHS";#N/A,#N/A,FALSE,"T_1 GRAPHS";#N/A,#N/A,FALSE,"T_2 GRAPHS";#N/A,#N/A,FALSE,"COMB_GRAPHS"}</definedName>
    <definedName name="wrn.GuV." hidden="1">{#N/A,#N/A,FALSE,"Layout GuV"}</definedName>
    <definedName name="wrn.icem." hidden="1">{#N/A,#N/A,FALSE,"Exb 2";#N/A,#N/A,FALSE,"Exb 3(a)";#N/A,#N/A,FALSE,"WACC";#N/A,#N/A,FALSE,"Exh 4(a)";#N/A,#N/A,FALSE,"Exh 4(b)";#N/A,#N/A,FALSE,"Exb 5(a)";#N/A,#N/A,FALSE,"Exb 5(b)"}</definedName>
    <definedName name="wrn.imprim."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wrn.income._.statement." hidden="1">{"income statement",#N/A,FALSE,"ATLAS-A"}</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tional." hidden="1">{"sweden",#N/A,FALSE,"Sweden";"germany",#N/A,FALSE,"Germany";"portugal",#N/A,FALSE,"Portugal";"belgium",#N/A,FALSE,"Belgium";"japan",#N/A,FALSE,"Japan ";"italy",#N/A,FALSE,"Italy";"spain",#N/A,FALSE,"Spain";"korea",#N/A,FALSE,"Korea"}</definedName>
    <definedName name="wrn.ipo." hidden="1">{"assumptions",#N/A,FALSE,"Scenario 1";"valuation",#N/A,FALSE,"Scenario 1"}</definedName>
    <definedName name="wrn.IPO._.Valuation." hidden="1">{"assumptions",#N/A,FALSE,"Scenario 1";"valuation",#N/A,FALSE,"Scenario 1"}</definedName>
    <definedName name="wrn.IPO._.Valuation._1" hidden="1">{"assumptions",#N/A,FALSE,"Scenario 1";"valuation",#N/A,FALSE,"Scenario 1"}</definedName>
    <definedName name="wrn.IPO._.Valuation._2" hidden="1">{"assumptions",#N/A,FALSE,"Scenario 1";"valuation",#N/A,FALSE,"Scenario 1"}</definedName>
    <definedName name="wrn.IPO._.Valuation._3" hidden="1">{"assumptions",#N/A,FALSE,"Scenario 1";"valuation",#N/A,FALSE,"Scenario 1"}</definedName>
    <definedName name="wrn.IPO._.Valuation._4" hidden="1">{"assumptions",#N/A,FALSE,"Scenario 1";"valuation",#N/A,FALSE,"Scenario 1"}</definedName>
    <definedName name="wrn.IPO._.Valuation._5" hidden="1">{"assumptions",#N/A,FALSE,"Scenario 1";"valuation",#N/A,FALSE,"Scenario 1"}</definedName>
    <definedName name="wrn.ipo._1" hidden="1">{"assumptions",#N/A,FALSE,"Scenario 1";"valuation",#N/A,FALSE,"Scenario 1"}</definedName>
    <definedName name="wrn.ipo._2" hidden="1">{"assumptions",#N/A,FALSE,"Scenario 1";"valuation",#N/A,FALSE,"Scenario 1"}</definedName>
    <definedName name="wrn.ipo._3" hidden="1">{"assumptions",#N/A,FALSE,"Scenario 1";"valuation",#N/A,FALSE,"Scenario 1"}</definedName>
    <definedName name="wrn.ipo._4" hidden="1">{"assumptions",#N/A,FALSE,"Scenario 1";"valuation",#N/A,FALSE,"Scenario 1"}</definedName>
    <definedName name="wrn.ipo._5" hidden="1">{"assumptions",#N/A,FALSE,"Scenario 1";"valuation",#N/A,FALSE,"Scenario 1"}</definedName>
    <definedName name="wrn.ISBL." hidden="1">{#N/A,#N/A,FALSE,"ISBL"}</definedName>
    <definedName name="wrn.KBE_96." hidden="1">{#N/A,#N/A,FALSE,"ALLGEMEINER TEIL";#N/A,#N/A,FALSE,"AKTIVA";#N/A,#N/A,FALSE,"PASSIVA";#N/A,#N/A,FALSE,"GUV-RECHNUNG"}</definedName>
    <definedName name="wrn.Komplettausdruck." hidden="1">{#N/A,#N/A,FALSE,"Layout Aktiva";#N/A,#N/A,FALSE,"Layout Passiva";#N/A,#N/A,FALSE,"Layout GuV";#N/A,#N/A,FALSE,"Layout Cash Flow";#N/A,#N/A,FALSE,"Mittelherkunft";#N/A,#N/A,FALSE,"Mittelverwendung";#N/A,#N/A,FALSE,"Finanzbedarfsrechnung"}</definedName>
    <definedName name="wrn.Line._.Efficiency." hidden="1">{"Line Efficiency",#N/A,FALSE,"Benchmarking"}</definedName>
    <definedName name="wrn.Market._.Values." hidden="1">{#N/A,#N/A,TRUE,"10 Yr Hold";#N/A,#N/A,TRUE,"7 Yr Hold";#N/A,#N/A,TRUE,"5 Yr Hold";#N/A,#N/A,TRUE,"3 Yr Hold"}</definedName>
    <definedName name="wrn.MARKF98FULL." hidden="1">{#N/A,#N/A,TRUE,"CONTENTS";#N/A,#N/A,TRUE,"M2";#N/A,#N/A,TRUE,"M2a";#N/A,#N/A,TRUE,"M2b";#N/A,#N/A,TRUE,"M3";#N/A,#N/A,TRUE,"M3a";#N/A,#N/A,TRUE,"M4-H";#N/A,#N/A,TRUE,"M4-P";#N/A,#N/A,TRUE,"M4a";#N/A,#N/A,TRUE,"M4b";#N/A,#N/A,TRUE,"M4c";#N/A,#N/A,TRUE,"M5";#N/A,#N/A,TRUE,"M6";#N/A,#N/A,TRUE,"M7";#N/A,#N/A,TRUE,"M8";#N/A,#N/A,TRUE,"M9";#N/A,#N/A,TRUE,"M10";#N/A,#N/A,TRUE,"M11";#N/A,#N/A,TRUE,"M13";#N/A,#N/A,TRUE,"M14";#N/A,#N/A,TRUE,"M15";#N/A,#N/A,TRUE,"K1"}</definedName>
    <definedName name="wrn.MARKF98H."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wrn.MARKF98P." hidden="1">{#N/A,#N/A,TRUE,"CONTENTS";#N/A,#N/A,TRUE,"M2";#N/A,#N/A,TRUE,"M2a";#N/A,#N/A,TRUE,"M2b";#N/A,#N/A,TRUE,"M3";#N/A,#N/A,TRUE,"M3a";#N/A,#N/A,TRUE,"M4-P";#N/A,#N/A,TRUE,"M5";#N/A,#N/A,TRUE,"M6";#N/A,#N/A,TRUE,"M7";#N/A,#N/A,TRUE,"M8";#N/A,#N/A,TRUE,"M9";#N/A,#N/A,TRUE,"M10";#N/A,#N/A,TRUE,"M11";#N/A,#N/A,TRUE,"M13";#N/A,#N/A,TRUE,"M14";#N/A,#N/A,TRUE,"M15";#N/A,#N/A,TRUE,"K1"}</definedName>
    <definedName name="wrn.Massimo."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wrn.MDS1." localSheetId="2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onthly._.Financials."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_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_2"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_3"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_4"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_5"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rep." hidden="1">{#N/A,#N/A,FALSE,"Front header sheet";#N/A,#N/A,FALSE,"Performance Summary";#N/A,#N/A,FALSE,"Price Performance UK";#N/A,#N/A,FALSE,"Price Perfomance US";#N/A,#N/A,FALSE,"Prod'n Performance UK";#N/A,#N/A,FALSE,"Prod'n Performance US";#N/A,#N/A,FALSE,"2.Fixed cost performance";#N/A,#N/A,FALSE,"3.Stocks &amp; Creditors perf";#N/A,#N/A,FALSE,"4.Capital Sanctions";#N/A,#N/A,FALSE,"5.Non financial performance "}</definedName>
    <definedName name="wrn.MPP." hidden="1">{#N/A,#N/A,FALSE,"Mukesh Shivdasani"}</definedName>
    <definedName name="wrn.MPP._1" hidden="1">{#N/A,#N/A,FALSE,"Mukesh Shivdasani"}</definedName>
    <definedName name="wrn.MPP._2" hidden="1">{#N/A,#N/A,FALSE,"Mukesh Shivdasani"}</definedName>
    <definedName name="wrn.MPP._3" hidden="1">{#N/A,#N/A,FALSE,"Mukesh Shivdasani"}</definedName>
    <definedName name="wrn.MPP._4" hidden="1">{#N/A,#N/A,FALSE,"Mukesh Shivdasani"}</definedName>
    <definedName name="wrn.MPP._5" hidden="1">{#N/A,#N/A,FALSE,"Mukesh Shivdasani"}</definedName>
    <definedName name="wrn.msc._.sw._.feat._.summary." hidden="1">{"msc sw feat summary",#N/A,FALSE,"MSC SW Features v. 1.1."}</definedName>
    <definedName name="WRN.NDS2." localSheetId="2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NDS2."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NDS2."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NDS2.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NDS2.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nema." hidden="1">{#N/A,#N/A,FALSE,"Distbn Ntwrk";#N/A,#N/A,FALSE,"Workforce";#N/A,#N/A,FALSE,"cur-prod1";#N/A,#N/A,FALSE,"in-proc"}</definedName>
    <definedName name="wrn.New._.Forms." hidden="1">{#N/A,#N/A,FALSE,"ATF TYPA";#N/A,#N/A,FALSE,"COMP SS100";#N/A,#N/A,FALSE,"D HDX 40N";#N/A,#N/A,FALSE,"DXL 40";#N/A,#N/A,FALSE,"D XL 50 EXP";#N/A,#N/A,FALSE,"D SP 15W40";#N/A,#N/A,FALSE,"ECO 40N";#N/A,#N/A,FALSE,"GO 140GL-1";#N/A,#N/A,FALSE,"EPHD GO 68";#N/A,#N/A,FALSE,"EPHD GO460";#N/A,#N/A,FALSE,"HYD AW 32";#N/A,#N/A,FALSE,"HYD AW46";#N/A,#N/A,FALSE,"HYD ZP46";#N/A,#N/A,FALSE,"HYD ZP68";#N/A,#N/A,FALSE,"MO 40N";#N/A,#N/A,FALSE,"MO 50";#N/A,#N/A,FALSE,"MT SUP.20W50N";#N/A,#N/A,FALSE,"MT S 20W50(Tender)N";#N/A,#N/A,FALSE,"MULTIGRADE MO";#N/A,#N/A,FALSE,"PERF OIL 78";#N/A,#N/A,FALSE,"PR.MO.40";#N/A,#N/A,FALSE,"P.GEAR GL-3";#N/A,#N/A,FALSE,"SD OIL 40N";#N/A,#N/A,FALSE,"SD OIL HT 40N";#N/A,#N/A,FALSE,"S.D.ADV15W40";#N/A,#N/A,FALSE,"S.D.ADV 15W40 JOR";#N/A,#N/A,FALSE,"S GEAR 90 GL4N";#N/A,#N/A,FALSE,"S GEAR ZX 90";#N/A,#N/A,FALSE,"S GEAR ZX 140";#N/A,#N/A,FALSE,"S GEAR ZX 140N";#N/A,#N/A,FALSE,"SMO 20W50N";#N/A,#N/A,FALSE,"S OB TCW3";#N/A,#N/A,FALSE,"THERM Z32";#N/A,#N/A,FALSE,"T OIL 68";#N/A,#N/A,FALSE,"U UHP 15W40N";#N/A,#N/A,FALSE,"L ATF TX-2"}</definedName>
    <definedName name="wrn.ntfinance." hidden="1">{"Rate",#N/A,TRUE,"SUMMARY";"Ratios",#N/A,TRUE,"Ratios";"BUDGETREVENUE",#N/A,TRUE,"Revenue";"TOTALS",#N/A,TRUE,"DETAIL"}</definedName>
    <definedName name="wrn.OCS._.REPORT." hidden="1">{#N/A,#N/A,FALSE,"Cover";#N/A,#N/A,FALSE,"Index";#N/A,#N/A,FALSE,"Spec";#N/A,#N/A,FALSE,"Breakdown";#N/A,#N/A,FALSE,"Cost Plan"}</definedName>
    <definedName name="wrn.one" hidden="1">{"page1",#N/A,FALSE,"A";"page2",#N/A,FALSE,"A"}</definedName>
    <definedName name="wrn.one." hidden="1">{"page1",#N/A,FALSE,"A";"page2",#N/A,FALSE,"A"}</definedName>
    <definedName name="wrn.One._.Pager._.plus._.Technicals." hidden="1">{#N/A,#N/A,FALSE,"One Pager";#N/A,#N/A,FALSE,"Technical"}</definedName>
    <definedName name="wrn.one._1" hidden="1">{"page1",#N/A,FALSE,"A";"page2",#N/A,FALSE,"A"}</definedName>
    <definedName name="wrn.one._2" hidden="1">{"page1",#N/A,FALSE,"A";"page2",#N/A,FALSE,"A"}</definedName>
    <definedName name="wrn.one._3" hidden="1">{"page1",#N/A,FALSE,"A";"page2",#N/A,FALSE,"A"}</definedName>
    <definedName name="wrn.one._4" hidden="1">{"page1",#N/A,FALSE,"A";"page2",#N/A,FALSE,"A"}</definedName>
    <definedName name="wrn.one._5" hidden="1">{"page1",#N/A,FALSE,"A";"page2",#N/A,FALSE,"A"}</definedName>
    <definedName name="wrn.one_1" hidden="1">{"page1",#N/A,FALSE,"A";"page2",#N/A,FALSE,"A"}</definedName>
    <definedName name="wrn.one_2" hidden="1">{"page1",#N/A,FALSE,"A";"page2",#N/A,FALSE,"A"}</definedName>
    <definedName name="wrn.one_3" hidden="1">{"page1",#N/A,FALSE,"A";"page2",#N/A,FALSE,"A"}</definedName>
    <definedName name="wrn.one_4" hidden="1">{"page1",#N/A,FALSE,"A";"page2",#N/A,FALSE,"A"}</definedName>
    <definedName name="wrn.one_5" hidden="1">{"page1",#N/A,FALSE,"A";"page2",#N/A,FALSE,"A"}</definedName>
    <definedName name="wrn.OSBL." hidden="1">{#N/A,#N/A,FALSE,"OSBL"}</definedName>
    <definedName name="wrn.Outlook._.Report." hidden="1">{#N/A,#N/A,FALSE,"Outlook for Month ";#N/A,#N/A,FALSE,"Risk for Month ";#N/A,#N/A,FALSE,"Upside for Month"}</definedName>
    <definedName name="wrn.Output."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Page1.Structure." hidden="1">{"Page1.Structure",#N/A,FALSE,"Main"}</definedName>
    <definedName name="wrn.Page2.Equity.Goodwill." hidden="1">{"Page2.Equity",#N/A,FALSE,"Main"}</definedName>
    <definedName name="wrn.Page2.Profit.Loss." hidden="1">{"Page2.Profit and Loss",#N/A,FALSE,"Main Model"}</definedName>
    <definedName name="wrn.Page3.Balance.Sheet." hidden="1">{"Page3.Balance Sheet",#N/A,FALSE,"Main Model"}</definedName>
    <definedName name="wrn.Page3.Profit.Cashflow." hidden="1">{"Page3.Profit.Cashflow",#N/A,FALSE,"Main"}</definedName>
    <definedName name="wrn.Page4.Balance.Sheet." hidden="1">{"Page4.Balance.Sheet",#N/A,FALSE,"Main"}</definedName>
    <definedName name="wrn.Page4.Covenants." hidden="1">{"Page4.Covenants",#N/A,FALSE,"Main Model"}</definedName>
    <definedName name="wrn.Page5.Covenants." hidden="1">{"Page5.Covenants",#N/A,FALSE,"Main"}</definedName>
    <definedName name="wrn.Page5.Covenants._.2." hidden="1">{"Page5.Covenants 2",#N/A,FALSE,"Main Model"}</definedName>
    <definedName name="wrn.Page6.Assumptions1." hidden="1">{"Page6.Assumptions1",#N/A,FALSE,"Main"}</definedName>
    <definedName name="wrn.Page6.Assuptions1." hidden="1">{"Page6.Assumptions",#N/A,FALSE,"Main Model"}</definedName>
    <definedName name="wrn.Page7.Assumptions2." hidden="1">{"Page7.Assumptions2",#N/A,FALSE,"Main"}</definedName>
    <definedName name="wrn.Page8.Yields." hidden="1">{"Page8.Yields",#N/A,FALSE,"Main"}</definedName>
    <definedName name="wrn.pg1." hidden="1">{#N/A,#N/A,FALSE,"1"}</definedName>
    <definedName name="wrn.pg10." hidden="1">{#N/A,#N/A,FALSE,"10"}</definedName>
    <definedName name="wrn.pg11." hidden="1">{#N/A,#N/A,FALSE,"11"}</definedName>
    <definedName name="wrn.pg12." hidden="1">{#N/A,#N/A,FALSE,"12"}</definedName>
    <definedName name="wrn.pg13." hidden="1">{#N/A,#N/A,FALSE,"13"}</definedName>
    <definedName name="wrn.pg14." hidden="1">{#N/A,#N/A,FALSE,"14"}</definedName>
    <definedName name="wrn.pg15." hidden="1">{#N/A,#N/A,FALSE,"15"}</definedName>
    <definedName name="wrn.pg16." hidden="1">{#N/A,#N/A,FALSE,"16"}</definedName>
    <definedName name="wrn.pg17." hidden="1">{#N/A,#N/A,FALSE,"17"}</definedName>
    <definedName name="wrn.pg2." hidden="1">{#N/A,#N/A,FALSE,"2"}</definedName>
    <definedName name="wrn.pg3." hidden="1">{#N/A,#N/A,FALSE,"3"}</definedName>
    <definedName name="wrn.pg4." hidden="1">{#N/A,#N/A,FALSE,"4"}</definedName>
    <definedName name="wrn.pg5." hidden="1">{#N/A,#N/A,FALSE,"5"}</definedName>
    <definedName name="wrn.pg6." hidden="1">{#N/A,#N/A,FALSE,"6"}</definedName>
    <definedName name="wrn.pg7." hidden="1">{#N/A,#N/A,FALSE,"7"}</definedName>
    <definedName name="wrn.pg8." hidden="1">{#N/A,#N/A,FALSE,"8"}</definedName>
    <definedName name="wrn.pg888." hidden="1">{#N/A,#N/A,FALSE,"8"}</definedName>
    <definedName name="wrn.pg9." hidden="1">{#N/A,#N/A,FALSE,"9"}</definedName>
    <definedName name="wrn.PGW." hidden="1">{#N/A,#N/A,FALSE,"PGW"}</definedName>
    <definedName name="wrn.pl" hidden="1">{"20 Years",#N/A,FALSE,"P&amp;Ls";"2001",#N/A,FALSE,"P&amp;Ls"}</definedName>
    <definedName name="wrn.PL." hidden="1">{"20 Years",#N/A,FALSE,"P&amp;Ls";"2001",#N/A,FALSE,"P&amp;Ls"}</definedName>
    <definedName name="wrn.PL._1" hidden="1">{"20 Years",#N/A,FALSE,"P&amp;Ls";"2001",#N/A,FALSE,"P&amp;Ls"}</definedName>
    <definedName name="wrn.PL._2" hidden="1">{"20 Years",#N/A,FALSE,"P&amp;Ls";"2001",#N/A,FALSE,"P&amp;Ls"}</definedName>
    <definedName name="wrn.PL._3" hidden="1">{"20 Years",#N/A,FALSE,"P&amp;Ls";"2001",#N/A,FALSE,"P&amp;Ls"}</definedName>
    <definedName name="wrn.PL._4" hidden="1">{"20 Years",#N/A,FALSE,"P&amp;Ls";"2001",#N/A,FALSE,"P&amp;Ls"}</definedName>
    <definedName name="wrn.PL._5" hidden="1">{"20 Years",#N/A,FALSE,"P&amp;Ls";"2001",#N/A,FALSE,"P&amp;Ls"}</definedName>
    <definedName name="wrn.pl_1" hidden="1">{"20 Years",#N/A,FALSE,"P&amp;Ls";"2001",#N/A,FALSE,"P&amp;Ls"}</definedName>
    <definedName name="wrn.pl_2" hidden="1">{"20 Years",#N/A,FALSE,"P&amp;Ls";"2001",#N/A,FALSE,"P&amp;Ls"}</definedName>
    <definedName name="wrn.pl_3" hidden="1">{"20 Years",#N/A,FALSE,"P&amp;Ls";"2001",#N/A,FALSE,"P&amp;Ls"}</definedName>
    <definedName name="wrn.pl_4" hidden="1">{"20 Years",#N/A,FALSE,"P&amp;Ls";"2001",#N/A,FALSE,"P&amp;Ls"}</definedName>
    <definedName name="wrn.pl_5" hidden="1">{"20 Years",#N/A,FALSE,"P&amp;Ls";"2001",#N/A,FALSE,"P&amp;Ls"}</definedName>
    <definedName name="wrn.plstatement." hidden="1">{#N/A,#N/A,FALSE,"Profit &amp; Loss statement"}</definedName>
    <definedName name="wrn.polymwe." hidden="1">{#N/A,#N/A,TRUE,"Economic Indicators";#N/A,#N/A,TRUE,"Cracker Shutdown schedule";#N/A,#N/A,TRUE,"Benzene Shutdown schedule";#N/A,#N/A,TRUE,"PX Shutdown schedule";#N/A,#N/A,TRUE,"Financials";#N/A,#N/A,TRUE,"Prices&amp;Margins";#N/A,#N/A,TRUE,"Demand-supply";#N/A,#N/A,TRUE,"Polymers-Ind Sum-1999-2000";#N/A,#N/A,TRUE,"Polymers-Ind Sum-Q4";#N/A,#N/A,TRUE,"Polymers-Ind Sum-Q3";#N/A,#N/A,TRUE,"Polymers-Ind Sum-Q4overQ3";#N/A,#N/A,TRUE,"RIL-Q4-Prodn-Sales";#N/A,#N/A,TRUE,"RIL-Q4-Prices";#N/A,#N/A,TRUE,"RIL-Q4-Feedstock";#N/A,#N/A,TRUE,"IPCL-Q4-Prodn-Sales";#N/A,#N/A,TRUE,"IPCL-Q4-Prices";#N/A,#N/A,TRUE,"IPCL-Q4-Feedstock";#N/A,#N/A,TRUE,"NOCIL-Q4-Prodn-Sales";#N/A,#N/A,TRUE,"NOCIL-Q4-Prices";#N/A,#N/A,TRUE,"GAIL-Q4-Prodn-Sales";#N/A,#N/A,TRUE,"GAIL-Q4-Prices"}</definedName>
    <definedName name="wrn.Press." hidden="1">{"Income_Stmt",#N/A,FALSE,"Press_release";"Balance Sheet",#N/A,FALSE,"Press_release"}</definedName>
    <definedName name="wrn.PrimeCo." hidden="1">{"print 1",#N/A,FALSE,"PrimeCo PCS";"print 2",#N/A,FALSE,"PrimeCo PCS";"valuation",#N/A,FALSE,"PrimeCo PCS"}</definedName>
    <definedName name="wrn.print" hidden="1">{"page1",#N/A,FALSE,"PROFORMA";"page2",#N/A,FALSE,"PROFORMA";"page3",#N/A,FALSE,"PROFORMA";"page4",#N/A,FALSE,"PROFORMA";"page5",#N/A,FALSE,"PROFORMA";"page6",#N/A,FALSE,"PROFORMA";"page7",#N/A,FALSE,"PROFORMA";"page8",#N/A,FALSE,"PROFORMA"}</definedName>
    <definedName name="wrn.print." hidden="1">{"page1",#N/A,FALSE,"PROFORMA";"page2",#N/A,FALSE,"PROFORMA";"page3",#N/A,FALSE,"PROFORMA";"page4",#N/A,FALSE,"PROFORMA";"page5",#N/A,FALSE,"PROFORMA";"page6",#N/A,FALSE,"PROFORMA";"page7",#N/A,FALSE,"PROFORMA";"page8",#N/A,FALSE,"PROFORMA"}</definedName>
    <definedName name="wrn.print._.graphs." hidden="1">{"cap_structure",#N/A,FALSE,"Graph-Mkt Cap";"price",#N/A,FALSE,"Graph-Price";"ebit",#N/A,FALSE,"Graph-EBITDA";"ebitda",#N/A,FALSE,"Graph-EBITDA"}</definedName>
    <definedName name="wrn.print._.pages." hidden="1">{#N/A,#N/A,FALSE,"Spain MKT";#N/A,#N/A,FALSE,"Assumptions";#N/A,#N/A,FALSE,"Adve";#N/A,#N/A,FALSE,"E-Commerce";#N/A,#N/A,FALSE,"Opex";#N/A,#N/A,FALSE,"P&amp;L";#N/A,#N/A,FALSE,"FCF &amp; DCF"}</definedName>
    <definedName name="wrn.print._.raw._.data._.entry." hidden="1">{"inputs raw data",#N/A,TRUE,"INPUT"}</definedName>
    <definedName name="wrn.print._.summary._.sheets." hidden="1">{"summary1",#N/A,TRUE,"Comps";"summary2",#N/A,TRUE,"Comps";"summary3",#N/A,TRUE,"Comps"}</definedName>
    <definedName name="wrn.Print_all_sections." hidden="1">{#N/A,#N/A,TRUE,"Title";#N/A,#N/A,TRUE,"CC-Summary";#N/A,#N/A,TRUE,"CapitalCost";#N/A,#N/A,TRUE,"Revenue and cost analysis";#N/A,#N/A,TRUE,"DCF";#N/A,#N/A,TRUE,"DCF-APV";#N/A,#N/A,TRUE,"DCF-WACC"}</definedName>
    <definedName name="wrn.Print_Buyer." hidden="1">{#N/A,"DR",FALSE,"increm pf";#N/A,"MAMSI",FALSE,"increm pf";#N/A,"MAXI",FALSE,"increm pf";#N/A,"PCAM",FALSE,"increm pf";#N/A,"PHSV",FALSE,"increm pf";#N/A,"SIE",FALSE,"increm pf"}</definedName>
    <definedName name="wrn.Print_model."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ac." hidden="1">{#N/A,#N/A,FALSE,"Op-BS";#N/A,#N/A,FALSE,"Assum";#N/A,#N/A,FALSE,"IS";#N/A,#N/A,FALSE,"Syn+Elim";#N/A,#N/A,FALSE,"BSCF";#N/A,#N/A,FALSE,"Blue_IS";#N/A,#N/A,FALSE,"Blue_BSCF";#N/A,#N/A,FALSE,"Ratings"}</definedName>
    <definedName name="wrn.PRINTALL." hidden="1">{#N/A,#N/A,FALSE,"Front Cover";#N/A,#N/A,FALSE,"Index";#N/A,#N/A,FALSE,"SummCov";#N/A,#N/A,FALSE,"REGIONS 0.1";#N/A,#N/A,FALSE,"PRODUCTS 0.1";#N/A,#N/A,FALSE,"NSH Cov";#N/A,#N/A,FALSE,"GRAMOXONE";#N/A,#N/A,FALSE,"REGLONE";#N/A,#N/A,FALSE,"TOUCHDOWN";#N/A,#N/A,FALSE,"SelHerb Cov";#N/A,#N/A,FALSE,"FUSILADE";#N/A,#N/A,FALSE,"SURPASS";#N/A,#N/A,FALSE,"FLEX";#N/A,#N/A,FALSE,"EPTC";#N/A,#N/A,FALSE,"GRASP";#N/A,#N/A,FALSE,"OTHER HERB.";#N/A,#N/A,FALSE,"Insect Cov";#N/A,#N/A,FALSE,"KARATE";#N/A,#N/A,FALSE,"FORCE";#N/A,#N/A,FALSE,"PIRIMORE";#N/A,#N/A,FALSE,"AMBUSH";#N/A,#N/A,FALSE,"OTHER INSECT";#N/A,#N/A,FALSE,"Fung Cov";#N/A,#N/A,FALSE,"AMISTAR";#N/A,#N/A,FALSE,"ANVIL";#N/A,#N/A,FALSE,"IMPACT";#N/A,#N/A,FALSE,"OTHER FUNG.";#N/A,#N/A,FALSE,"Oth Cov";#N/A,#N/A,FALSE,"OTHER AG PROD."}</definedName>
    <definedName name="wrn.printout." hidden="1">{#N/A,#N/A,FALSE,"BANNERS";#N/A,#N/A,FALSE,"Market";#N/A,#N/A,FALSE,"# of POP MAN";#N/A,#N/A,FALSE,"Penet Input";#N/A,#N/A,FALSE,"Tel Rev";#N/A,#N/A,FALSE,"Invest";#N/A,#N/A,FALSE,"Op Cost1";#N/A,#N/A,FALSE,"Op Cost2";#N/A,#N/A,FALSE,"Oth_&amp;_Tot_Revenues";#N/A,#N/A,FALSE,"Fin Mod";#N/A,#N/A,FALSE,"P&amp;E Burocrat";#N/A,#N/A,FALSE,"cash flow"}</definedName>
    <definedName name="wrn.PRINTREP." hidden="1">{"PRINTREP",#N/A,FALSE,"Sheet1"}</definedName>
    <definedName name="wrn.Project." hidden="1">{#N/A,#N/A,TRUE,"A-site";#N/A,#N/A,TRUE,"B-Buildings";#N/A,#N/A,TRUE,"c-out-of-fence";#N/A,#N/A,TRUE,"d-proj.infr.";#N/A,#N/A,TRUE,"e- land"}</definedName>
    <definedName name="wrn.prospects." hidden="1">{#N/A,#N/A,FALSE,"FCST94";#N/A,#N/A,FALSE,"FIRM";#N/A,#N/A,FALSE,"BACK94";#N/A,#N/A,FALSE,"FCST95";#N/A,#N/A,FALSE,"BACK95";#N/A,#N/A,FALSE,"FCST96"}</definedName>
    <definedName name="wrn.prospects._1" hidden="1">{#N/A,#N/A,FALSE,"FCST94";#N/A,#N/A,FALSE,"FIRM";#N/A,#N/A,FALSE,"BACK94";#N/A,#N/A,FALSE,"FCST95";#N/A,#N/A,FALSE,"BACK95";#N/A,#N/A,FALSE,"FCST96"}</definedName>
    <definedName name="wrn.prospects._2" hidden="1">{#N/A,#N/A,FALSE,"FCST94";#N/A,#N/A,FALSE,"FIRM";#N/A,#N/A,FALSE,"BACK94";#N/A,#N/A,FALSE,"FCST95";#N/A,#N/A,FALSE,"BACK95";#N/A,#N/A,FALSE,"FCST96"}</definedName>
    <definedName name="wrn.prospects._3" hidden="1">{#N/A,#N/A,FALSE,"FCST94";#N/A,#N/A,FALSE,"FIRM";#N/A,#N/A,FALSE,"BACK94";#N/A,#N/A,FALSE,"FCST95";#N/A,#N/A,FALSE,"BACK95";#N/A,#N/A,FALSE,"FCST96"}</definedName>
    <definedName name="wrn.prospects._4" hidden="1">{#N/A,#N/A,FALSE,"FCST94";#N/A,#N/A,FALSE,"FIRM";#N/A,#N/A,FALSE,"BACK94";#N/A,#N/A,FALSE,"FCST95";#N/A,#N/A,FALSE,"BACK95";#N/A,#N/A,FALSE,"FCST96"}</definedName>
    <definedName name="wrn.prospects._5" hidden="1">{#N/A,#N/A,FALSE,"FCST94";#N/A,#N/A,FALSE,"FIRM";#N/A,#N/A,FALSE,"BACK94";#N/A,#N/A,FALSE,"FCST95";#N/A,#N/A,FALSE,"BACK95";#N/A,#N/A,FALSE,"FCST96"}</definedName>
    <definedName name="wrn.Pulp." hidden="1">{"Pulp Production",#N/A,FALSE,"Pulp";"Pulp Earnings",#N/A,FALSE,"Pulp"}</definedName>
    <definedName name="wrn.Pulp.2" hidden="1">{"Pulp Production",#N/A,FALSE,"Pulp";"Pulp Earnings",#N/A,FALSE,"Pulp"}</definedName>
    <definedName name="wrn.Pulp.3" hidden="1">{"Pulp Production",#N/A,FALSE,"Pulp";"Pulp Earnings",#N/A,FALSE,"Pulp"}</definedName>
    <definedName name="wrn.Q._.Report." hidden="1">{"Quarterly Earnings",#N/A,FALSE,"FTS";"Quarterly Margins",#N/A,FALSE,"FTS";"Q Sales",#N/A,FALSE,"FTS";"Q EBIT",#N/A,FALSE,"FTS";"Unit Analysis",#N/A,FALSE,"FTS";"Inventory Analysis",#N/A,FALSE,"FTS"}</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co." hidden="1">{#N/A,#N/A,FALSE,"Sheet2"}</definedName>
    <definedName name="wrn.Relevant."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ORT." hidden="1">{#N/A,#N/A,FALSE,"Balance Sheet";#N/A,#N/A,FALSE,"Profit &amp; Loss ";#N/A,#N/A,FALSE,"Schedule-1";#N/A,#N/A,FALSE,"Schedule-2";#N/A,#N/A,FALSE,"Schedule-3";#N/A,#N/A,FALSE,"Schedule-4 ";#N/A,#N/A,FALSE,"Schedule-5";#N/A,#N/A,FALSE,"Schedule-6,7,8,9";#N/A,#N/A,FALSE,"Schedule-10,11";#N/A,#N/A,FALSE,"Schedule-12,13,14,15";#N/A,#N/A,FALSE,"Scdedule-16"}</definedName>
    <definedName name="wrn.Report._.2." hidden="1">{#N/A,#N/A,TRUE,"Pivots-Employee";#N/A,"Scenerio2",TRUE,"Assumptions Summary"}</definedName>
    <definedName name="wrn.REPORT._1" hidden="1">{#N/A,#N/A,FALSE,"Balance Sheet";#N/A,#N/A,FALSE,"Profit &amp; Loss ";#N/A,#N/A,FALSE,"Schedule-1";#N/A,#N/A,FALSE,"Schedule-2";#N/A,#N/A,FALSE,"Schedule-3";#N/A,#N/A,FALSE,"Schedule-4 ";#N/A,#N/A,FALSE,"Schedule-5";#N/A,#N/A,FALSE,"Schedule-6,7,8,9";#N/A,#N/A,FALSE,"Schedule-10,11";#N/A,#N/A,FALSE,"Schedule-12,13,14,15";#N/A,#N/A,FALSE,"Scdedule-16"}</definedName>
    <definedName name="wrn.REPORT._1_1" hidden="1">{#N/A,#N/A,FALSE,"Balance Sheet";#N/A,#N/A,FALSE,"Profit &amp; Loss ";#N/A,#N/A,FALSE,"Schedule-1";#N/A,#N/A,FALSE,"Schedule-2";#N/A,#N/A,FALSE,"Schedule-3";#N/A,#N/A,FALSE,"Schedule-4 ";#N/A,#N/A,FALSE,"Schedule-5";#N/A,#N/A,FALSE,"Schedule-6,7,8,9";#N/A,#N/A,FALSE,"Schedule-10,11";#N/A,#N/A,FALSE,"Schedule-12,13,14,15";#N/A,#N/A,FALSE,"Scdedule-16"}</definedName>
    <definedName name="wrn.REPORT._1_1_1" hidden="1">{#N/A,#N/A,FALSE,"Balance Sheet";#N/A,#N/A,FALSE,"Profit &amp; Loss ";#N/A,#N/A,FALSE,"Schedule-1";#N/A,#N/A,FALSE,"Schedule-2";#N/A,#N/A,FALSE,"Schedule-3";#N/A,#N/A,FALSE,"Schedule-4 ";#N/A,#N/A,FALSE,"Schedule-5";#N/A,#N/A,FALSE,"Schedule-6,7,8,9";#N/A,#N/A,FALSE,"Schedule-10,11";#N/A,#N/A,FALSE,"Schedule-12,13,14,15";#N/A,#N/A,FALSE,"Scdedule-16"}</definedName>
    <definedName name="wrn.REPORT._1_1_2" hidden="1">{#N/A,#N/A,FALSE,"Balance Sheet";#N/A,#N/A,FALSE,"Profit &amp; Loss ";#N/A,#N/A,FALSE,"Schedule-1";#N/A,#N/A,FALSE,"Schedule-2";#N/A,#N/A,FALSE,"Schedule-3";#N/A,#N/A,FALSE,"Schedule-4 ";#N/A,#N/A,FALSE,"Schedule-5";#N/A,#N/A,FALSE,"Schedule-6,7,8,9";#N/A,#N/A,FALSE,"Schedule-10,11";#N/A,#N/A,FALSE,"Schedule-12,13,14,15";#N/A,#N/A,FALSE,"Scdedule-16"}</definedName>
    <definedName name="wrn.REPORT._1_1_3" hidden="1">{#N/A,#N/A,FALSE,"Balance Sheet";#N/A,#N/A,FALSE,"Profit &amp; Loss ";#N/A,#N/A,FALSE,"Schedule-1";#N/A,#N/A,FALSE,"Schedule-2";#N/A,#N/A,FALSE,"Schedule-3";#N/A,#N/A,FALSE,"Schedule-4 ";#N/A,#N/A,FALSE,"Schedule-5";#N/A,#N/A,FALSE,"Schedule-6,7,8,9";#N/A,#N/A,FALSE,"Schedule-10,11";#N/A,#N/A,FALSE,"Schedule-12,13,14,15";#N/A,#N/A,FALSE,"Scdedule-16"}</definedName>
    <definedName name="wrn.REPORT._1_1_4" hidden="1">{#N/A,#N/A,FALSE,"Balance Sheet";#N/A,#N/A,FALSE,"Profit &amp; Loss ";#N/A,#N/A,FALSE,"Schedule-1";#N/A,#N/A,FALSE,"Schedule-2";#N/A,#N/A,FALSE,"Schedule-3";#N/A,#N/A,FALSE,"Schedule-4 ";#N/A,#N/A,FALSE,"Schedule-5";#N/A,#N/A,FALSE,"Schedule-6,7,8,9";#N/A,#N/A,FALSE,"Schedule-10,11";#N/A,#N/A,FALSE,"Schedule-12,13,14,15";#N/A,#N/A,FALSE,"Scdedule-16"}</definedName>
    <definedName name="wrn.REPORT._1_1_5" hidden="1">{#N/A,#N/A,FALSE,"Balance Sheet";#N/A,#N/A,FALSE,"Profit &amp; Loss ";#N/A,#N/A,FALSE,"Schedule-1";#N/A,#N/A,FALSE,"Schedule-2";#N/A,#N/A,FALSE,"Schedule-3";#N/A,#N/A,FALSE,"Schedule-4 ";#N/A,#N/A,FALSE,"Schedule-5";#N/A,#N/A,FALSE,"Schedule-6,7,8,9";#N/A,#N/A,FALSE,"Schedule-10,11";#N/A,#N/A,FALSE,"Schedule-12,13,14,15";#N/A,#N/A,FALSE,"Scdedule-16"}</definedName>
    <definedName name="wrn.REPORT._1_2" hidden="1">{#N/A,#N/A,FALSE,"Balance Sheet";#N/A,#N/A,FALSE,"Profit &amp; Loss ";#N/A,#N/A,FALSE,"Schedule-1";#N/A,#N/A,FALSE,"Schedule-2";#N/A,#N/A,FALSE,"Schedule-3";#N/A,#N/A,FALSE,"Schedule-4 ";#N/A,#N/A,FALSE,"Schedule-5";#N/A,#N/A,FALSE,"Schedule-6,7,8,9";#N/A,#N/A,FALSE,"Schedule-10,11";#N/A,#N/A,FALSE,"Schedule-12,13,14,15";#N/A,#N/A,FALSE,"Scdedule-16"}</definedName>
    <definedName name="wrn.REPORT._1_2_1" hidden="1">{#N/A,#N/A,FALSE,"Balance Sheet";#N/A,#N/A,FALSE,"Profit &amp; Loss ";#N/A,#N/A,FALSE,"Schedule-1";#N/A,#N/A,FALSE,"Schedule-2";#N/A,#N/A,FALSE,"Schedule-3";#N/A,#N/A,FALSE,"Schedule-4 ";#N/A,#N/A,FALSE,"Schedule-5";#N/A,#N/A,FALSE,"Schedule-6,7,8,9";#N/A,#N/A,FALSE,"Schedule-10,11";#N/A,#N/A,FALSE,"Schedule-12,13,14,15";#N/A,#N/A,FALSE,"Scdedule-16"}</definedName>
    <definedName name="wrn.REPORT._1_2_2" hidden="1">{#N/A,#N/A,FALSE,"Balance Sheet";#N/A,#N/A,FALSE,"Profit &amp; Loss ";#N/A,#N/A,FALSE,"Schedule-1";#N/A,#N/A,FALSE,"Schedule-2";#N/A,#N/A,FALSE,"Schedule-3";#N/A,#N/A,FALSE,"Schedule-4 ";#N/A,#N/A,FALSE,"Schedule-5";#N/A,#N/A,FALSE,"Schedule-6,7,8,9";#N/A,#N/A,FALSE,"Schedule-10,11";#N/A,#N/A,FALSE,"Schedule-12,13,14,15";#N/A,#N/A,FALSE,"Scdedule-16"}</definedName>
    <definedName name="wrn.REPORT._1_2_3" hidden="1">{#N/A,#N/A,FALSE,"Balance Sheet";#N/A,#N/A,FALSE,"Profit &amp; Loss ";#N/A,#N/A,FALSE,"Schedule-1";#N/A,#N/A,FALSE,"Schedule-2";#N/A,#N/A,FALSE,"Schedule-3";#N/A,#N/A,FALSE,"Schedule-4 ";#N/A,#N/A,FALSE,"Schedule-5";#N/A,#N/A,FALSE,"Schedule-6,7,8,9";#N/A,#N/A,FALSE,"Schedule-10,11";#N/A,#N/A,FALSE,"Schedule-12,13,14,15";#N/A,#N/A,FALSE,"Scdedule-16"}</definedName>
    <definedName name="wrn.REPORT._1_2_4" hidden="1">{#N/A,#N/A,FALSE,"Balance Sheet";#N/A,#N/A,FALSE,"Profit &amp; Loss ";#N/A,#N/A,FALSE,"Schedule-1";#N/A,#N/A,FALSE,"Schedule-2";#N/A,#N/A,FALSE,"Schedule-3";#N/A,#N/A,FALSE,"Schedule-4 ";#N/A,#N/A,FALSE,"Schedule-5";#N/A,#N/A,FALSE,"Schedule-6,7,8,9";#N/A,#N/A,FALSE,"Schedule-10,11";#N/A,#N/A,FALSE,"Schedule-12,13,14,15";#N/A,#N/A,FALSE,"Scdedule-16"}</definedName>
    <definedName name="wrn.REPORT._1_2_5" hidden="1">{#N/A,#N/A,FALSE,"Balance Sheet";#N/A,#N/A,FALSE,"Profit &amp; Loss ";#N/A,#N/A,FALSE,"Schedule-1";#N/A,#N/A,FALSE,"Schedule-2";#N/A,#N/A,FALSE,"Schedule-3";#N/A,#N/A,FALSE,"Schedule-4 ";#N/A,#N/A,FALSE,"Schedule-5";#N/A,#N/A,FALSE,"Schedule-6,7,8,9";#N/A,#N/A,FALSE,"Schedule-10,11";#N/A,#N/A,FALSE,"Schedule-12,13,14,15";#N/A,#N/A,FALSE,"Scdedule-16"}</definedName>
    <definedName name="wrn.REPORT._1_3" hidden="1">{#N/A,#N/A,FALSE,"Balance Sheet";#N/A,#N/A,FALSE,"Profit &amp; Loss ";#N/A,#N/A,FALSE,"Schedule-1";#N/A,#N/A,FALSE,"Schedule-2";#N/A,#N/A,FALSE,"Schedule-3";#N/A,#N/A,FALSE,"Schedule-4 ";#N/A,#N/A,FALSE,"Schedule-5";#N/A,#N/A,FALSE,"Schedule-6,7,8,9";#N/A,#N/A,FALSE,"Schedule-10,11";#N/A,#N/A,FALSE,"Schedule-12,13,14,15";#N/A,#N/A,FALSE,"Scdedule-16"}</definedName>
    <definedName name="wrn.REPORT._1_3_1" hidden="1">{#N/A,#N/A,FALSE,"Balance Sheet";#N/A,#N/A,FALSE,"Profit &amp; Loss ";#N/A,#N/A,FALSE,"Schedule-1";#N/A,#N/A,FALSE,"Schedule-2";#N/A,#N/A,FALSE,"Schedule-3";#N/A,#N/A,FALSE,"Schedule-4 ";#N/A,#N/A,FALSE,"Schedule-5";#N/A,#N/A,FALSE,"Schedule-6,7,8,9";#N/A,#N/A,FALSE,"Schedule-10,11";#N/A,#N/A,FALSE,"Schedule-12,13,14,15";#N/A,#N/A,FALSE,"Scdedule-16"}</definedName>
    <definedName name="wrn.REPORT._1_3_2" hidden="1">{#N/A,#N/A,FALSE,"Balance Sheet";#N/A,#N/A,FALSE,"Profit &amp; Loss ";#N/A,#N/A,FALSE,"Schedule-1";#N/A,#N/A,FALSE,"Schedule-2";#N/A,#N/A,FALSE,"Schedule-3";#N/A,#N/A,FALSE,"Schedule-4 ";#N/A,#N/A,FALSE,"Schedule-5";#N/A,#N/A,FALSE,"Schedule-6,7,8,9";#N/A,#N/A,FALSE,"Schedule-10,11";#N/A,#N/A,FALSE,"Schedule-12,13,14,15";#N/A,#N/A,FALSE,"Scdedule-16"}</definedName>
    <definedName name="wrn.REPORT._1_3_3" hidden="1">{#N/A,#N/A,FALSE,"Balance Sheet";#N/A,#N/A,FALSE,"Profit &amp; Loss ";#N/A,#N/A,FALSE,"Schedule-1";#N/A,#N/A,FALSE,"Schedule-2";#N/A,#N/A,FALSE,"Schedule-3";#N/A,#N/A,FALSE,"Schedule-4 ";#N/A,#N/A,FALSE,"Schedule-5";#N/A,#N/A,FALSE,"Schedule-6,7,8,9";#N/A,#N/A,FALSE,"Schedule-10,11";#N/A,#N/A,FALSE,"Schedule-12,13,14,15";#N/A,#N/A,FALSE,"Scdedule-16"}</definedName>
    <definedName name="wrn.REPORT._1_3_4" hidden="1">{#N/A,#N/A,FALSE,"Balance Sheet";#N/A,#N/A,FALSE,"Profit &amp; Loss ";#N/A,#N/A,FALSE,"Schedule-1";#N/A,#N/A,FALSE,"Schedule-2";#N/A,#N/A,FALSE,"Schedule-3";#N/A,#N/A,FALSE,"Schedule-4 ";#N/A,#N/A,FALSE,"Schedule-5";#N/A,#N/A,FALSE,"Schedule-6,7,8,9";#N/A,#N/A,FALSE,"Schedule-10,11";#N/A,#N/A,FALSE,"Schedule-12,13,14,15";#N/A,#N/A,FALSE,"Scdedule-16"}</definedName>
    <definedName name="wrn.REPORT._1_3_5" hidden="1">{#N/A,#N/A,FALSE,"Balance Sheet";#N/A,#N/A,FALSE,"Profit &amp; Loss ";#N/A,#N/A,FALSE,"Schedule-1";#N/A,#N/A,FALSE,"Schedule-2";#N/A,#N/A,FALSE,"Schedule-3";#N/A,#N/A,FALSE,"Schedule-4 ";#N/A,#N/A,FALSE,"Schedule-5";#N/A,#N/A,FALSE,"Schedule-6,7,8,9";#N/A,#N/A,FALSE,"Schedule-10,11";#N/A,#N/A,FALSE,"Schedule-12,13,14,15";#N/A,#N/A,FALSE,"Scdedule-16"}</definedName>
    <definedName name="wrn.REPORT._1_4" hidden="1">{#N/A,#N/A,FALSE,"Balance Sheet";#N/A,#N/A,FALSE,"Profit &amp; Loss ";#N/A,#N/A,FALSE,"Schedule-1";#N/A,#N/A,FALSE,"Schedule-2";#N/A,#N/A,FALSE,"Schedule-3";#N/A,#N/A,FALSE,"Schedule-4 ";#N/A,#N/A,FALSE,"Schedule-5";#N/A,#N/A,FALSE,"Schedule-6,7,8,9";#N/A,#N/A,FALSE,"Schedule-10,11";#N/A,#N/A,FALSE,"Schedule-12,13,14,15";#N/A,#N/A,FALSE,"Scdedule-16"}</definedName>
    <definedName name="wrn.REPORT._1_4_1" hidden="1">{#N/A,#N/A,FALSE,"Balance Sheet";#N/A,#N/A,FALSE,"Profit &amp; Loss ";#N/A,#N/A,FALSE,"Schedule-1";#N/A,#N/A,FALSE,"Schedule-2";#N/A,#N/A,FALSE,"Schedule-3";#N/A,#N/A,FALSE,"Schedule-4 ";#N/A,#N/A,FALSE,"Schedule-5";#N/A,#N/A,FALSE,"Schedule-6,7,8,9";#N/A,#N/A,FALSE,"Schedule-10,11";#N/A,#N/A,FALSE,"Schedule-12,13,14,15";#N/A,#N/A,FALSE,"Scdedule-16"}</definedName>
    <definedName name="wrn.REPORT._1_4_2" hidden="1">{#N/A,#N/A,FALSE,"Balance Sheet";#N/A,#N/A,FALSE,"Profit &amp; Loss ";#N/A,#N/A,FALSE,"Schedule-1";#N/A,#N/A,FALSE,"Schedule-2";#N/A,#N/A,FALSE,"Schedule-3";#N/A,#N/A,FALSE,"Schedule-4 ";#N/A,#N/A,FALSE,"Schedule-5";#N/A,#N/A,FALSE,"Schedule-6,7,8,9";#N/A,#N/A,FALSE,"Schedule-10,11";#N/A,#N/A,FALSE,"Schedule-12,13,14,15";#N/A,#N/A,FALSE,"Scdedule-16"}</definedName>
    <definedName name="wrn.REPORT._1_4_3" hidden="1">{#N/A,#N/A,FALSE,"Balance Sheet";#N/A,#N/A,FALSE,"Profit &amp; Loss ";#N/A,#N/A,FALSE,"Schedule-1";#N/A,#N/A,FALSE,"Schedule-2";#N/A,#N/A,FALSE,"Schedule-3";#N/A,#N/A,FALSE,"Schedule-4 ";#N/A,#N/A,FALSE,"Schedule-5";#N/A,#N/A,FALSE,"Schedule-6,7,8,9";#N/A,#N/A,FALSE,"Schedule-10,11";#N/A,#N/A,FALSE,"Schedule-12,13,14,15";#N/A,#N/A,FALSE,"Scdedule-16"}</definedName>
    <definedName name="wrn.REPORT._1_4_4" hidden="1">{#N/A,#N/A,FALSE,"Balance Sheet";#N/A,#N/A,FALSE,"Profit &amp; Loss ";#N/A,#N/A,FALSE,"Schedule-1";#N/A,#N/A,FALSE,"Schedule-2";#N/A,#N/A,FALSE,"Schedule-3";#N/A,#N/A,FALSE,"Schedule-4 ";#N/A,#N/A,FALSE,"Schedule-5";#N/A,#N/A,FALSE,"Schedule-6,7,8,9";#N/A,#N/A,FALSE,"Schedule-10,11";#N/A,#N/A,FALSE,"Schedule-12,13,14,15";#N/A,#N/A,FALSE,"Scdedule-16"}</definedName>
    <definedName name="wrn.REPORT._1_4_5" hidden="1">{#N/A,#N/A,FALSE,"Balance Sheet";#N/A,#N/A,FALSE,"Profit &amp; Loss ";#N/A,#N/A,FALSE,"Schedule-1";#N/A,#N/A,FALSE,"Schedule-2";#N/A,#N/A,FALSE,"Schedule-3";#N/A,#N/A,FALSE,"Schedule-4 ";#N/A,#N/A,FALSE,"Schedule-5";#N/A,#N/A,FALSE,"Schedule-6,7,8,9";#N/A,#N/A,FALSE,"Schedule-10,11";#N/A,#N/A,FALSE,"Schedule-12,13,14,15";#N/A,#N/A,FALSE,"Scdedule-16"}</definedName>
    <definedName name="wrn.REPORT._1_5" hidden="1">{#N/A,#N/A,FALSE,"Balance Sheet";#N/A,#N/A,FALSE,"Profit &amp; Loss ";#N/A,#N/A,FALSE,"Schedule-1";#N/A,#N/A,FALSE,"Schedule-2";#N/A,#N/A,FALSE,"Schedule-3";#N/A,#N/A,FALSE,"Schedule-4 ";#N/A,#N/A,FALSE,"Schedule-5";#N/A,#N/A,FALSE,"Schedule-6,7,8,9";#N/A,#N/A,FALSE,"Schedule-10,11";#N/A,#N/A,FALSE,"Schedule-12,13,14,15";#N/A,#N/A,FALSE,"Scdedule-16"}</definedName>
    <definedName name="wrn.REPORT._1_5_1" hidden="1">{#N/A,#N/A,FALSE,"Balance Sheet";#N/A,#N/A,FALSE,"Profit &amp; Loss ";#N/A,#N/A,FALSE,"Schedule-1";#N/A,#N/A,FALSE,"Schedule-2";#N/A,#N/A,FALSE,"Schedule-3";#N/A,#N/A,FALSE,"Schedule-4 ";#N/A,#N/A,FALSE,"Schedule-5";#N/A,#N/A,FALSE,"Schedule-6,7,8,9";#N/A,#N/A,FALSE,"Schedule-10,11";#N/A,#N/A,FALSE,"Schedule-12,13,14,15";#N/A,#N/A,FALSE,"Scdedule-16"}</definedName>
    <definedName name="wrn.REPORT._1_5_2" hidden="1">{#N/A,#N/A,FALSE,"Balance Sheet";#N/A,#N/A,FALSE,"Profit &amp; Loss ";#N/A,#N/A,FALSE,"Schedule-1";#N/A,#N/A,FALSE,"Schedule-2";#N/A,#N/A,FALSE,"Schedule-3";#N/A,#N/A,FALSE,"Schedule-4 ";#N/A,#N/A,FALSE,"Schedule-5";#N/A,#N/A,FALSE,"Schedule-6,7,8,9";#N/A,#N/A,FALSE,"Schedule-10,11";#N/A,#N/A,FALSE,"Schedule-12,13,14,15";#N/A,#N/A,FALSE,"Scdedule-16"}</definedName>
    <definedName name="wrn.REPORT._1_5_3" hidden="1">{#N/A,#N/A,FALSE,"Balance Sheet";#N/A,#N/A,FALSE,"Profit &amp; Loss ";#N/A,#N/A,FALSE,"Schedule-1";#N/A,#N/A,FALSE,"Schedule-2";#N/A,#N/A,FALSE,"Schedule-3";#N/A,#N/A,FALSE,"Schedule-4 ";#N/A,#N/A,FALSE,"Schedule-5";#N/A,#N/A,FALSE,"Schedule-6,7,8,9";#N/A,#N/A,FALSE,"Schedule-10,11";#N/A,#N/A,FALSE,"Schedule-12,13,14,15";#N/A,#N/A,FALSE,"Scdedule-16"}</definedName>
    <definedName name="wrn.REPORT._1_5_4" hidden="1">{#N/A,#N/A,FALSE,"Balance Sheet";#N/A,#N/A,FALSE,"Profit &amp; Loss ";#N/A,#N/A,FALSE,"Schedule-1";#N/A,#N/A,FALSE,"Schedule-2";#N/A,#N/A,FALSE,"Schedule-3";#N/A,#N/A,FALSE,"Schedule-4 ";#N/A,#N/A,FALSE,"Schedule-5";#N/A,#N/A,FALSE,"Schedule-6,7,8,9";#N/A,#N/A,FALSE,"Schedule-10,11";#N/A,#N/A,FALSE,"Schedule-12,13,14,15";#N/A,#N/A,FALSE,"Scdedule-16"}</definedName>
    <definedName name="wrn.REPORT._1_5_5" hidden="1">{#N/A,#N/A,FALSE,"Balance Sheet";#N/A,#N/A,FALSE,"Profit &amp; Loss ";#N/A,#N/A,FALSE,"Schedule-1";#N/A,#N/A,FALSE,"Schedule-2";#N/A,#N/A,FALSE,"Schedule-3";#N/A,#N/A,FALSE,"Schedule-4 ";#N/A,#N/A,FALSE,"Schedule-5";#N/A,#N/A,FALSE,"Schedule-6,7,8,9";#N/A,#N/A,FALSE,"Schedule-10,11";#N/A,#N/A,FALSE,"Schedule-12,13,14,15";#N/A,#N/A,FALSE,"Scdedule-16"}</definedName>
    <definedName name="wrn.REPORT._2" hidden="1">{#N/A,#N/A,FALSE,"Balance Sheet";#N/A,#N/A,FALSE,"Profit &amp; Loss ";#N/A,#N/A,FALSE,"Schedule-1";#N/A,#N/A,FALSE,"Schedule-2";#N/A,#N/A,FALSE,"Schedule-3";#N/A,#N/A,FALSE,"Schedule-4 ";#N/A,#N/A,FALSE,"Schedule-5";#N/A,#N/A,FALSE,"Schedule-6,7,8,9";#N/A,#N/A,FALSE,"Schedule-10,11";#N/A,#N/A,FALSE,"Schedule-12,13,14,15";#N/A,#N/A,FALSE,"Scdedule-16"}</definedName>
    <definedName name="wrn.REPORT._2_1" hidden="1">{#N/A,#N/A,FALSE,"Balance Sheet";#N/A,#N/A,FALSE,"Profit &amp; Loss ";#N/A,#N/A,FALSE,"Schedule-1";#N/A,#N/A,FALSE,"Schedule-2";#N/A,#N/A,FALSE,"Schedule-3";#N/A,#N/A,FALSE,"Schedule-4 ";#N/A,#N/A,FALSE,"Schedule-5";#N/A,#N/A,FALSE,"Schedule-6,7,8,9";#N/A,#N/A,FALSE,"Schedule-10,11";#N/A,#N/A,FALSE,"Schedule-12,13,14,15";#N/A,#N/A,FALSE,"Scdedule-16"}</definedName>
    <definedName name="wrn.REPORT._2_1_1" hidden="1">{#N/A,#N/A,FALSE,"Balance Sheet";#N/A,#N/A,FALSE,"Profit &amp; Loss ";#N/A,#N/A,FALSE,"Schedule-1";#N/A,#N/A,FALSE,"Schedule-2";#N/A,#N/A,FALSE,"Schedule-3";#N/A,#N/A,FALSE,"Schedule-4 ";#N/A,#N/A,FALSE,"Schedule-5";#N/A,#N/A,FALSE,"Schedule-6,7,8,9";#N/A,#N/A,FALSE,"Schedule-10,11";#N/A,#N/A,FALSE,"Schedule-12,13,14,15";#N/A,#N/A,FALSE,"Scdedule-16"}</definedName>
    <definedName name="wrn.REPORT._2_1_2" hidden="1">{#N/A,#N/A,FALSE,"Balance Sheet";#N/A,#N/A,FALSE,"Profit &amp; Loss ";#N/A,#N/A,FALSE,"Schedule-1";#N/A,#N/A,FALSE,"Schedule-2";#N/A,#N/A,FALSE,"Schedule-3";#N/A,#N/A,FALSE,"Schedule-4 ";#N/A,#N/A,FALSE,"Schedule-5";#N/A,#N/A,FALSE,"Schedule-6,7,8,9";#N/A,#N/A,FALSE,"Schedule-10,11";#N/A,#N/A,FALSE,"Schedule-12,13,14,15";#N/A,#N/A,FALSE,"Scdedule-16"}</definedName>
    <definedName name="wrn.REPORT._2_1_3" hidden="1">{#N/A,#N/A,FALSE,"Balance Sheet";#N/A,#N/A,FALSE,"Profit &amp; Loss ";#N/A,#N/A,FALSE,"Schedule-1";#N/A,#N/A,FALSE,"Schedule-2";#N/A,#N/A,FALSE,"Schedule-3";#N/A,#N/A,FALSE,"Schedule-4 ";#N/A,#N/A,FALSE,"Schedule-5";#N/A,#N/A,FALSE,"Schedule-6,7,8,9";#N/A,#N/A,FALSE,"Schedule-10,11";#N/A,#N/A,FALSE,"Schedule-12,13,14,15";#N/A,#N/A,FALSE,"Scdedule-16"}</definedName>
    <definedName name="wrn.REPORT._2_1_4" hidden="1">{#N/A,#N/A,FALSE,"Balance Sheet";#N/A,#N/A,FALSE,"Profit &amp; Loss ";#N/A,#N/A,FALSE,"Schedule-1";#N/A,#N/A,FALSE,"Schedule-2";#N/A,#N/A,FALSE,"Schedule-3";#N/A,#N/A,FALSE,"Schedule-4 ";#N/A,#N/A,FALSE,"Schedule-5";#N/A,#N/A,FALSE,"Schedule-6,7,8,9";#N/A,#N/A,FALSE,"Schedule-10,11";#N/A,#N/A,FALSE,"Schedule-12,13,14,15";#N/A,#N/A,FALSE,"Scdedule-16"}</definedName>
    <definedName name="wrn.REPORT._2_1_5" hidden="1">{#N/A,#N/A,FALSE,"Balance Sheet";#N/A,#N/A,FALSE,"Profit &amp; Loss ";#N/A,#N/A,FALSE,"Schedule-1";#N/A,#N/A,FALSE,"Schedule-2";#N/A,#N/A,FALSE,"Schedule-3";#N/A,#N/A,FALSE,"Schedule-4 ";#N/A,#N/A,FALSE,"Schedule-5";#N/A,#N/A,FALSE,"Schedule-6,7,8,9";#N/A,#N/A,FALSE,"Schedule-10,11";#N/A,#N/A,FALSE,"Schedule-12,13,14,15";#N/A,#N/A,FALSE,"Scdedule-16"}</definedName>
    <definedName name="wrn.REPORT._2_2" hidden="1">{#N/A,#N/A,FALSE,"Balance Sheet";#N/A,#N/A,FALSE,"Profit &amp; Loss ";#N/A,#N/A,FALSE,"Schedule-1";#N/A,#N/A,FALSE,"Schedule-2";#N/A,#N/A,FALSE,"Schedule-3";#N/A,#N/A,FALSE,"Schedule-4 ";#N/A,#N/A,FALSE,"Schedule-5";#N/A,#N/A,FALSE,"Schedule-6,7,8,9";#N/A,#N/A,FALSE,"Schedule-10,11";#N/A,#N/A,FALSE,"Schedule-12,13,14,15";#N/A,#N/A,FALSE,"Scdedule-16"}</definedName>
    <definedName name="wrn.REPORT._2_2_1" hidden="1">{#N/A,#N/A,FALSE,"Balance Sheet";#N/A,#N/A,FALSE,"Profit &amp; Loss ";#N/A,#N/A,FALSE,"Schedule-1";#N/A,#N/A,FALSE,"Schedule-2";#N/A,#N/A,FALSE,"Schedule-3";#N/A,#N/A,FALSE,"Schedule-4 ";#N/A,#N/A,FALSE,"Schedule-5";#N/A,#N/A,FALSE,"Schedule-6,7,8,9";#N/A,#N/A,FALSE,"Schedule-10,11";#N/A,#N/A,FALSE,"Schedule-12,13,14,15";#N/A,#N/A,FALSE,"Scdedule-16"}</definedName>
    <definedName name="wrn.REPORT._2_2_2" hidden="1">{#N/A,#N/A,FALSE,"Balance Sheet";#N/A,#N/A,FALSE,"Profit &amp; Loss ";#N/A,#N/A,FALSE,"Schedule-1";#N/A,#N/A,FALSE,"Schedule-2";#N/A,#N/A,FALSE,"Schedule-3";#N/A,#N/A,FALSE,"Schedule-4 ";#N/A,#N/A,FALSE,"Schedule-5";#N/A,#N/A,FALSE,"Schedule-6,7,8,9";#N/A,#N/A,FALSE,"Schedule-10,11";#N/A,#N/A,FALSE,"Schedule-12,13,14,15";#N/A,#N/A,FALSE,"Scdedule-16"}</definedName>
    <definedName name="wrn.REPORT._2_2_3" hidden="1">{#N/A,#N/A,FALSE,"Balance Sheet";#N/A,#N/A,FALSE,"Profit &amp; Loss ";#N/A,#N/A,FALSE,"Schedule-1";#N/A,#N/A,FALSE,"Schedule-2";#N/A,#N/A,FALSE,"Schedule-3";#N/A,#N/A,FALSE,"Schedule-4 ";#N/A,#N/A,FALSE,"Schedule-5";#N/A,#N/A,FALSE,"Schedule-6,7,8,9";#N/A,#N/A,FALSE,"Schedule-10,11";#N/A,#N/A,FALSE,"Schedule-12,13,14,15";#N/A,#N/A,FALSE,"Scdedule-16"}</definedName>
    <definedName name="wrn.REPORT._2_2_4" hidden="1">{#N/A,#N/A,FALSE,"Balance Sheet";#N/A,#N/A,FALSE,"Profit &amp; Loss ";#N/A,#N/A,FALSE,"Schedule-1";#N/A,#N/A,FALSE,"Schedule-2";#N/A,#N/A,FALSE,"Schedule-3";#N/A,#N/A,FALSE,"Schedule-4 ";#N/A,#N/A,FALSE,"Schedule-5";#N/A,#N/A,FALSE,"Schedule-6,7,8,9";#N/A,#N/A,FALSE,"Schedule-10,11";#N/A,#N/A,FALSE,"Schedule-12,13,14,15";#N/A,#N/A,FALSE,"Scdedule-16"}</definedName>
    <definedName name="wrn.REPORT._2_2_5" hidden="1">{#N/A,#N/A,FALSE,"Balance Sheet";#N/A,#N/A,FALSE,"Profit &amp; Loss ";#N/A,#N/A,FALSE,"Schedule-1";#N/A,#N/A,FALSE,"Schedule-2";#N/A,#N/A,FALSE,"Schedule-3";#N/A,#N/A,FALSE,"Schedule-4 ";#N/A,#N/A,FALSE,"Schedule-5";#N/A,#N/A,FALSE,"Schedule-6,7,8,9";#N/A,#N/A,FALSE,"Schedule-10,11";#N/A,#N/A,FALSE,"Schedule-12,13,14,15";#N/A,#N/A,FALSE,"Scdedule-16"}</definedName>
    <definedName name="wrn.REPORT._2_3" hidden="1">{#N/A,#N/A,FALSE,"Balance Sheet";#N/A,#N/A,FALSE,"Profit &amp; Loss ";#N/A,#N/A,FALSE,"Schedule-1";#N/A,#N/A,FALSE,"Schedule-2";#N/A,#N/A,FALSE,"Schedule-3";#N/A,#N/A,FALSE,"Schedule-4 ";#N/A,#N/A,FALSE,"Schedule-5";#N/A,#N/A,FALSE,"Schedule-6,7,8,9";#N/A,#N/A,FALSE,"Schedule-10,11";#N/A,#N/A,FALSE,"Schedule-12,13,14,15";#N/A,#N/A,FALSE,"Scdedule-16"}</definedName>
    <definedName name="wrn.REPORT._2_3_1" hidden="1">{#N/A,#N/A,FALSE,"Balance Sheet";#N/A,#N/A,FALSE,"Profit &amp; Loss ";#N/A,#N/A,FALSE,"Schedule-1";#N/A,#N/A,FALSE,"Schedule-2";#N/A,#N/A,FALSE,"Schedule-3";#N/A,#N/A,FALSE,"Schedule-4 ";#N/A,#N/A,FALSE,"Schedule-5";#N/A,#N/A,FALSE,"Schedule-6,7,8,9";#N/A,#N/A,FALSE,"Schedule-10,11";#N/A,#N/A,FALSE,"Schedule-12,13,14,15";#N/A,#N/A,FALSE,"Scdedule-16"}</definedName>
    <definedName name="wrn.REPORT._2_3_2" hidden="1">{#N/A,#N/A,FALSE,"Balance Sheet";#N/A,#N/A,FALSE,"Profit &amp; Loss ";#N/A,#N/A,FALSE,"Schedule-1";#N/A,#N/A,FALSE,"Schedule-2";#N/A,#N/A,FALSE,"Schedule-3";#N/A,#N/A,FALSE,"Schedule-4 ";#N/A,#N/A,FALSE,"Schedule-5";#N/A,#N/A,FALSE,"Schedule-6,7,8,9";#N/A,#N/A,FALSE,"Schedule-10,11";#N/A,#N/A,FALSE,"Schedule-12,13,14,15";#N/A,#N/A,FALSE,"Scdedule-16"}</definedName>
    <definedName name="wrn.REPORT._2_3_3" hidden="1">{#N/A,#N/A,FALSE,"Balance Sheet";#N/A,#N/A,FALSE,"Profit &amp; Loss ";#N/A,#N/A,FALSE,"Schedule-1";#N/A,#N/A,FALSE,"Schedule-2";#N/A,#N/A,FALSE,"Schedule-3";#N/A,#N/A,FALSE,"Schedule-4 ";#N/A,#N/A,FALSE,"Schedule-5";#N/A,#N/A,FALSE,"Schedule-6,7,8,9";#N/A,#N/A,FALSE,"Schedule-10,11";#N/A,#N/A,FALSE,"Schedule-12,13,14,15";#N/A,#N/A,FALSE,"Scdedule-16"}</definedName>
    <definedName name="wrn.REPORT._2_3_4" hidden="1">{#N/A,#N/A,FALSE,"Balance Sheet";#N/A,#N/A,FALSE,"Profit &amp; Loss ";#N/A,#N/A,FALSE,"Schedule-1";#N/A,#N/A,FALSE,"Schedule-2";#N/A,#N/A,FALSE,"Schedule-3";#N/A,#N/A,FALSE,"Schedule-4 ";#N/A,#N/A,FALSE,"Schedule-5";#N/A,#N/A,FALSE,"Schedule-6,7,8,9";#N/A,#N/A,FALSE,"Schedule-10,11";#N/A,#N/A,FALSE,"Schedule-12,13,14,15";#N/A,#N/A,FALSE,"Scdedule-16"}</definedName>
    <definedName name="wrn.REPORT._2_3_5" hidden="1">{#N/A,#N/A,FALSE,"Balance Sheet";#N/A,#N/A,FALSE,"Profit &amp; Loss ";#N/A,#N/A,FALSE,"Schedule-1";#N/A,#N/A,FALSE,"Schedule-2";#N/A,#N/A,FALSE,"Schedule-3";#N/A,#N/A,FALSE,"Schedule-4 ";#N/A,#N/A,FALSE,"Schedule-5";#N/A,#N/A,FALSE,"Schedule-6,7,8,9";#N/A,#N/A,FALSE,"Schedule-10,11";#N/A,#N/A,FALSE,"Schedule-12,13,14,15";#N/A,#N/A,FALSE,"Scdedule-16"}</definedName>
    <definedName name="wrn.REPORT._2_4" hidden="1">{#N/A,#N/A,FALSE,"Balance Sheet";#N/A,#N/A,FALSE,"Profit &amp; Loss ";#N/A,#N/A,FALSE,"Schedule-1";#N/A,#N/A,FALSE,"Schedule-2";#N/A,#N/A,FALSE,"Schedule-3";#N/A,#N/A,FALSE,"Schedule-4 ";#N/A,#N/A,FALSE,"Schedule-5";#N/A,#N/A,FALSE,"Schedule-6,7,8,9";#N/A,#N/A,FALSE,"Schedule-10,11";#N/A,#N/A,FALSE,"Schedule-12,13,14,15";#N/A,#N/A,FALSE,"Scdedule-16"}</definedName>
    <definedName name="wrn.REPORT._2_4_1" hidden="1">{#N/A,#N/A,FALSE,"Balance Sheet";#N/A,#N/A,FALSE,"Profit &amp; Loss ";#N/A,#N/A,FALSE,"Schedule-1";#N/A,#N/A,FALSE,"Schedule-2";#N/A,#N/A,FALSE,"Schedule-3";#N/A,#N/A,FALSE,"Schedule-4 ";#N/A,#N/A,FALSE,"Schedule-5";#N/A,#N/A,FALSE,"Schedule-6,7,8,9";#N/A,#N/A,FALSE,"Schedule-10,11";#N/A,#N/A,FALSE,"Schedule-12,13,14,15";#N/A,#N/A,FALSE,"Scdedule-16"}</definedName>
    <definedName name="wrn.REPORT._2_4_2" hidden="1">{#N/A,#N/A,FALSE,"Balance Sheet";#N/A,#N/A,FALSE,"Profit &amp; Loss ";#N/A,#N/A,FALSE,"Schedule-1";#N/A,#N/A,FALSE,"Schedule-2";#N/A,#N/A,FALSE,"Schedule-3";#N/A,#N/A,FALSE,"Schedule-4 ";#N/A,#N/A,FALSE,"Schedule-5";#N/A,#N/A,FALSE,"Schedule-6,7,8,9";#N/A,#N/A,FALSE,"Schedule-10,11";#N/A,#N/A,FALSE,"Schedule-12,13,14,15";#N/A,#N/A,FALSE,"Scdedule-16"}</definedName>
    <definedName name="wrn.REPORT._2_4_3" hidden="1">{#N/A,#N/A,FALSE,"Balance Sheet";#N/A,#N/A,FALSE,"Profit &amp; Loss ";#N/A,#N/A,FALSE,"Schedule-1";#N/A,#N/A,FALSE,"Schedule-2";#N/A,#N/A,FALSE,"Schedule-3";#N/A,#N/A,FALSE,"Schedule-4 ";#N/A,#N/A,FALSE,"Schedule-5";#N/A,#N/A,FALSE,"Schedule-6,7,8,9";#N/A,#N/A,FALSE,"Schedule-10,11";#N/A,#N/A,FALSE,"Schedule-12,13,14,15";#N/A,#N/A,FALSE,"Scdedule-16"}</definedName>
    <definedName name="wrn.REPORT._2_4_4" hidden="1">{#N/A,#N/A,FALSE,"Balance Sheet";#N/A,#N/A,FALSE,"Profit &amp; Loss ";#N/A,#N/A,FALSE,"Schedule-1";#N/A,#N/A,FALSE,"Schedule-2";#N/A,#N/A,FALSE,"Schedule-3";#N/A,#N/A,FALSE,"Schedule-4 ";#N/A,#N/A,FALSE,"Schedule-5";#N/A,#N/A,FALSE,"Schedule-6,7,8,9";#N/A,#N/A,FALSE,"Schedule-10,11";#N/A,#N/A,FALSE,"Schedule-12,13,14,15";#N/A,#N/A,FALSE,"Scdedule-16"}</definedName>
    <definedName name="wrn.REPORT._2_4_5" hidden="1">{#N/A,#N/A,FALSE,"Balance Sheet";#N/A,#N/A,FALSE,"Profit &amp; Loss ";#N/A,#N/A,FALSE,"Schedule-1";#N/A,#N/A,FALSE,"Schedule-2";#N/A,#N/A,FALSE,"Schedule-3";#N/A,#N/A,FALSE,"Schedule-4 ";#N/A,#N/A,FALSE,"Schedule-5";#N/A,#N/A,FALSE,"Schedule-6,7,8,9";#N/A,#N/A,FALSE,"Schedule-10,11";#N/A,#N/A,FALSE,"Schedule-12,13,14,15";#N/A,#N/A,FALSE,"Scdedule-16"}</definedName>
    <definedName name="wrn.REPORT._2_5" hidden="1">{#N/A,#N/A,FALSE,"Balance Sheet";#N/A,#N/A,FALSE,"Profit &amp; Loss ";#N/A,#N/A,FALSE,"Schedule-1";#N/A,#N/A,FALSE,"Schedule-2";#N/A,#N/A,FALSE,"Schedule-3";#N/A,#N/A,FALSE,"Schedule-4 ";#N/A,#N/A,FALSE,"Schedule-5";#N/A,#N/A,FALSE,"Schedule-6,7,8,9";#N/A,#N/A,FALSE,"Schedule-10,11";#N/A,#N/A,FALSE,"Schedule-12,13,14,15";#N/A,#N/A,FALSE,"Scdedule-16"}</definedName>
    <definedName name="wrn.REPORT._2_5_1" hidden="1">{#N/A,#N/A,FALSE,"Balance Sheet";#N/A,#N/A,FALSE,"Profit &amp; Loss ";#N/A,#N/A,FALSE,"Schedule-1";#N/A,#N/A,FALSE,"Schedule-2";#N/A,#N/A,FALSE,"Schedule-3";#N/A,#N/A,FALSE,"Schedule-4 ";#N/A,#N/A,FALSE,"Schedule-5";#N/A,#N/A,FALSE,"Schedule-6,7,8,9";#N/A,#N/A,FALSE,"Schedule-10,11";#N/A,#N/A,FALSE,"Schedule-12,13,14,15";#N/A,#N/A,FALSE,"Scdedule-16"}</definedName>
    <definedName name="wrn.REPORT._2_5_2" hidden="1">{#N/A,#N/A,FALSE,"Balance Sheet";#N/A,#N/A,FALSE,"Profit &amp; Loss ";#N/A,#N/A,FALSE,"Schedule-1";#N/A,#N/A,FALSE,"Schedule-2";#N/A,#N/A,FALSE,"Schedule-3";#N/A,#N/A,FALSE,"Schedule-4 ";#N/A,#N/A,FALSE,"Schedule-5";#N/A,#N/A,FALSE,"Schedule-6,7,8,9";#N/A,#N/A,FALSE,"Schedule-10,11";#N/A,#N/A,FALSE,"Schedule-12,13,14,15";#N/A,#N/A,FALSE,"Scdedule-16"}</definedName>
    <definedName name="wrn.REPORT._2_5_3" hidden="1">{#N/A,#N/A,FALSE,"Balance Sheet";#N/A,#N/A,FALSE,"Profit &amp; Loss ";#N/A,#N/A,FALSE,"Schedule-1";#N/A,#N/A,FALSE,"Schedule-2";#N/A,#N/A,FALSE,"Schedule-3";#N/A,#N/A,FALSE,"Schedule-4 ";#N/A,#N/A,FALSE,"Schedule-5";#N/A,#N/A,FALSE,"Schedule-6,7,8,9";#N/A,#N/A,FALSE,"Schedule-10,11";#N/A,#N/A,FALSE,"Schedule-12,13,14,15";#N/A,#N/A,FALSE,"Scdedule-16"}</definedName>
    <definedName name="wrn.REPORT._2_5_4" hidden="1">{#N/A,#N/A,FALSE,"Balance Sheet";#N/A,#N/A,FALSE,"Profit &amp; Loss ";#N/A,#N/A,FALSE,"Schedule-1";#N/A,#N/A,FALSE,"Schedule-2";#N/A,#N/A,FALSE,"Schedule-3";#N/A,#N/A,FALSE,"Schedule-4 ";#N/A,#N/A,FALSE,"Schedule-5";#N/A,#N/A,FALSE,"Schedule-6,7,8,9";#N/A,#N/A,FALSE,"Schedule-10,11";#N/A,#N/A,FALSE,"Schedule-12,13,14,15";#N/A,#N/A,FALSE,"Scdedule-16"}</definedName>
    <definedName name="wrn.REPORT._2_5_5" hidden="1">{#N/A,#N/A,FALSE,"Balance Sheet";#N/A,#N/A,FALSE,"Profit &amp; Loss ";#N/A,#N/A,FALSE,"Schedule-1";#N/A,#N/A,FALSE,"Schedule-2";#N/A,#N/A,FALSE,"Schedule-3";#N/A,#N/A,FALSE,"Schedule-4 ";#N/A,#N/A,FALSE,"Schedule-5";#N/A,#N/A,FALSE,"Schedule-6,7,8,9";#N/A,#N/A,FALSE,"Schedule-10,11";#N/A,#N/A,FALSE,"Schedule-12,13,14,15";#N/A,#N/A,FALSE,"Scdedule-16"}</definedName>
    <definedName name="wrn.REPORT._3" hidden="1">{#N/A,#N/A,FALSE,"Balance Sheet";#N/A,#N/A,FALSE,"Profit &amp; Loss ";#N/A,#N/A,FALSE,"Schedule-1";#N/A,#N/A,FALSE,"Schedule-2";#N/A,#N/A,FALSE,"Schedule-3";#N/A,#N/A,FALSE,"Schedule-4 ";#N/A,#N/A,FALSE,"Schedule-5";#N/A,#N/A,FALSE,"Schedule-6,7,8,9";#N/A,#N/A,FALSE,"Schedule-10,11";#N/A,#N/A,FALSE,"Schedule-12,13,14,15";#N/A,#N/A,FALSE,"Scdedule-16"}</definedName>
    <definedName name="wrn.REPORT._3_1" hidden="1">{#N/A,#N/A,FALSE,"Balance Sheet";#N/A,#N/A,FALSE,"Profit &amp; Loss ";#N/A,#N/A,FALSE,"Schedule-1";#N/A,#N/A,FALSE,"Schedule-2";#N/A,#N/A,FALSE,"Schedule-3";#N/A,#N/A,FALSE,"Schedule-4 ";#N/A,#N/A,FALSE,"Schedule-5";#N/A,#N/A,FALSE,"Schedule-6,7,8,9";#N/A,#N/A,FALSE,"Schedule-10,11";#N/A,#N/A,FALSE,"Schedule-12,13,14,15";#N/A,#N/A,FALSE,"Scdedule-16"}</definedName>
    <definedName name="wrn.REPORT._3_1_1" hidden="1">{#N/A,#N/A,FALSE,"Balance Sheet";#N/A,#N/A,FALSE,"Profit &amp; Loss ";#N/A,#N/A,FALSE,"Schedule-1";#N/A,#N/A,FALSE,"Schedule-2";#N/A,#N/A,FALSE,"Schedule-3";#N/A,#N/A,FALSE,"Schedule-4 ";#N/A,#N/A,FALSE,"Schedule-5";#N/A,#N/A,FALSE,"Schedule-6,7,8,9";#N/A,#N/A,FALSE,"Schedule-10,11";#N/A,#N/A,FALSE,"Schedule-12,13,14,15";#N/A,#N/A,FALSE,"Scdedule-16"}</definedName>
    <definedName name="wrn.REPORT._3_1_2" hidden="1">{#N/A,#N/A,FALSE,"Balance Sheet";#N/A,#N/A,FALSE,"Profit &amp; Loss ";#N/A,#N/A,FALSE,"Schedule-1";#N/A,#N/A,FALSE,"Schedule-2";#N/A,#N/A,FALSE,"Schedule-3";#N/A,#N/A,FALSE,"Schedule-4 ";#N/A,#N/A,FALSE,"Schedule-5";#N/A,#N/A,FALSE,"Schedule-6,7,8,9";#N/A,#N/A,FALSE,"Schedule-10,11";#N/A,#N/A,FALSE,"Schedule-12,13,14,15";#N/A,#N/A,FALSE,"Scdedule-16"}</definedName>
    <definedName name="wrn.REPORT._3_1_3" hidden="1">{#N/A,#N/A,FALSE,"Balance Sheet";#N/A,#N/A,FALSE,"Profit &amp; Loss ";#N/A,#N/A,FALSE,"Schedule-1";#N/A,#N/A,FALSE,"Schedule-2";#N/A,#N/A,FALSE,"Schedule-3";#N/A,#N/A,FALSE,"Schedule-4 ";#N/A,#N/A,FALSE,"Schedule-5";#N/A,#N/A,FALSE,"Schedule-6,7,8,9";#N/A,#N/A,FALSE,"Schedule-10,11";#N/A,#N/A,FALSE,"Schedule-12,13,14,15";#N/A,#N/A,FALSE,"Scdedule-16"}</definedName>
    <definedName name="wrn.REPORT._3_1_4" hidden="1">{#N/A,#N/A,FALSE,"Balance Sheet";#N/A,#N/A,FALSE,"Profit &amp; Loss ";#N/A,#N/A,FALSE,"Schedule-1";#N/A,#N/A,FALSE,"Schedule-2";#N/A,#N/A,FALSE,"Schedule-3";#N/A,#N/A,FALSE,"Schedule-4 ";#N/A,#N/A,FALSE,"Schedule-5";#N/A,#N/A,FALSE,"Schedule-6,7,8,9";#N/A,#N/A,FALSE,"Schedule-10,11";#N/A,#N/A,FALSE,"Schedule-12,13,14,15";#N/A,#N/A,FALSE,"Scdedule-16"}</definedName>
    <definedName name="wrn.REPORT._3_1_5" hidden="1">{#N/A,#N/A,FALSE,"Balance Sheet";#N/A,#N/A,FALSE,"Profit &amp; Loss ";#N/A,#N/A,FALSE,"Schedule-1";#N/A,#N/A,FALSE,"Schedule-2";#N/A,#N/A,FALSE,"Schedule-3";#N/A,#N/A,FALSE,"Schedule-4 ";#N/A,#N/A,FALSE,"Schedule-5";#N/A,#N/A,FALSE,"Schedule-6,7,8,9";#N/A,#N/A,FALSE,"Schedule-10,11";#N/A,#N/A,FALSE,"Schedule-12,13,14,15";#N/A,#N/A,FALSE,"Scdedule-16"}</definedName>
    <definedName name="wrn.REPORT._3_2" hidden="1">{#N/A,#N/A,FALSE,"Balance Sheet";#N/A,#N/A,FALSE,"Profit &amp; Loss ";#N/A,#N/A,FALSE,"Schedule-1";#N/A,#N/A,FALSE,"Schedule-2";#N/A,#N/A,FALSE,"Schedule-3";#N/A,#N/A,FALSE,"Schedule-4 ";#N/A,#N/A,FALSE,"Schedule-5";#N/A,#N/A,FALSE,"Schedule-6,7,8,9";#N/A,#N/A,FALSE,"Schedule-10,11";#N/A,#N/A,FALSE,"Schedule-12,13,14,15";#N/A,#N/A,FALSE,"Scdedule-16"}</definedName>
    <definedName name="wrn.REPORT._3_2_1" hidden="1">{#N/A,#N/A,FALSE,"Balance Sheet";#N/A,#N/A,FALSE,"Profit &amp; Loss ";#N/A,#N/A,FALSE,"Schedule-1";#N/A,#N/A,FALSE,"Schedule-2";#N/A,#N/A,FALSE,"Schedule-3";#N/A,#N/A,FALSE,"Schedule-4 ";#N/A,#N/A,FALSE,"Schedule-5";#N/A,#N/A,FALSE,"Schedule-6,7,8,9";#N/A,#N/A,FALSE,"Schedule-10,11";#N/A,#N/A,FALSE,"Schedule-12,13,14,15";#N/A,#N/A,FALSE,"Scdedule-16"}</definedName>
    <definedName name="wrn.REPORT._3_2_2" hidden="1">{#N/A,#N/A,FALSE,"Balance Sheet";#N/A,#N/A,FALSE,"Profit &amp; Loss ";#N/A,#N/A,FALSE,"Schedule-1";#N/A,#N/A,FALSE,"Schedule-2";#N/A,#N/A,FALSE,"Schedule-3";#N/A,#N/A,FALSE,"Schedule-4 ";#N/A,#N/A,FALSE,"Schedule-5";#N/A,#N/A,FALSE,"Schedule-6,7,8,9";#N/A,#N/A,FALSE,"Schedule-10,11";#N/A,#N/A,FALSE,"Schedule-12,13,14,15";#N/A,#N/A,FALSE,"Scdedule-16"}</definedName>
    <definedName name="wrn.REPORT._3_2_3" hidden="1">{#N/A,#N/A,FALSE,"Balance Sheet";#N/A,#N/A,FALSE,"Profit &amp; Loss ";#N/A,#N/A,FALSE,"Schedule-1";#N/A,#N/A,FALSE,"Schedule-2";#N/A,#N/A,FALSE,"Schedule-3";#N/A,#N/A,FALSE,"Schedule-4 ";#N/A,#N/A,FALSE,"Schedule-5";#N/A,#N/A,FALSE,"Schedule-6,7,8,9";#N/A,#N/A,FALSE,"Schedule-10,11";#N/A,#N/A,FALSE,"Schedule-12,13,14,15";#N/A,#N/A,FALSE,"Scdedule-16"}</definedName>
    <definedName name="wrn.REPORT._3_2_4" hidden="1">{#N/A,#N/A,FALSE,"Balance Sheet";#N/A,#N/A,FALSE,"Profit &amp; Loss ";#N/A,#N/A,FALSE,"Schedule-1";#N/A,#N/A,FALSE,"Schedule-2";#N/A,#N/A,FALSE,"Schedule-3";#N/A,#N/A,FALSE,"Schedule-4 ";#N/A,#N/A,FALSE,"Schedule-5";#N/A,#N/A,FALSE,"Schedule-6,7,8,9";#N/A,#N/A,FALSE,"Schedule-10,11";#N/A,#N/A,FALSE,"Schedule-12,13,14,15";#N/A,#N/A,FALSE,"Scdedule-16"}</definedName>
    <definedName name="wrn.REPORT._3_2_5" hidden="1">{#N/A,#N/A,FALSE,"Balance Sheet";#N/A,#N/A,FALSE,"Profit &amp; Loss ";#N/A,#N/A,FALSE,"Schedule-1";#N/A,#N/A,FALSE,"Schedule-2";#N/A,#N/A,FALSE,"Schedule-3";#N/A,#N/A,FALSE,"Schedule-4 ";#N/A,#N/A,FALSE,"Schedule-5";#N/A,#N/A,FALSE,"Schedule-6,7,8,9";#N/A,#N/A,FALSE,"Schedule-10,11";#N/A,#N/A,FALSE,"Schedule-12,13,14,15";#N/A,#N/A,FALSE,"Scdedule-16"}</definedName>
    <definedName name="wrn.REPORT._3_3" hidden="1">{#N/A,#N/A,FALSE,"Balance Sheet";#N/A,#N/A,FALSE,"Profit &amp; Loss ";#N/A,#N/A,FALSE,"Schedule-1";#N/A,#N/A,FALSE,"Schedule-2";#N/A,#N/A,FALSE,"Schedule-3";#N/A,#N/A,FALSE,"Schedule-4 ";#N/A,#N/A,FALSE,"Schedule-5";#N/A,#N/A,FALSE,"Schedule-6,7,8,9";#N/A,#N/A,FALSE,"Schedule-10,11";#N/A,#N/A,FALSE,"Schedule-12,13,14,15";#N/A,#N/A,FALSE,"Scdedule-16"}</definedName>
    <definedName name="wrn.REPORT._3_3_1" hidden="1">{#N/A,#N/A,FALSE,"Balance Sheet";#N/A,#N/A,FALSE,"Profit &amp; Loss ";#N/A,#N/A,FALSE,"Schedule-1";#N/A,#N/A,FALSE,"Schedule-2";#N/A,#N/A,FALSE,"Schedule-3";#N/A,#N/A,FALSE,"Schedule-4 ";#N/A,#N/A,FALSE,"Schedule-5";#N/A,#N/A,FALSE,"Schedule-6,7,8,9";#N/A,#N/A,FALSE,"Schedule-10,11";#N/A,#N/A,FALSE,"Schedule-12,13,14,15";#N/A,#N/A,FALSE,"Scdedule-16"}</definedName>
    <definedName name="wrn.REPORT._3_3_2" hidden="1">{#N/A,#N/A,FALSE,"Balance Sheet";#N/A,#N/A,FALSE,"Profit &amp; Loss ";#N/A,#N/A,FALSE,"Schedule-1";#N/A,#N/A,FALSE,"Schedule-2";#N/A,#N/A,FALSE,"Schedule-3";#N/A,#N/A,FALSE,"Schedule-4 ";#N/A,#N/A,FALSE,"Schedule-5";#N/A,#N/A,FALSE,"Schedule-6,7,8,9";#N/A,#N/A,FALSE,"Schedule-10,11";#N/A,#N/A,FALSE,"Schedule-12,13,14,15";#N/A,#N/A,FALSE,"Scdedule-16"}</definedName>
    <definedName name="wrn.REPORT._3_3_3" hidden="1">{#N/A,#N/A,FALSE,"Balance Sheet";#N/A,#N/A,FALSE,"Profit &amp; Loss ";#N/A,#N/A,FALSE,"Schedule-1";#N/A,#N/A,FALSE,"Schedule-2";#N/A,#N/A,FALSE,"Schedule-3";#N/A,#N/A,FALSE,"Schedule-4 ";#N/A,#N/A,FALSE,"Schedule-5";#N/A,#N/A,FALSE,"Schedule-6,7,8,9";#N/A,#N/A,FALSE,"Schedule-10,11";#N/A,#N/A,FALSE,"Schedule-12,13,14,15";#N/A,#N/A,FALSE,"Scdedule-16"}</definedName>
    <definedName name="wrn.REPORT._3_3_4" hidden="1">{#N/A,#N/A,FALSE,"Balance Sheet";#N/A,#N/A,FALSE,"Profit &amp; Loss ";#N/A,#N/A,FALSE,"Schedule-1";#N/A,#N/A,FALSE,"Schedule-2";#N/A,#N/A,FALSE,"Schedule-3";#N/A,#N/A,FALSE,"Schedule-4 ";#N/A,#N/A,FALSE,"Schedule-5";#N/A,#N/A,FALSE,"Schedule-6,7,8,9";#N/A,#N/A,FALSE,"Schedule-10,11";#N/A,#N/A,FALSE,"Schedule-12,13,14,15";#N/A,#N/A,FALSE,"Scdedule-16"}</definedName>
    <definedName name="wrn.REPORT._3_3_5" hidden="1">{#N/A,#N/A,FALSE,"Balance Sheet";#N/A,#N/A,FALSE,"Profit &amp; Loss ";#N/A,#N/A,FALSE,"Schedule-1";#N/A,#N/A,FALSE,"Schedule-2";#N/A,#N/A,FALSE,"Schedule-3";#N/A,#N/A,FALSE,"Schedule-4 ";#N/A,#N/A,FALSE,"Schedule-5";#N/A,#N/A,FALSE,"Schedule-6,7,8,9";#N/A,#N/A,FALSE,"Schedule-10,11";#N/A,#N/A,FALSE,"Schedule-12,13,14,15";#N/A,#N/A,FALSE,"Scdedule-16"}</definedName>
    <definedName name="wrn.REPORT._3_4" hidden="1">{#N/A,#N/A,FALSE,"Balance Sheet";#N/A,#N/A,FALSE,"Profit &amp; Loss ";#N/A,#N/A,FALSE,"Schedule-1";#N/A,#N/A,FALSE,"Schedule-2";#N/A,#N/A,FALSE,"Schedule-3";#N/A,#N/A,FALSE,"Schedule-4 ";#N/A,#N/A,FALSE,"Schedule-5";#N/A,#N/A,FALSE,"Schedule-6,7,8,9";#N/A,#N/A,FALSE,"Schedule-10,11";#N/A,#N/A,FALSE,"Schedule-12,13,14,15";#N/A,#N/A,FALSE,"Scdedule-16"}</definedName>
    <definedName name="wrn.REPORT._3_4_1" hidden="1">{#N/A,#N/A,FALSE,"Balance Sheet";#N/A,#N/A,FALSE,"Profit &amp; Loss ";#N/A,#N/A,FALSE,"Schedule-1";#N/A,#N/A,FALSE,"Schedule-2";#N/A,#N/A,FALSE,"Schedule-3";#N/A,#N/A,FALSE,"Schedule-4 ";#N/A,#N/A,FALSE,"Schedule-5";#N/A,#N/A,FALSE,"Schedule-6,7,8,9";#N/A,#N/A,FALSE,"Schedule-10,11";#N/A,#N/A,FALSE,"Schedule-12,13,14,15";#N/A,#N/A,FALSE,"Scdedule-16"}</definedName>
    <definedName name="wrn.REPORT._3_4_2" hidden="1">{#N/A,#N/A,FALSE,"Balance Sheet";#N/A,#N/A,FALSE,"Profit &amp; Loss ";#N/A,#N/A,FALSE,"Schedule-1";#N/A,#N/A,FALSE,"Schedule-2";#N/A,#N/A,FALSE,"Schedule-3";#N/A,#N/A,FALSE,"Schedule-4 ";#N/A,#N/A,FALSE,"Schedule-5";#N/A,#N/A,FALSE,"Schedule-6,7,8,9";#N/A,#N/A,FALSE,"Schedule-10,11";#N/A,#N/A,FALSE,"Schedule-12,13,14,15";#N/A,#N/A,FALSE,"Scdedule-16"}</definedName>
    <definedName name="wrn.REPORT._3_4_3" hidden="1">{#N/A,#N/A,FALSE,"Balance Sheet";#N/A,#N/A,FALSE,"Profit &amp; Loss ";#N/A,#N/A,FALSE,"Schedule-1";#N/A,#N/A,FALSE,"Schedule-2";#N/A,#N/A,FALSE,"Schedule-3";#N/A,#N/A,FALSE,"Schedule-4 ";#N/A,#N/A,FALSE,"Schedule-5";#N/A,#N/A,FALSE,"Schedule-6,7,8,9";#N/A,#N/A,FALSE,"Schedule-10,11";#N/A,#N/A,FALSE,"Schedule-12,13,14,15";#N/A,#N/A,FALSE,"Scdedule-16"}</definedName>
    <definedName name="wrn.REPORT._3_4_4" hidden="1">{#N/A,#N/A,FALSE,"Balance Sheet";#N/A,#N/A,FALSE,"Profit &amp; Loss ";#N/A,#N/A,FALSE,"Schedule-1";#N/A,#N/A,FALSE,"Schedule-2";#N/A,#N/A,FALSE,"Schedule-3";#N/A,#N/A,FALSE,"Schedule-4 ";#N/A,#N/A,FALSE,"Schedule-5";#N/A,#N/A,FALSE,"Schedule-6,7,8,9";#N/A,#N/A,FALSE,"Schedule-10,11";#N/A,#N/A,FALSE,"Schedule-12,13,14,15";#N/A,#N/A,FALSE,"Scdedule-16"}</definedName>
    <definedName name="wrn.REPORT._3_4_5" hidden="1">{#N/A,#N/A,FALSE,"Balance Sheet";#N/A,#N/A,FALSE,"Profit &amp; Loss ";#N/A,#N/A,FALSE,"Schedule-1";#N/A,#N/A,FALSE,"Schedule-2";#N/A,#N/A,FALSE,"Schedule-3";#N/A,#N/A,FALSE,"Schedule-4 ";#N/A,#N/A,FALSE,"Schedule-5";#N/A,#N/A,FALSE,"Schedule-6,7,8,9";#N/A,#N/A,FALSE,"Schedule-10,11";#N/A,#N/A,FALSE,"Schedule-12,13,14,15";#N/A,#N/A,FALSE,"Scdedule-16"}</definedName>
    <definedName name="wrn.REPORT._3_5" hidden="1">{#N/A,#N/A,FALSE,"Balance Sheet";#N/A,#N/A,FALSE,"Profit &amp; Loss ";#N/A,#N/A,FALSE,"Schedule-1";#N/A,#N/A,FALSE,"Schedule-2";#N/A,#N/A,FALSE,"Schedule-3";#N/A,#N/A,FALSE,"Schedule-4 ";#N/A,#N/A,FALSE,"Schedule-5";#N/A,#N/A,FALSE,"Schedule-6,7,8,9";#N/A,#N/A,FALSE,"Schedule-10,11";#N/A,#N/A,FALSE,"Schedule-12,13,14,15";#N/A,#N/A,FALSE,"Scdedule-16"}</definedName>
    <definedName name="wrn.REPORT._3_5_1" hidden="1">{#N/A,#N/A,FALSE,"Balance Sheet";#N/A,#N/A,FALSE,"Profit &amp; Loss ";#N/A,#N/A,FALSE,"Schedule-1";#N/A,#N/A,FALSE,"Schedule-2";#N/A,#N/A,FALSE,"Schedule-3";#N/A,#N/A,FALSE,"Schedule-4 ";#N/A,#N/A,FALSE,"Schedule-5";#N/A,#N/A,FALSE,"Schedule-6,7,8,9";#N/A,#N/A,FALSE,"Schedule-10,11";#N/A,#N/A,FALSE,"Schedule-12,13,14,15";#N/A,#N/A,FALSE,"Scdedule-16"}</definedName>
    <definedName name="wrn.REPORT._3_5_2" hidden="1">{#N/A,#N/A,FALSE,"Balance Sheet";#N/A,#N/A,FALSE,"Profit &amp; Loss ";#N/A,#N/A,FALSE,"Schedule-1";#N/A,#N/A,FALSE,"Schedule-2";#N/A,#N/A,FALSE,"Schedule-3";#N/A,#N/A,FALSE,"Schedule-4 ";#N/A,#N/A,FALSE,"Schedule-5";#N/A,#N/A,FALSE,"Schedule-6,7,8,9";#N/A,#N/A,FALSE,"Schedule-10,11";#N/A,#N/A,FALSE,"Schedule-12,13,14,15";#N/A,#N/A,FALSE,"Scdedule-16"}</definedName>
    <definedName name="wrn.REPORT._3_5_3" hidden="1">{#N/A,#N/A,FALSE,"Balance Sheet";#N/A,#N/A,FALSE,"Profit &amp; Loss ";#N/A,#N/A,FALSE,"Schedule-1";#N/A,#N/A,FALSE,"Schedule-2";#N/A,#N/A,FALSE,"Schedule-3";#N/A,#N/A,FALSE,"Schedule-4 ";#N/A,#N/A,FALSE,"Schedule-5";#N/A,#N/A,FALSE,"Schedule-6,7,8,9";#N/A,#N/A,FALSE,"Schedule-10,11";#N/A,#N/A,FALSE,"Schedule-12,13,14,15";#N/A,#N/A,FALSE,"Scdedule-16"}</definedName>
    <definedName name="wrn.REPORT._3_5_4" hidden="1">{#N/A,#N/A,FALSE,"Balance Sheet";#N/A,#N/A,FALSE,"Profit &amp; Loss ";#N/A,#N/A,FALSE,"Schedule-1";#N/A,#N/A,FALSE,"Schedule-2";#N/A,#N/A,FALSE,"Schedule-3";#N/A,#N/A,FALSE,"Schedule-4 ";#N/A,#N/A,FALSE,"Schedule-5";#N/A,#N/A,FALSE,"Schedule-6,7,8,9";#N/A,#N/A,FALSE,"Schedule-10,11";#N/A,#N/A,FALSE,"Schedule-12,13,14,15";#N/A,#N/A,FALSE,"Scdedule-16"}</definedName>
    <definedName name="wrn.REPORT._3_5_5" hidden="1">{#N/A,#N/A,FALSE,"Balance Sheet";#N/A,#N/A,FALSE,"Profit &amp; Loss ";#N/A,#N/A,FALSE,"Schedule-1";#N/A,#N/A,FALSE,"Schedule-2";#N/A,#N/A,FALSE,"Schedule-3";#N/A,#N/A,FALSE,"Schedule-4 ";#N/A,#N/A,FALSE,"Schedule-5";#N/A,#N/A,FALSE,"Schedule-6,7,8,9";#N/A,#N/A,FALSE,"Schedule-10,11";#N/A,#N/A,FALSE,"Schedule-12,13,14,15";#N/A,#N/A,FALSE,"Scdedule-16"}</definedName>
    <definedName name="wrn.REPORT._4" hidden="1">{#N/A,#N/A,FALSE,"Balance Sheet";#N/A,#N/A,FALSE,"Profit &amp; Loss ";#N/A,#N/A,FALSE,"Schedule-1";#N/A,#N/A,FALSE,"Schedule-2";#N/A,#N/A,FALSE,"Schedule-3";#N/A,#N/A,FALSE,"Schedule-4 ";#N/A,#N/A,FALSE,"Schedule-5";#N/A,#N/A,FALSE,"Schedule-6,7,8,9";#N/A,#N/A,FALSE,"Schedule-10,11";#N/A,#N/A,FALSE,"Schedule-12,13,14,15";#N/A,#N/A,FALSE,"Scdedule-16"}</definedName>
    <definedName name="wrn.REPORT._4_1" hidden="1">{#N/A,#N/A,FALSE,"Balance Sheet";#N/A,#N/A,FALSE,"Profit &amp; Loss ";#N/A,#N/A,FALSE,"Schedule-1";#N/A,#N/A,FALSE,"Schedule-2";#N/A,#N/A,FALSE,"Schedule-3";#N/A,#N/A,FALSE,"Schedule-4 ";#N/A,#N/A,FALSE,"Schedule-5";#N/A,#N/A,FALSE,"Schedule-6,7,8,9";#N/A,#N/A,FALSE,"Schedule-10,11";#N/A,#N/A,FALSE,"Schedule-12,13,14,15";#N/A,#N/A,FALSE,"Scdedule-16"}</definedName>
    <definedName name="wrn.REPORT._4_1_1" hidden="1">{#N/A,#N/A,FALSE,"Balance Sheet";#N/A,#N/A,FALSE,"Profit &amp; Loss ";#N/A,#N/A,FALSE,"Schedule-1";#N/A,#N/A,FALSE,"Schedule-2";#N/A,#N/A,FALSE,"Schedule-3";#N/A,#N/A,FALSE,"Schedule-4 ";#N/A,#N/A,FALSE,"Schedule-5";#N/A,#N/A,FALSE,"Schedule-6,7,8,9";#N/A,#N/A,FALSE,"Schedule-10,11";#N/A,#N/A,FALSE,"Schedule-12,13,14,15";#N/A,#N/A,FALSE,"Scdedule-16"}</definedName>
    <definedName name="wrn.REPORT._4_1_2" hidden="1">{#N/A,#N/A,FALSE,"Balance Sheet";#N/A,#N/A,FALSE,"Profit &amp; Loss ";#N/A,#N/A,FALSE,"Schedule-1";#N/A,#N/A,FALSE,"Schedule-2";#N/A,#N/A,FALSE,"Schedule-3";#N/A,#N/A,FALSE,"Schedule-4 ";#N/A,#N/A,FALSE,"Schedule-5";#N/A,#N/A,FALSE,"Schedule-6,7,8,9";#N/A,#N/A,FALSE,"Schedule-10,11";#N/A,#N/A,FALSE,"Schedule-12,13,14,15";#N/A,#N/A,FALSE,"Scdedule-16"}</definedName>
    <definedName name="wrn.REPORT._4_1_3" hidden="1">{#N/A,#N/A,FALSE,"Balance Sheet";#N/A,#N/A,FALSE,"Profit &amp; Loss ";#N/A,#N/A,FALSE,"Schedule-1";#N/A,#N/A,FALSE,"Schedule-2";#N/A,#N/A,FALSE,"Schedule-3";#N/A,#N/A,FALSE,"Schedule-4 ";#N/A,#N/A,FALSE,"Schedule-5";#N/A,#N/A,FALSE,"Schedule-6,7,8,9";#N/A,#N/A,FALSE,"Schedule-10,11";#N/A,#N/A,FALSE,"Schedule-12,13,14,15";#N/A,#N/A,FALSE,"Scdedule-16"}</definedName>
    <definedName name="wrn.REPORT._4_1_4" hidden="1">{#N/A,#N/A,FALSE,"Balance Sheet";#N/A,#N/A,FALSE,"Profit &amp; Loss ";#N/A,#N/A,FALSE,"Schedule-1";#N/A,#N/A,FALSE,"Schedule-2";#N/A,#N/A,FALSE,"Schedule-3";#N/A,#N/A,FALSE,"Schedule-4 ";#N/A,#N/A,FALSE,"Schedule-5";#N/A,#N/A,FALSE,"Schedule-6,7,8,9";#N/A,#N/A,FALSE,"Schedule-10,11";#N/A,#N/A,FALSE,"Schedule-12,13,14,15";#N/A,#N/A,FALSE,"Scdedule-16"}</definedName>
    <definedName name="wrn.REPORT._4_1_5" hidden="1">{#N/A,#N/A,FALSE,"Balance Sheet";#N/A,#N/A,FALSE,"Profit &amp; Loss ";#N/A,#N/A,FALSE,"Schedule-1";#N/A,#N/A,FALSE,"Schedule-2";#N/A,#N/A,FALSE,"Schedule-3";#N/A,#N/A,FALSE,"Schedule-4 ";#N/A,#N/A,FALSE,"Schedule-5";#N/A,#N/A,FALSE,"Schedule-6,7,8,9";#N/A,#N/A,FALSE,"Schedule-10,11";#N/A,#N/A,FALSE,"Schedule-12,13,14,15";#N/A,#N/A,FALSE,"Scdedule-16"}</definedName>
    <definedName name="wrn.REPORT._4_2" hidden="1">{#N/A,#N/A,FALSE,"Balance Sheet";#N/A,#N/A,FALSE,"Profit &amp; Loss ";#N/A,#N/A,FALSE,"Schedule-1";#N/A,#N/A,FALSE,"Schedule-2";#N/A,#N/A,FALSE,"Schedule-3";#N/A,#N/A,FALSE,"Schedule-4 ";#N/A,#N/A,FALSE,"Schedule-5";#N/A,#N/A,FALSE,"Schedule-6,7,8,9";#N/A,#N/A,FALSE,"Schedule-10,11";#N/A,#N/A,FALSE,"Schedule-12,13,14,15";#N/A,#N/A,FALSE,"Scdedule-16"}</definedName>
    <definedName name="wrn.REPORT._4_2_1" hidden="1">{#N/A,#N/A,FALSE,"Balance Sheet";#N/A,#N/A,FALSE,"Profit &amp; Loss ";#N/A,#N/A,FALSE,"Schedule-1";#N/A,#N/A,FALSE,"Schedule-2";#N/A,#N/A,FALSE,"Schedule-3";#N/A,#N/A,FALSE,"Schedule-4 ";#N/A,#N/A,FALSE,"Schedule-5";#N/A,#N/A,FALSE,"Schedule-6,7,8,9";#N/A,#N/A,FALSE,"Schedule-10,11";#N/A,#N/A,FALSE,"Schedule-12,13,14,15";#N/A,#N/A,FALSE,"Scdedule-16"}</definedName>
    <definedName name="wrn.REPORT._4_2_2" hidden="1">{#N/A,#N/A,FALSE,"Balance Sheet";#N/A,#N/A,FALSE,"Profit &amp; Loss ";#N/A,#N/A,FALSE,"Schedule-1";#N/A,#N/A,FALSE,"Schedule-2";#N/A,#N/A,FALSE,"Schedule-3";#N/A,#N/A,FALSE,"Schedule-4 ";#N/A,#N/A,FALSE,"Schedule-5";#N/A,#N/A,FALSE,"Schedule-6,7,8,9";#N/A,#N/A,FALSE,"Schedule-10,11";#N/A,#N/A,FALSE,"Schedule-12,13,14,15";#N/A,#N/A,FALSE,"Scdedule-16"}</definedName>
    <definedName name="wrn.REPORT._4_2_3" hidden="1">{#N/A,#N/A,FALSE,"Balance Sheet";#N/A,#N/A,FALSE,"Profit &amp; Loss ";#N/A,#N/A,FALSE,"Schedule-1";#N/A,#N/A,FALSE,"Schedule-2";#N/A,#N/A,FALSE,"Schedule-3";#N/A,#N/A,FALSE,"Schedule-4 ";#N/A,#N/A,FALSE,"Schedule-5";#N/A,#N/A,FALSE,"Schedule-6,7,8,9";#N/A,#N/A,FALSE,"Schedule-10,11";#N/A,#N/A,FALSE,"Schedule-12,13,14,15";#N/A,#N/A,FALSE,"Scdedule-16"}</definedName>
    <definedName name="wrn.REPORT._4_2_4" hidden="1">{#N/A,#N/A,FALSE,"Balance Sheet";#N/A,#N/A,FALSE,"Profit &amp; Loss ";#N/A,#N/A,FALSE,"Schedule-1";#N/A,#N/A,FALSE,"Schedule-2";#N/A,#N/A,FALSE,"Schedule-3";#N/A,#N/A,FALSE,"Schedule-4 ";#N/A,#N/A,FALSE,"Schedule-5";#N/A,#N/A,FALSE,"Schedule-6,7,8,9";#N/A,#N/A,FALSE,"Schedule-10,11";#N/A,#N/A,FALSE,"Schedule-12,13,14,15";#N/A,#N/A,FALSE,"Scdedule-16"}</definedName>
    <definedName name="wrn.REPORT._4_2_5" hidden="1">{#N/A,#N/A,FALSE,"Balance Sheet";#N/A,#N/A,FALSE,"Profit &amp; Loss ";#N/A,#N/A,FALSE,"Schedule-1";#N/A,#N/A,FALSE,"Schedule-2";#N/A,#N/A,FALSE,"Schedule-3";#N/A,#N/A,FALSE,"Schedule-4 ";#N/A,#N/A,FALSE,"Schedule-5";#N/A,#N/A,FALSE,"Schedule-6,7,8,9";#N/A,#N/A,FALSE,"Schedule-10,11";#N/A,#N/A,FALSE,"Schedule-12,13,14,15";#N/A,#N/A,FALSE,"Scdedule-16"}</definedName>
    <definedName name="wrn.REPORT._4_3" hidden="1">{#N/A,#N/A,FALSE,"Balance Sheet";#N/A,#N/A,FALSE,"Profit &amp; Loss ";#N/A,#N/A,FALSE,"Schedule-1";#N/A,#N/A,FALSE,"Schedule-2";#N/A,#N/A,FALSE,"Schedule-3";#N/A,#N/A,FALSE,"Schedule-4 ";#N/A,#N/A,FALSE,"Schedule-5";#N/A,#N/A,FALSE,"Schedule-6,7,8,9";#N/A,#N/A,FALSE,"Schedule-10,11";#N/A,#N/A,FALSE,"Schedule-12,13,14,15";#N/A,#N/A,FALSE,"Scdedule-16"}</definedName>
    <definedName name="wrn.REPORT._4_3_1" hidden="1">{#N/A,#N/A,FALSE,"Balance Sheet";#N/A,#N/A,FALSE,"Profit &amp; Loss ";#N/A,#N/A,FALSE,"Schedule-1";#N/A,#N/A,FALSE,"Schedule-2";#N/A,#N/A,FALSE,"Schedule-3";#N/A,#N/A,FALSE,"Schedule-4 ";#N/A,#N/A,FALSE,"Schedule-5";#N/A,#N/A,FALSE,"Schedule-6,7,8,9";#N/A,#N/A,FALSE,"Schedule-10,11";#N/A,#N/A,FALSE,"Schedule-12,13,14,15";#N/A,#N/A,FALSE,"Scdedule-16"}</definedName>
    <definedName name="wrn.REPORT._4_3_2" hidden="1">{#N/A,#N/A,FALSE,"Balance Sheet";#N/A,#N/A,FALSE,"Profit &amp; Loss ";#N/A,#N/A,FALSE,"Schedule-1";#N/A,#N/A,FALSE,"Schedule-2";#N/A,#N/A,FALSE,"Schedule-3";#N/A,#N/A,FALSE,"Schedule-4 ";#N/A,#N/A,FALSE,"Schedule-5";#N/A,#N/A,FALSE,"Schedule-6,7,8,9";#N/A,#N/A,FALSE,"Schedule-10,11";#N/A,#N/A,FALSE,"Schedule-12,13,14,15";#N/A,#N/A,FALSE,"Scdedule-16"}</definedName>
    <definedName name="wrn.REPORT._4_3_3" hidden="1">{#N/A,#N/A,FALSE,"Balance Sheet";#N/A,#N/A,FALSE,"Profit &amp; Loss ";#N/A,#N/A,FALSE,"Schedule-1";#N/A,#N/A,FALSE,"Schedule-2";#N/A,#N/A,FALSE,"Schedule-3";#N/A,#N/A,FALSE,"Schedule-4 ";#N/A,#N/A,FALSE,"Schedule-5";#N/A,#N/A,FALSE,"Schedule-6,7,8,9";#N/A,#N/A,FALSE,"Schedule-10,11";#N/A,#N/A,FALSE,"Schedule-12,13,14,15";#N/A,#N/A,FALSE,"Scdedule-16"}</definedName>
    <definedName name="wrn.REPORT._4_3_4" hidden="1">{#N/A,#N/A,FALSE,"Balance Sheet";#N/A,#N/A,FALSE,"Profit &amp; Loss ";#N/A,#N/A,FALSE,"Schedule-1";#N/A,#N/A,FALSE,"Schedule-2";#N/A,#N/A,FALSE,"Schedule-3";#N/A,#N/A,FALSE,"Schedule-4 ";#N/A,#N/A,FALSE,"Schedule-5";#N/A,#N/A,FALSE,"Schedule-6,7,8,9";#N/A,#N/A,FALSE,"Schedule-10,11";#N/A,#N/A,FALSE,"Schedule-12,13,14,15";#N/A,#N/A,FALSE,"Scdedule-16"}</definedName>
    <definedName name="wrn.REPORT._4_3_5" hidden="1">{#N/A,#N/A,FALSE,"Balance Sheet";#N/A,#N/A,FALSE,"Profit &amp; Loss ";#N/A,#N/A,FALSE,"Schedule-1";#N/A,#N/A,FALSE,"Schedule-2";#N/A,#N/A,FALSE,"Schedule-3";#N/A,#N/A,FALSE,"Schedule-4 ";#N/A,#N/A,FALSE,"Schedule-5";#N/A,#N/A,FALSE,"Schedule-6,7,8,9";#N/A,#N/A,FALSE,"Schedule-10,11";#N/A,#N/A,FALSE,"Schedule-12,13,14,15";#N/A,#N/A,FALSE,"Scdedule-16"}</definedName>
    <definedName name="wrn.REPORT._4_4" hidden="1">{#N/A,#N/A,FALSE,"Balance Sheet";#N/A,#N/A,FALSE,"Profit &amp; Loss ";#N/A,#N/A,FALSE,"Schedule-1";#N/A,#N/A,FALSE,"Schedule-2";#N/A,#N/A,FALSE,"Schedule-3";#N/A,#N/A,FALSE,"Schedule-4 ";#N/A,#N/A,FALSE,"Schedule-5";#N/A,#N/A,FALSE,"Schedule-6,7,8,9";#N/A,#N/A,FALSE,"Schedule-10,11";#N/A,#N/A,FALSE,"Schedule-12,13,14,15";#N/A,#N/A,FALSE,"Scdedule-16"}</definedName>
    <definedName name="wrn.REPORT._4_4_1" hidden="1">{#N/A,#N/A,FALSE,"Balance Sheet";#N/A,#N/A,FALSE,"Profit &amp; Loss ";#N/A,#N/A,FALSE,"Schedule-1";#N/A,#N/A,FALSE,"Schedule-2";#N/A,#N/A,FALSE,"Schedule-3";#N/A,#N/A,FALSE,"Schedule-4 ";#N/A,#N/A,FALSE,"Schedule-5";#N/A,#N/A,FALSE,"Schedule-6,7,8,9";#N/A,#N/A,FALSE,"Schedule-10,11";#N/A,#N/A,FALSE,"Schedule-12,13,14,15";#N/A,#N/A,FALSE,"Scdedule-16"}</definedName>
    <definedName name="wrn.REPORT._4_4_2" hidden="1">{#N/A,#N/A,FALSE,"Balance Sheet";#N/A,#N/A,FALSE,"Profit &amp; Loss ";#N/A,#N/A,FALSE,"Schedule-1";#N/A,#N/A,FALSE,"Schedule-2";#N/A,#N/A,FALSE,"Schedule-3";#N/A,#N/A,FALSE,"Schedule-4 ";#N/A,#N/A,FALSE,"Schedule-5";#N/A,#N/A,FALSE,"Schedule-6,7,8,9";#N/A,#N/A,FALSE,"Schedule-10,11";#N/A,#N/A,FALSE,"Schedule-12,13,14,15";#N/A,#N/A,FALSE,"Scdedule-16"}</definedName>
    <definedName name="wrn.REPORT._4_4_3" hidden="1">{#N/A,#N/A,FALSE,"Balance Sheet";#N/A,#N/A,FALSE,"Profit &amp; Loss ";#N/A,#N/A,FALSE,"Schedule-1";#N/A,#N/A,FALSE,"Schedule-2";#N/A,#N/A,FALSE,"Schedule-3";#N/A,#N/A,FALSE,"Schedule-4 ";#N/A,#N/A,FALSE,"Schedule-5";#N/A,#N/A,FALSE,"Schedule-6,7,8,9";#N/A,#N/A,FALSE,"Schedule-10,11";#N/A,#N/A,FALSE,"Schedule-12,13,14,15";#N/A,#N/A,FALSE,"Scdedule-16"}</definedName>
    <definedName name="wrn.REPORT._4_4_4" hidden="1">{#N/A,#N/A,FALSE,"Balance Sheet";#N/A,#N/A,FALSE,"Profit &amp; Loss ";#N/A,#N/A,FALSE,"Schedule-1";#N/A,#N/A,FALSE,"Schedule-2";#N/A,#N/A,FALSE,"Schedule-3";#N/A,#N/A,FALSE,"Schedule-4 ";#N/A,#N/A,FALSE,"Schedule-5";#N/A,#N/A,FALSE,"Schedule-6,7,8,9";#N/A,#N/A,FALSE,"Schedule-10,11";#N/A,#N/A,FALSE,"Schedule-12,13,14,15";#N/A,#N/A,FALSE,"Scdedule-16"}</definedName>
    <definedName name="wrn.REPORT._4_4_5" hidden="1">{#N/A,#N/A,FALSE,"Balance Sheet";#N/A,#N/A,FALSE,"Profit &amp; Loss ";#N/A,#N/A,FALSE,"Schedule-1";#N/A,#N/A,FALSE,"Schedule-2";#N/A,#N/A,FALSE,"Schedule-3";#N/A,#N/A,FALSE,"Schedule-4 ";#N/A,#N/A,FALSE,"Schedule-5";#N/A,#N/A,FALSE,"Schedule-6,7,8,9";#N/A,#N/A,FALSE,"Schedule-10,11";#N/A,#N/A,FALSE,"Schedule-12,13,14,15";#N/A,#N/A,FALSE,"Scdedule-16"}</definedName>
    <definedName name="wrn.REPORT._4_5" hidden="1">{#N/A,#N/A,FALSE,"Balance Sheet";#N/A,#N/A,FALSE,"Profit &amp; Loss ";#N/A,#N/A,FALSE,"Schedule-1";#N/A,#N/A,FALSE,"Schedule-2";#N/A,#N/A,FALSE,"Schedule-3";#N/A,#N/A,FALSE,"Schedule-4 ";#N/A,#N/A,FALSE,"Schedule-5";#N/A,#N/A,FALSE,"Schedule-6,7,8,9";#N/A,#N/A,FALSE,"Schedule-10,11";#N/A,#N/A,FALSE,"Schedule-12,13,14,15";#N/A,#N/A,FALSE,"Scdedule-16"}</definedName>
    <definedName name="wrn.REPORT._4_5_1" hidden="1">{#N/A,#N/A,FALSE,"Balance Sheet";#N/A,#N/A,FALSE,"Profit &amp; Loss ";#N/A,#N/A,FALSE,"Schedule-1";#N/A,#N/A,FALSE,"Schedule-2";#N/A,#N/A,FALSE,"Schedule-3";#N/A,#N/A,FALSE,"Schedule-4 ";#N/A,#N/A,FALSE,"Schedule-5";#N/A,#N/A,FALSE,"Schedule-6,7,8,9";#N/A,#N/A,FALSE,"Schedule-10,11";#N/A,#N/A,FALSE,"Schedule-12,13,14,15";#N/A,#N/A,FALSE,"Scdedule-16"}</definedName>
    <definedName name="wrn.REPORT._4_5_2" hidden="1">{#N/A,#N/A,FALSE,"Balance Sheet";#N/A,#N/A,FALSE,"Profit &amp; Loss ";#N/A,#N/A,FALSE,"Schedule-1";#N/A,#N/A,FALSE,"Schedule-2";#N/A,#N/A,FALSE,"Schedule-3";#N/A,#N/A,FALSE,"Schedule-4 ";#N/A,#N/A,FALSE,"Schedule-5";#N/A,#N/A,FALSE,"Schedule-6,7,8,9";#N/A,#N/A,FALSE,"Schedule-10,11";#N/A,#N/A,FALSE,"Schedule-12,13,14,15";#N/A,#N/A,FALSE,"Scdedule-16"}</definedName>
    <definedName name="wrn.REPORT._4_5_3" hidden="1">{#N/A,#N/A,FALSE,"Balance Sheet";#N/A,#N/A,FALSE,"Profit &amp; Loss ";#N/A,#N/A,FALSE,"Schedule-1";#N/A,#N/A,FALSE,"Schedule-2";#N/A,#N/A,FALSE,"Schedule-3";#N/A,#N/A,FALSE,"Schedule-4 ";#N/A,#N/A,FALSE,"Schedule-5";#N/A,#N/A,FALSE,"Schedule-6,7,8,9";#N/A,#N/A,FALSE,"Schedule-10,11";#N/A,#N/A,FALSE,"Schedule-12,13,14,15";#N/A,#N/A,FALSE,"Scdedule-16"}</definedName>
    <definedName name="wrn.REPORT._4_5_4" hidden="1">{#N/A,#N/A,FALSE,"Balance Sheet";#N/A,#N/A,FALSE,"Profit &amp; Loss ";#N/A,#N/A,FALSE,"Schedule-1";#N/A,#N/A,FALSE,"Schedule-2";#N/A,#N/A,FALSE,"Schedule-3";#N/A,#N/A,FALSE,"Schedule-4 ";#N/A,#N/A,FALSE,"Schedule-5";#N/A,#N/A,FALSE,"Schedule-6,7,8,9";#N/A,#N/A,FALSE,"Schedule-10,11";#N/A,#N/A,FALSE,"Schedule-12,13,14,15";#N/A,#N/A,FALSE,"Scdedule-16"}</definedName>
    <definedName name="wrn.REPORT._4_5_5" hidden="1">{#N/A,#N/A,FALSE,"Balance Sheet";#N/A,#N/A,FALSE,"Profit &amp; Loss ";#N/A,#N/A,FALSE,"Schedule-1";#N/A,#N/A,FALSE,"Schedule-2";#N/A,#N/A,FALSE,"Schedule-3";#N/A,#N/A,FALSE,"Schedule-4 ";#N/A,#N/A,FALSE,"Schedule-5";#N/A,#N/A,FALSE,"Schedule-6,7,8,9";#N/A,#N/A,FALSE,"Schedule-10,11";#N/A,#N/A,FALSE,"Schedule-12,13,14,15";#N/A,#N/A,FALSE,"Scdedule-16"}</definedName>
    <definedName name="wrn.REPORT._5" hidden="1">{#N/A,#N/A,FALSE,"Balance Sheet";#N/A,#N/A,FALSE,"Profit &amp; Loss ";#N/A,#N/A,FALSE,"Schedule-1";#N/A,#N/A,FALSE,"Schedule-2";#N/A,#N/A,FALSE,"Schedule-3";#N/A,#N/A,FALSE,"Schedule-4 ";#N/A,#N/A,FALSE,"Schedule-5";#N/A,#N/A,FALSE,"Schedule-6,7,8,9";#N/A,#N/A,FALSE,"Schedule-10,11";#N/A,#N/A,FALSE,"Schedule-12,13,14,15";#N/A,#N/A,FALSE,"Scdedule-16"}</definedName>
    <definedName name="wrn.REPORT._5_1" hidden="1">{#N/A,#N/A,FALSE,"Balance Sheet";#N/A,#N/A,FALSE,"Profit &amp; Loss ";#N/A,#N/A,FALSE,"Schedule-1";#N/A,#N/A,FALSE,"Schedule-2";#N/A,#N/A,FALSE,"Schedule-3";#N/A,#N/A,FALSE,"Schedule-4 ";#N/A,#N/A,FALSE,"Schedule-5";#N/A,#N/A,FALSE,"Schedule-6,7,8,9";#N/A,#N/A,FALSE,"Schedule-10,11";#N/A,#N/A,FALSE,"Schedule-12,13,14,15";#N/A,#N/A,FALSE,"Scdedule-16"}</definedName>
    <definedName name="wrn.REPORT._5_1_1" hidden="1">{#N/A,#N/A,FALSE,"Balance Sheet";#N/A,#N/A,FALSE,"Profit &amp; Loss ";#N/A,#N/A,FALSE,"Schedule-1";#N/A,#N/A,FALSE,"Schedule-2";#N/A,#N/A,FALSE,"Schedule-3";#N/A,#N/A,FALSE,"Schedule-4 ";#N/A,#N/A,FALSE,"Schedule-5";#N/A,#N/A,FALSE,"Schedule-6,7,8,9";#N/A,#N/A,FALSE,"Schedule-10,11";#N/A,#N/A,FALSE,"Schedule-12,13,14,15";#N/A,#N/A,FALSE,"Scdedule-16"}</definedName>
    <definedName name="wrn.REPORT._5_1_2" hidden="1">{#N/A,#N/A,FALSE,"Balance Sheet";#N/A,#N/A,FALSE,"Profit &amp; Loss ";#N/A,#N/A,FALSE,"Schedule-1";#N/A,#N/A,FALSE,"Schedule-2";#N/A,#N/A,FALSE,"Schedule-3";#N/A,#N/A,FALSE,"Schedule-4 ";#N/A,#N/A,FALSE,"Schedule-5";#N/A,#N/A,FALSE,"Schedule-6,7,8,9";#N/A,#N/A,FALSE,"Schedule-10,11";#N/A,#N/A,FALSE,"Schedule-12,13,14,15";#N/A,#N/A,FALSE,"Scdedule-16"}</definedName>
    <definedName name="wrn.REPORT._5_1_3" hidden="1">{#N/A,#N/A,FALSE,"Balance Sheet";#N/A,#N/A,FALSE,"Profit &amp; Loss ";#N/A,#N/A,FALSE,"Schedule-1";#N/A,#N/A,FALSE,"Schedule-2";#N/A,#N/A,FALSE,"Schedule-3";#N/A,#N/A,FALSE,"Schedule-4 ";#N/A,#N/A,FALSE,"Schedule-5";#N/A,#N/A,FALSE,"Schedule-6,7,8,9";#N/A,#N/A,FALSE,"Schedule-10,11";#N/A,#N/A,FALSE,"Schedule-12,13,14,15";#N/A,#N/A,FALSE,"Scdedule-16"}</definedName>
    <definedName name="wrn.REPORT._5_1_4" hidden="1">{#N/A,#N/A,FALSE,"Balance Sheet";#N/A,#N/A,FALSE,"Profit &amp; Loss ";#N/A,#N/A,FALSE,"Schedule-1";#N/A,#N/A,FALSE,"Schedule-2";#N/A,#N/A,FALSE,"Schedule-3";#N/A,#N/A,FALSE,"Schedule-4 ";#N/A,#N/A,FALSE,"Schedule-5";#N/A,#N/A,FALSE,"Schedule-6,7,8,9";#N/A,#N/A,FALSE,"Schedule-10,11";#N/A,#N/A,FALSE,"Schedule-12,13,14,15";#N/A,#N/A,FALSE,"Scdedule-16"}</definedName>
    <definedName name="wrn.REPORT._5_1_5" hidden="1">{#N/A,#N/A,FALSE,"Balance Sheet";#N/A,#N/A,FALSE,"Profit &amp; Loss ";#N/A,#N/A,FALSE,"Schedule-1";#N/A,#N/A,FALSE,"Schedule-2";#N/A,#N/A,FALSE,"Schedule-3";#N/A,#N/A,FALSE,"Schedule-4 ";#N/A,#N/A,FALSE,"Schedule-5";#N/A,#N/A,FALSE,"Schedule-6,7,8,9";#N/A,#N/A,FALSE,"Schedule-10,11";#N/A,#N/A,FALSE,"Schedule-12,13,14,15";#N/A,#N/A,FALSE,"Scdedule-16"}</definedName>
    <definedName name="wrn.REPORT._5_2" hidden="1">{#N/A,#N/A,FALSE,"Balance Sheet";#N/A,#N/A,FALSE,"Profit &amp; Loss ";#N/A,#N/A,FALSE,"Schedule-1";#N/A,#N/A,FALSE,"Schedule-2";#N/A,#N/A,FALSE,"Schedule-3";#N/A,#N/A,FALSE,"Schedule-4 ";#N/A,#N/A,FALSE,"Schedule-5";#N/A,#N/A,FALSE,"Schedule-6,7,8,9";#N/A,#N/A,FALSE,"Schedule-10,11";#N/A,#N/A,FALSE,"Schedule-12,13,14,15";#N/A,#N/A,FALSE,"Scdedule-16"}</definedName>
    <definedName name="wrn.REPORT._5_2_1" hidden="1">{#N/A,#N/A,FALSE,"Balance Sheet";#N/A,#N/A,FALSE,"Profit &amp; Loss ";#N/A,#N/A,FALSE,"Schedule-1";#N/A,#N/A,FALSE,"Schedule-2";#N/A,#N/A,FALSE,"Schedule-3";#N/A,#N/A,FALSE,"Schedule-4 ";#N/A,#N/A,FALSE,"Schedule-5";#N/A,#N/A,FALSE,"Schedule-6,7,8,9";#N/A,#N/A,FALSE,"Schedule-10,11";#N/A,#N/A,FALSE,"Schedule-12,13,14,15";#N/A,#N/A,FALSE,"Scdedule-16"}</definedName>
    <definedName name="wrn.REPORT._5_2_2" hidden="1">{#N/A,#N/A,FALSE,"Balance Sheet";#N/A,#N/A,FALSE,"Profit &amp; Loss ";#N/A,#N/A,FALSE,"Schedule-1";#N/A,#N/A,FALSE,"Schedule-2";#N/A,#N/A,FALSE,"Schedule-3";#N/A,#N/A,FALSE,"Schedule-4 ";#N/A,#N/A,FALSE,"Schedule-5";#N/A,#N/A,FALSE,"Schedule-6,7,8,9";#N/A,#N/A,FALSE,"Schedule-10,11";#N/A,#N/A,FALSE,"Schedule-12,13,14,15";#N/A,#N/A,FALSE,"Scdedule-16"}</definedName>
    <definedName name="wrn.REPORT._5_2_3" hidden="1">{#N/A,#N/A,FALSE,"Balance Sheet";#N/A,#N/A,FALSE,"Profit &amp; Loss ";#N/A,#N/A,FALSE,"Schedule-1";#N/A,#N/A,FALSE,"Schedule-2";#N/A,#N/A,FALSE,"Schedule-3";#N/A,#N/A,FALSE,"Schedule-4 ";#N/A,#N/A,FALSE,"Schedule-5";#N/A,#N/A,FALSE,"Schedule-6,7,8,9";#N/A,#N/A,FALSE,"Schedule-10,11";#N/A,#N/A,FALSE,"Schedule-12,13,14,15";#N/A,#N/A,FALSE,"Scdedule-16"}</definedName>
    <definedName name="wrn.REPORT._5_2_4" hidden="1">{#N/A,#N/A,FALSE,"Balance Sheet";#N/A,#N/A,FALSE,"Profit &amp; Loss ";#N/A,#N/A,FALSE,"Schedule-1";#N/A,#N/A,FALSE,"Schedule-2";#N/A,#N/A,FALSE,"Schedule-3";#N/A,#N/A,FALSE,"Schedule-4 ";#N/A,#N/A,FALSE,"Schedule-5";#N/A,#N/A,FALSE,"Schedule-6,7,8,9";#N/A,#N/A,FALSE,"Schedule-10,11";#N/A,#N/A,FALSE,"Schedule-12,13,14,15";#N/A,#N/A,FALSE,"Scdedule-16"}</definedName>
    <definedName name="wrn.REPORT._5_2_5" hidden="1">{#N/A,#N/A,FALSE,"Balance Sheet";#N/A,#N/A,FALSE,"Profit &amp; Loss ";#N/A,#N/A,FALSE,"Schedule-1";#N/A,#N/A,FALSE,"Schedule-2";#N/A,#N/A,FALSE,"Schedule-3";#N/A,#N/A,FALSE,"Schedule-4 ";#N/A,#N/A,FALSE,"Schedule-5";#N/A,#N/A,FALSE,"Schedule-6,7,8,9";#N/A,#N/A,FALSE,"Schedule-10,11";#N/A,#N/A,FALSE,"Schedule-12,13,14,15";#N/A,#N/A,FALSE,"Scdedule-16"}</definedName>
    <definedName name="wrn.REPORT._5_3" hidden="1">{#N/A,#N/A,FALSE,"Balance Sheet";#N/A,#N/A,FALSE,"Profit &amp; Loss ";#N/A,#N/A,FALSE,"Schedule-1";#N/A,#N/A,FALSE,"Schedule-2";#N/A,#N/A,FALSE,"Schedule-3";#N/A,#N/A,FALSE,"Schedule-4 ";#N/A,#N/A,FALSE,"Schedule-5";#N/A,#N/A,FALSE,"Schedule-6,7,8,9";#N/A,#N/A,FALSE,"Schedule-10,11";#N/A,#N/A,FALSE,"Schedule-12,13,14,15";#N/A,#N/A,FALSE,"Scdedule-16"}</definedName>
    <definedName name="wrn.REPORT._5_3_1" hidden="1">{#N/A,#N/A,FALSE,"Balance Sheet";#N/A,#N/A,FALSE,"Profit &amp; Loss ";#N/A,#N/A,FALSE,"Schedule-1";#N/A,#N/A,FALSE,"Schedule-2";#N/A,#N/A,FALSE,"Schedule-3";#N/A,#N/A,FALSE,"Schedule-4 ";#N/A,#N/A,FALSE,"Schedule-5";#N/A,#N/A,FALSE,"Schedule-6,7,8,9";#N/A,#N/A,FALSE,"Schedule-10,11";#N/A,#N/A,FALSE,"Schedule-12,13,14,15";#N/A,#N/A,FALSE,"Scdedule-16"}</definedName>
    <definedName name="wrn.REPORT._5_3_2" hidden="1">{#N/A,#N/A,FALSE,"Balance Sheet";#N/A,#N/A,FALSE,"Profit &amp; Loss ";#N/A,#N/A,FALSE,"Schedule-1";#N/A,#N/A,FALSE,"Schedule-2";#N/A,#N/A,FALSE,"Schedule-3";#N/A,#N/A,FALSE,"Schedule-4 ";#N/A,#N/A,FALSE,"Schedule-5";#N/A,#N/A,FALSE,"Schedule-6,7,8,9";#N/A,#N/A,FALSE,"Schedule-10,11";#N/A,#N/A,FALSE,"Schedule-12,13,14,15";#N/A,#N/A,FALSE,"Scdedule-16"}</definedName>
    <definedName name="wrn.REPORT._5_3_3" hidden="1">{#N/A,#N/A,FALSE,"Balance Sheet";#N/A,#N/A,FALSE,"Profit &amp; Loss ";#N/A,#N/A,FALSE,"Schedule-1";#N/A,#N/A,FALSE,"Schedule-2";#N/A,#N/A,FALSE,"Schedule-3";#N/A,#N/A,FALSE,"Schedule-4 ";#N/A,#N/A,FALSE,"Schedule-5";#N/A,#N/A,FALSE,"Schedule-6,7,8,9";#N/A,#N/A,FALSE,"Schedule-10,11";#N/A,#N/A,FALSE,"Schedule-12,13,14,15";#N/A,#N/A,FALSE,"Scdedule-16"}</definedName>
    <definedName name="wrn.REPORT._5_3_4" hidden="1">{#N/A,#N/A,FALSE,"Balance Sheet";#N/A,#N/A,FALSE,"Profit &amp; Loss ";#N/A,#N/A,FALSE,"Schedule-1";#N/A,#N/A,FALSE,"Schedule-2";#N/A,#N/A,FALSE,"Schedule-3";#N/A,#N/A,FALSE,"Schedule-4 ";#N/A,#N/A,FALSE,"Schedule-5";#N/A,#N/A,FALSE,"Schedule-6,7,8,9";#N/A,#N/A,FALSE,"Schedule-10,11";#N/A,#N/A,FALSE,"Schedule-12,13,14,15";#N/A,#N/A,FALSE,"Scdedule-16"}</definedName>
    <definedName name="wrn.REPORT._5_3_5" hidden="1">{#N/A,#N/A,FALSE,"Balance Sheet";#N/A,#N/A,FALSE,"Profit &amp; Loss ";#N/A,#N/A,FALSE,"Schedule-1";#N/A,#N/A,FALSE,"Schedule-2";#N/A,#N/A,FALSE,"Schedule-3";#N/A,#N/A,FALSE,"Schedule-4 ";#N/A,#N/A,FALSE,"Schedule-5";#N/A,#N/A,FALSE,"Schedule-6,7,8,9";#N/A,#N/A,FALSE,"Schedule-10,11";#N/A,#N/A,FALSE,"Schedule-12,13,14,15";#N/A,#N/A,FALSE,"Scdedule-16"}</definedName>
    <definedName name="wrn.REPORT._5_4" hidden="1">{#N/A,#N/A,FALSE,"Balance Sheet";#N/A,#N/A,FALSE,"Profit &amp; Loss ";#N/A,#N/A,FALSE,"Schedule-1";#N/A,#N/A,FALSE,"Schedule-2";#N/A,#N/A,FALSE,"Schedule-3";#N/A,#N/A,FALSE,"Schedule-4 ";#N/A,#N/A,FALSE,"Schedule-5";#N/A,#N/A,FALSE,"Schedule-6,7,8,9";#N/A,#N/A,FALSE,"Schedule-10,11";#N/A,#N/A,FALSE,"Schedule-12,13,14,15";#N/A,#N/A,FALSE,"Scdedule-16"}</definedName>
    <definedName name="wrn.REPORT._5_4_1" hidden="1">{#N/A,#N/A,FALSE,"Balance Sheet";#N/A,#N/A,FALSE,"Profit &amp; Loss ";#N/A,#N/A,FALSE,"Schedule-1";#N/A,#N/A,FALSE,"Schedule-2";#N/A,#N/A,FALSE,"Schedule-3";#N/A,#N/A,FALSE,"Schedule-4 ";#N/A,#N/A,FALSE,"Schedule-5";#N/A,#N/A,FALSE,"Schedule-6,7,8,9";#N/A,#N/A,FALSE,"Schedule-10,11";#N/A,#N/A,FALSE,"Schedule-12,13,14,15";#N/A,#N/A,FALSE,"Scdedule-16"}</definedName>
    <definedName name="wrn.REPORT._5_4_2" hidden="1">{#N/A,#N/A,FALSE,"Balance Sheet";#N/A,#N/A,FALSE,"Profit &amp; Loss ";#N/A,#N/A,FALSE,"Schedule-1";#N/A,#N/A,FALSE,"Schedule-2";#N/A,#N/A,FALSE,"Schedule-3";#N/A,#N/A,FALSE,"Schedule-4 ";#N/A,#N/A,FALSE,"Schedule-5";#N/A,#N/A,FALSE,"Schedule-6,7,8,9";#N/A,#N/A,FALSE,"Schedule-10,11";#N/A,#N/A,FALSE,"Schedule-12,13,14,15";#N/A,#N/A,FALSE,"Scdedule-16"}</definedName>
    <definedName name="wrn.REPORT._5_4_3" hidden="1">{#N/A,#N/A,FALSE,"Balance Sheet";#N/A,#N/A,FALSE,"Profit &amp; Loss ";#N/A,#N/A,FALSE,"Schedule-1";#N/A,#N/A,FALSE,"Schedule-2";#N/A,#N/A,FALSE,"Schedule-3";#N/A,#N/A,FALSE,"Schedule-4 ";#N/A,#N/A,FALSE,"Schedule-5";#N/A,#N/A,FALSE,"Schedule-6,7,8,9";#N/A,#N/A,FALSE,"Schedule-10,11";#N/A,#N/A,FALSE,"Schedule-12,13,14,15";#N/A,#N/A,FALSE,"Scdedule-16"}</definedName>
    <definedName name="wrn.REPORT._5_4_4" hidden="1">{#N/A,#N/A,FALSE,"Balance Sheet";#N/A,#N/A,FALSE,"Profit &amp; Loss ";#N/A,#N/A,FALSE,"Schedule-1";#N/A,#N/A,FALSE,"Schedule-2";#N/A,#N/A,FALSE,"Schedule-3";#N/A,#N/A,FALSE,"Schedule-4 ";#N/A,#N/A,FALSE,"Schedule-5";#N/A,#N/A,FALSE,"Schedule-6,7,8,9";#N/A,#N/A,FALSE,"Schedule-10,11";#N/A,#N/A,FALSE,"Schedule-12,13,14,15";#N/A,#N/A,FALSE,"Scdedule-16"}</definedName>
    <definedName name="wrn.REPORT._5_4_5" hidden="1">{#N/A,#N/A,FALSE,"Balance Sheet";#N/A,#N/A,FALSE,"Profit &amp; Loss ";#N/A,#N/A,FALSE,"Schedule-1";#N/A,#N/A,FALSE,"Schedule-2";#N/A,#N/A,FALSE,"Schedule-3";#N/A,#N/A,FALSE,"Schedule-4 ";#N/A,#N/A,FALSE,"Schedule-5";#N/A,#N/A,FALSE,"Schedule-6,7,8,9";#N/A,#N/A,FALSE,"Schedule-10,11";#N/A,#N/A,FALSE,"Schedule-12,13,14,15";#N/A,#N/A,FALSE,"Scdedule-16"}</definedName>
    <definedName name="wrn.REPORT._5_5" hidden="1">{#N/A,#N/A,FALSE,"Balance Sheet";#N/A,#N/A,FALSE,"Profit &amp; Loss ";#N/A,#N/A,FALSE,"Schedule-1";#N/A,#N/A,FALSE,"Schedule-2";#N/A,#N/A,FALSE,"Schedule-3";#N/A,#N/A,FALSE,"Schedule-4 ";#N/A,#N/A,FALSE,"Schedule-5";#N/A,#N/A,FALSE,"Schedule-6,7,8,9";#N/A,#N/A,FALSE,"Schedule-10,11";#N/A,#N/A,FALSE,"Schedule-12,13,14,15";#N/A,#N/A,FALSE,"Scdedule-16"}</definedName>
    <definedName name="wrn.REPORT._5_5_1" hidden="1">{#N/A,#N/A,FALSE,"Balance Sheet";#N/A,#N/A,FALSE,"Profit &amp; Loss ";#N/A,#N/A,FALSE,"Schedule-1";#N/A,#N/A,FALSE,"Schedule-2";#N/A,#N/A,FALSE,"Schedule-3";#N/A,#N/A,FALSE,"Schedule-4 ";#N/A,#N/A,FALSE,"Schedule-5";#N/A,#N/A,FALSE,"Schedule-6,7,8,9";#N/A,#N/A,FALSE,"Schedule-10,11";#N/A,#N/A,FALSE,"Schedule-12,13,14,15";#N/A,#N/A,FALSE,"Scdedule-16"}</definedName>
    <definedName name="wrn.REPORT._5_5_2" hidden="1">{#N/A,#N/A,FALSE,"Balance Sheet";#N/A,#N/A,FALSE,"Profit &amp; Loss ";#N/A,#N/A,FALSE,"Schedule-1";#N/A,#N/A,FALSE,"Schedule-2";#N/A,#N/A,FALSE,"Schedule-3";#N/A,#N/A,FALSE,"Schedule-4 ";#N/A,#N/A,FALSE,"Schedule-5";#N/A,#N/A,FALSE,"Schedule-6,7,8,9";#N/A,#N/A,FALSE,"Schedule-10,11";#N/A,#N/A,FALSE,"Schedule-12,13,14,15";#N/A,#N/A,FALSE,"Scdedule-16"}</definedName>
    <definedName name="wrn.REPORT._5_5_3" hidden="1">{#N/A,#N/A,FALSE,"Balance Sheet";#N/A,#N/A,FALSE,"Profit &amp; Loss ";#N/A,#N/A,FALSE,"Schedule-1";#N/A,#N/A,FALSE,"Schedule-2";#N/A,#N/A,FALSE,"Schedule-3";#N/A,#N/A,FALSE,"Schedule-4 ";#N/A,#N/A,FALSE,"Schedule-5";#N/A,#N/A,FALSE,"Schedule-6,7,8,9";#N/A,#N/A,FALSE,"Schedule-10,11";#N/A,#N/A,FALSE,"Schedule-12,13,14,15";#N/A,#N/A,FALSE,"Scdedule-16"}</definedName>
    <definedName name="wrn.REPORT._5_5_4" hidden="1">{#N/A,#N/A,FALSE,"Balance Sheet";#N/A,#N/A,FALSE,"Profit &amp; Loss ";#N/A,#N/A,FALSE,"Schedule-1";#N/A,#N/A,FALSE,"Schedule-2";#N/A,#N/A,FALSE,"Schedule-3";#N/A,#N/A,FALSE,"Schedule-4 ";#N/A,#N/A,FALSE,"Schedule-5";#N/A,#N/A,FALSE,"Schedule-6,7,8,9";#N/A,#N/A,FALSE,"Schedule-10,11";#N/A,#N/A,FALSE,"Schedule-12,13,14,15";#N/A,#N/A,FALSE,"Scdedule-16"}</definedName>
    <definedName name="wrn.REPORT._5_5_5" hidden="1">{#N/A,#N/A,FALSE,"Balance Sheet";#N/A,#N/A,FALSE,"Profit &amp; Loss ";#N/A,#N/A,FALSE,"Schedule-1";#N/A,#N/A,FALSE,"Schedule-2";#N/A,#N/A,FALSE,"Schedule-3";#N/A,#N/A,FALSE,"Schedule-4 ";#N/A,#N/A,FALSE,"Schedule-5";#N/A,#N/A,FALSE,"Schedule-6,7,8,9";#N/A,#N/A,FALSE,"Schedule-10,11";#N/A,#N/A,FALSE,"Schedule-12,13,14,15";#N/A,#N/A,FALSE,"Scdedule-16"}</definedName>
    <definedName name="wrn.Report1." hidden="1">{#N/A,#N/A,FALSE,"IS";#N/A,#N/A,FALSE,"BS";#N/A,#N/A,FALSE,"CF";#N/A,#N/A,FALSE,"CE";#N/A,#N/A,FALSE,"Depr";#N/A,#N/A,FALSE,"APAL"}</definedName>
    <definedName name="wrn.repot."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wrn.RESULTS." hidden="1">{#N/A,#N/A,FALSE,"HMF";#N/A,#N/A,FALSE,"FACIL";#N/A,#N/A,FALSE,"HMFINANCE";#N/A,#N/A,FALSE,"HMEUROPE";#N/A,#N/A,FALSE,"HHAB CONSO";#N/A,#N/A,FALSE,"PAB";#N/A,#N/A,FALSE,"MMC";#N/A,#N/A,FALSE,"THAI";#N/A,#N/A,FALSE,"SINPA";#N/A,#N/A,FALSE,"POLAND"}</definedName>
    <definedName name="wrn.Revenue._.Details." hidden="1">{"Revenue by Industry Chart",#N/A,FALSE,"Mix";"Annual Revenue Detail",#N/A,FALSE,"Mix";"Quarterly Revenue Detail",#N/A,FALSE,"Mix"}</definedName>
    <definedName name="wrn.Revs." hidden="1">{"Base_rev",#N/A,FALSE,"Proj_IS_Base";"Projrev",#N/A,FALSE,"Proj_IS_wOTLC";"Delta",#N/A,FALSE,"Delta Rev_PV"}</definedName>
    <definedName name="wrn.Robuster." hidden="1">{#N/A,#N/A,TRUE,"Cover";#N/A,#N/A,TRUE,"Descr";#N/A,#N/A,TRUE,"Control (In)";#N/A,#N/A,TRUE,"Op Margin";#N/A,#N/A,TRUE,"Depn";#N/A,#N/A,TRUE,"Finance";#N/A,#N/A,TRUE,"Tax";#N/A,#N/A,TRUE,"P &amp; L";#N/A,#N/A,TRUE,"CFS";#N/A,#N/A,TRUE,"BS";#N/A,#N/A,TRUE,"DCF";#N/A,#N/A,TRUE,"Ratios"}</definedName>
    <definedName name="wrn.rprt." hidden="1">{#N/A,#N/A,FALSE,"A";#N/A,#N/A,FALSE,"B-1";#N/A,#N/A,FALSE,"WACC";#N/A,#N/A,FALSE,"C-1";#N/A,#N/A,FALSE,"C-2";#N/A,#N/A,FALSE,"D-1";#N/A,#N/A,FALSE,"D-2";#N/A,#N/A,FALSE,"D-3"}</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sales." hidden="1">{"sales",#N/A,FALSE,"Sales";"sales existing",#N/A,FALSE,"Sales";"sales rd1",#N/A,FALSE,"Sales";"sales rd2",#N/A,FALSE,"Sales"}</definedName>
    <definedName name="wrn.Scenario._.Summary." hidden="1">{#N/A,#N/A,TRUE,"Summary";#N/A,"1",TRUE,"Summary";#N/A,"2",TRUE,"Summary";#N/A,"3",TRUE,"Summary";#N/A,"4",TRUE,"Summary";#N/A,"5",TRUE,"Summary";#N/A,"6",TRUE,"Summary";#N/A,"7",TRUE,"Summary";#N/A,"8",TRUE,"Summary";#N/A,"9",TRUE,"Summary";#N/A,"10",TRUE,"Summary";#N/A,"11",TRUE,"Summary"}</definedName>
    <definedName name="wrn.Scenario._.Summary._1" hidden="1">{#N/A,#N/A,TRUE,"Summary";#N/A,"1",TRUE,"Summary";#N/A,"2",TRUE,"Summary";#N/A,"3",TRUE,"Summary";#N/A,"4",TRUE,"Summary";#N/A,"5",TRUE,"Summary";#N/A,"6",TRUE,"Summary";#N/A,"7",TRUE,"Summary";#N/A,"8",TRUE,"Summary";#N/A,"9",TRUE,"Summary";#N/A,"10",TRUE,"Summary";#N/A,"11",TRUE,"Summary"}</definedName>
    <definedName name="wrn.Scenario._.Summary._2" hidden="1">{#N/A,#N/A,TRUE,"Summary";#N/A,"1",TRUE,"Summary";#N/A,"2",TRUE,"Summary";#N/A,"3",TRUE,"Summary";#N/A,"4",TRUE,"Summary";#N/A,"5",TRUE,"Summary";#N/A,"6",TRUE,"Summary";#N/A,"7",TRUE,"Summary";#N/A,"8",TRUE,"Summary";#N/A,"9",TRUE,"Summary";#N/A,"10",TRUE,"Summary";#N/A,"11",TRUE,"Summary"}</definedName>
    <definedName name="wrn.Scenario._.Summary._3" hidden="1">{#N/A,#N/A,TRUE,"Summary";#N/A,"1",TRUE,"Summary";#N/A,"2",TRUE,"Summary";#N/A,"3",TRUE,"Summary";#N/A,"4",TRUE,"Summary";#N/A,"5",TRUE,"Summary";#N/A,"6",TRUE,"Summary";#N/A,"7",TRUE,"Summary";#N/A,"8",TRUE,"Summary";#N/A,"9",TRUE,"Summary";#N/A,"10",TRUE,"Summary";#N/A,"11",TRUE,"Summary"}</definedName>
    <definedName name="wrn.Scenario._.Summary._4" hidden="1">{#N/A,#N/A,TRUE,"Summary";#N/A,"1",TRUE,"Summary";#N/A,"2",TRUE,"Summary";#N/A,"3",TRUE,"Summary";#N/A,"4",TRUE,"Summary";#N/A,"5",TRUE,"Summary";#N/A,"6",TRUE,"Summary";#N/A,"7",TRUE,"Summary";#N/A,"8",TRUE,"Summary";#N/A,"9",TRUE,"Summary";#N/A,"10",TRUE,"Summary";#N/A,"11",TRUE,"Summary"}</definedName>
    <definedName name="wrn.Scenario._.Summary._5" hidden="1">{#N/A,#N/A,TRUE,"Summary";#N/A,"1",TRUE,"Summary";#N/A,"2",TRUE,"Summary";#N/A,"3",TRUE,"Summary";#N/A,"4",TRUE,"Summary";#N/A,"5",TRUE,"Summary";#N/A,"6",TRUE,"Summary";#N/A,"7",TRUE,"Summary";#N/A,"8",TRUE,"Summary";#N/A,"9",TRUE,"Summary";#N/A,"10",TRUE,"Summary";#N/A,"11",TRUE,"Summary"}</definedName>
    <definedName name="wrn.scenariosummary" hidden="1">{#N/A,#N/A,TRUE,"Summary";#N/A,"1",TRUE,"Summary";#N/A,"2",TRUE,"Summary";#N/A,"3",TRUE,"Summary";#N/A,"4",TRUE,"Summary";#N/A,"5",TRUE,"Summary";#N/A,"6",TRUE,"Summary";#N/A,"7",TRUE,"Summary";#N/A,"8",TRUE,"Summary";#N/A,"9",TRUE,"Summary";#N/A,"10",TRUE,"Summary";#N/A,"11",TRUE,"Summary"}</definedName>
    <definedName name="wrn.scenariosummary_1" hidden="1">{#N/A,#N/A,TRUE,"Summary";#N/A,"1",TRUE,"Summary";#N/A,"2",TRUE,"Summary";#N/A,"3",TRUE,"Summary";#N/A,"4",TRUE,"Summary";#N/A,"5",TRUE,"Summary";#N/A,"6",TRUE,"Summary";#N/A,"7",TRUE,"Summary";#N/A,"8",TRUE,"Summary";#N/A,"9",TRUE,"Summary";#N/A,"10",TRUE,"Summary";#N/A,"11",TRUE,"Summary"}</definedName>
    <definedName name="wrn.scenariosummary_2" hidden="1">{#N/A,#N/A,TRUE,"Summary";#N/A,"1",TRUE,"Summary";#N/A,"2",TRUE,"Summary";#N/A,"3",TRUE,"Summary";#N/A,"4",TRUE,"Summary";#N/A,"5",TRUE,"Summary";#N/A,"6",TRUE,"Summary";#N/A,"7",TRUE,"Summary";#N/A,"8",TRUE,"Summary";#N/A,"9",TRUE,"Summary";#N/A,"10",TRUE,"Summary";#N/A,"11",TRUE,"Summary"}</definedName>
    <definedName name="wrn.scenariosummary_3" hidden="1">{#N/A,#N/A,TRUE,"Summary";#N/A,"1",TRUE,"Summary";#N/A,"2",TRUE,"Summary";#N/A,"3",TRUE,"Summary";#N/A,"4",TRUE,"Summary";#N/A,"5",TRUE,"Summary";#N/A,"6",TRUE,"Summary";#N/A,"7",TRUE,"Summary";#N/A,"8",TRUE,"Summary";#N/A,"9",TRUE,"Summary";#N/A,"10",TRUE,"Summary";#N/A,"11",TRUE,"Summary"}</definedName>
    <definedName name="wrn.scenariosummary_4" hidden="1">{#N/A,#N/A,TRUE,"Summary";#N/A,"1",TRUE,"Summary";#N/A,"2",TRUE,"Summary";#N/A,"3",TRUE,"Summary";#N/A,"4",TRUE,"Summary";#N/A,"5",TRUE,"Summary";#N/A,"6",TRUE,"Summary";#N/A,"7",TRUE,"Summary";#N/A,"8",TRUE,"Summary";#N/A,"9",TRUE,"Summary";#N/A,"10",TRUE,"Summary";#N/A,"11",TRUE,"Summary"}</definedName>
    <definedName name="wrn.scenariosummary_5" hidden="1">{#N/A,#N/A,TRUE,"Summary";#N/A,"1",TRUE,"Summary";#N/A,"2",TRUE,"Summary";#N/A,"3",TRUE,"Summary";#N/A,"4",TRUE,"Summary";#N/A,"5",TRUE,"Summary";#N/A,"6",TRUE,"Summary";#N/A,"7",TRUE,"Summary";#N/A,"8",TRUE,"Summary";#N/A,"9",TRUE,"Summary";#N/A,"10",TRUE,"Summary";#N/A,"11",TRUE,"Summary"}</definedName>
    <definedName name="wrn.schedules." hidden="1">{"schedule1",#N/A,FALSE,"Sheet1";"schedule2",#N/A,FALSE,"Sheet1";"schedule3",#N/A,FALSE,"Sheet1";"schedule4",#N/A,FALSE,"Sheet1";"schedule5",#N/A,FALSE,"Sheet1";"schedule6",#N/A,FALSE,"Sheet1"}</definedName>
    <definedName name="wrn.sdi." hidden="1">{#N/A,#N/A,FALSE,"Customer Base";#N/A,#N/A,FALSE,"Workforce";#N/A,#N/A,FALSE,"cur prod";#N/A,#N/A,FALSE,"in-proc";#N/A,#N/A,FALSE,"Trademark"}</definedName>
    <definedName name="wrn.Section._.1." hidden="1">{#N/A,#N/A,FALSE,"Section 1";#N/A,#N/A,FALSE,"Trading 98";#N/A,#N/A,FALSE,"ISK P&amp;L 98";#N/A,#N/A,FALSE,"Cash Flow 98";#N/A,#N/A,FALSE,"WCap ISK impact"}</definedName>
    <definedName name="wrn.Section._.2." hidden="1">{#N/A,#N/A,FALSE,"Section 2";#N/A,#N/A,FALSE,"Exchange profile";#N/A,#N/A,FALSE,"P&amp;L";#N/A,#N/A,FALSE,"Trading Account";#N/A,#N/A,FALSE,"Fixed Costs";#N/A,#N/A,FALSE,"M&amp;S Fixed Cost";#N/A,#N/A,FALSE,"AI VPC";#N/A,#N/A,FALSE,"Sundry";#N/A,#N/A,FALSE,"Product Report";#N/A,#N/A,FALSE,"Strategic HQ";#N/A,#N/A,FALSE,"Misc.";#N/A,#N/A,FALSE,"Cash Flow";#N/A,#N/A,FALSE,"Balance sheet";#N/A,#N/A,FALSE,"WCap";#N/A,#N/A,FALSE,"Capital"}</definedName>
    <definedName name="wrn.Section._.21." hidden="1">{#N/A,#N/A,FALSE,"Section 2";#N/A,#N/A,FALSE,"Exchange profile";#N/A,#N/A,FALSE,"P&amp;L";#N/A,#N/A,FALSE,"Trading Account";#N/A,#N/A,FALSE,"Fixed Costs";#N/A,#N/A,FALSE,"M&amp;S Fixed Cost";#N/A,#N/A,FALSE,"AI VPC";#N/A,#N/A,FALSE,"Sundry";#N/A,#N/A,FALSE,"Product Report";#N/A,#N/A,FALSE,"Strategic HQ";#N/A,#N/A,FALSE,"Misc.";#N/A,#N/A,FALSE,"Cash Flow";#N/A,#N/A,FALSE,"Balance sheet";#N/A,#N/A,FALSE,"WCap";#N/A,#N/A,FALSE,"Capital"}</definedName>
    <definedName name="wrn.Section._.3." hidden="1">{#N/A,#N/A,FALSE,"Section 3";#N/A,#N/A,FALSE,"EU";#N/A,#N/A,FALSE,"NA";#N/A,#N/A,FALSE,"AP";#N/A,#N/A,FALSE,"LA";#N/A,#N/A,FALSE,"SU"}</definedName>
    <definedName name="wrn.Section._.4." hidden="1">{#N/A,#N/A,FALSE,"Section 4";#N/A,#N/A,FALSE,"Cumulative Phased TA";#N/A,#N/A,FALSE,"Cumulative Phased ISK TA";#N/A,#N/A,FALSE,"Cumulative Phased CF";#N/A,#N/A,FALSE,"Cumulative Phased Sundry";#N/A,#N/A,FALSE,"Cumulative Post ISK Phased WC"}</definedName>
    <definedName name="wrn.Section._.5." hidden="1">{#N/A,#N/A,FALSE,"Section 5";#N/A,#N/A,FALSE,"Discrete Phased TA";#N/A,#N/A,FALSE,"Discrete Phased ISK TA";#N/A,#N/A,FALSE,"Discrete Phased CF";#N/A,#N/A,FALSE,"Discrete Phased Sundry"}</definedName>
    <definedName name="wrn.Short._.Print." hidden="1">{#N/A,#N/A,FALSE,"Cover";#N/A,#N/A,FALSE,"Stack";#N/A,#N/A,FALSE,"Cost S";#N/A,#N/A,FALSE," CF";#N/A,#N/A,FALSE,"Investor"}</definedName>
    <definedName name="wrn.sss." hidden="1">{#N/A,#N/A,TRUE,"pd_SSS";#N/A,#N/A,TRUE,"fo_SSS";#N/A,#N/A,TRUE,"eqpt_SSS";#N/A,#N/A,TRUE,"ftrs_SSS"}</definedName>
    <definedName name="wrn.Staff._.cost1998." hidden="1">{#N/A,#N/A,TRUE,"Staffnos &amp; cost"}</definedName>
    <definedName name="wrn.Staffcost." hidden="1">{#N/A,#N/A,FALSE,"Staffnos &amp; cost"}</definedName>
    <definedName name="wrn.STAND_ALONE_BOTH." hidden="1">{"FCB_ALL",#N/A,FALSE,"FCB";"GREY_ALL",#N/A,FALSE,"GREY"}</definedName>
    <definedName name="wrn.Statements." hidden="1">{"Co1statements",#N/A,FALSE,"Cmpy1";"Co2statement",#N/A,FALSE,"Cmpy2";"co1pm",#N/A,FALSE,"Co1PM";"co2PM",#N/A,FALSE,"Co2PM";"value",#N/A,FALSE,"value";"opco",#N/A,FALSE,"NewSparkle";"adjusts",#N/A,FALSE,"Adjustments"}</definedName>
    <definedName name="wrn.Statements._1" hidden="1">{"Co1statements",#N/A,FALSE,"Cmpy1";"Co2statement",#N/A,FALSE,"Cmpy2";"co1pm",#N/A,FALSE,"Co1PM";"co2PM",#N/A,FALSE,"Co2PM";"value",#N/A,FALSE,"value";"opco",#N/A,FALSE,"NewSparkle";"adjusts",#N/A,FALSE,"Adjustments"}</definedName>
    <definedName name="wrn.Statements._2" hidden="1">{"Co1statements",#N/A,FALSE,"Cmpy1";"Co2statement",#N/A,FALSE,"Cmpy2";"co1pm",#N/A,FALSE,"Co1PM";"co2PM",#N/A,FALSE,"Co2PM";"value",#N/A,FALSE,"value";"opco",#N/A,FALSE,"NewSparkle";"adjusts",#N/A,FALSE,"Adjustments"}</definedName>
    <definedName name="wrn.Statements._3" hidden="1">{"Co1statements",#N/A,FALSE,"Cmpy1";"Co2statement",#N/A,FALSE,"Cmpy2";"co1pm",#N/A,FALSE,"Co1PM";"co2PM",#N/A,FALSE,"Co2PM";"value",#N/A,FALSE,"value";"opco",#N/A,FALSE,"NewSparkle";"adjusts",#N/A,FALSE,"Adjustments"}</definedName>
    <definedName name="wrn.Statements._4" hidden="1">{"Co1statements",#N/A,FALSE,"Cmpy1";"Co2statement",#N/A,FALSE,"Cmpy2";"co1pm",#N/A,FALSE,"Co1PM";"co2PM",#N/A,FALSE,"Co2PM";"value",#N/A,FALSE,"value";"opco",#N/A,FALSE,"NewSparkle";"adjusts",#N/A,FALSE,"Adjustments"}</definedName>
    <definedName name="wrn.Statements._5" hidden="1">{"Co1statements",#N/A,FALSE,"Cmpy1";"Co2statement",#N/A,FALSE,"Cmpy2";"co1pm",#N/A,FALSE,"Co1PM";"co2PM",#N/A,FALSE,"Co2PM";"value",#N/A,FALSE,"value";"opco",#N/A,FALSE,"NewSparkle";"adjusts",#N/A,FALSE,"Adjustments"}</definedName>
    <definedName name="wrn.statments" hidden="1">{"Co1statements",#N/A,FALSE,"Cmpy1";"Co2statement",#N/A,FALSE,"Cmpy2";"co1pm",#N/A,FALSE,"Co1PM";"co2PM",#N/A,FALSE,"Co2PM";"value",#N/A,FALSE,"value";"opco",#N/A,FALSE,"NewSparkle";"adjusts",#N/A,FALSE,"Adjustments"}</definedName>
    <definedName name="wrn.statments_1" hidden="1">{"Co1statements",#N/A,FALSE,"Cmpy1";"Co2statement",#N/A,FALSE,"Cmpy2";"co1pm",#N/A,FALSE,"Co1PM";"co2PM",#N/A,FALSE,"Co2PM";"value",#N/A,FALSE,"value";"opco",#N/A,FALSE,"NewSparkle";"adjusts",#N/A,FALSE,"Adjustments"}</definedName>
    <definedName name="wrn.statments_2" hidden="1">{"Co1statements",#N/A,FALSE,"Cmpy1";"Co2statement",#N/A,FALSE,"Cmpy2";"co1pm",#N/A,FALSE,"Co1PM";"co2PM",#N/A,FALSE,"Co2PM";"value",#N/A,FALSE,"value";"opco",#N/A,FALSE,"NewSparkle";"adjusts",#N/A,FALSE,"Adjustments"}</definedName>
    <definedName name="wrn.statments_3" hidden="1">{"Co1statements",#N/A,FALSE,"Cmpy1";"Co2statement",#N/A,FALSE,"Cmpy2";"co1pm",#N/A,FALSE,"Co1PM";"co2PM",#N/A,FALSE,"Co2PM";"value",#N/A,FALSE,"value";"opco",#N/A,FALSE,"NewSparkle";"adjusts",#N/A,FALSE,"Adjustments"}</definedName>
    <definedName name="wrn.statments_4" hidden="1">{"Co1statements",#N/A,FALSE,"Cmpy1";"Co2statement",#N/A,FALSE,"Cmpy2";"co1pm",#N/A,FALSE,"Co1PM";"co2PM",#N/A,FALSE,"Co2PM";"value",#N/A,FALSE,"value";"opco",#N/A,FALSE,"NewSparkle";"adjusts",#N/A,FALSE,"Adjustments"}</definedName>
    <definedName name="wrn.statments_5" hidden="1">{"Co1statements",#N/A,FALSE,"Cmpy1";"Co2statement",#N/A,FALSE,"Cmpy2";"co1pm",#N/A,FALSE,"Co1PM";"co2PM",#N/A,FALSE,"Co2PM";"value",#N/A,FALSE,"value";"opco",#N/A,FALSE,"NewSparkle";"adjusts",#N/A,FALSE,"Adjustments"}</definedName>
    <definedName name="wrn.status." hidden="1">{#N/A,#N/A,TRUE,"Summary - 1";#N/A,#N/A,TRUE,"Summary - 2";#N/A,#N/A,TRUE,"Group Analysis";#N/A,#N/A,TRUE,"FM Analysis";#N/A,#N/A,TRUE,"T&amp;M-Onsite";#N/A,#N/A,TRUE,"FP-Onsite";#N/A,#N/A,TRUE,"NB-Onsite";#N/A,#N/A,TRUE,"T&amp;M-Offshore";#N/A,#N/A,TRUE,"FP-Offshore";#N/A,#N/A,TRUE,"Appendix-A";#N/A,#N/A,TRUE,"Appendix-B"}</definedName>
    <definedName name="wrn.Store._.cash._.flows." hidden="1">{#N/A,"1",FALSE,"Store Graphs";#N/A,"2",FALSE,"Store Graphs";#N/A,"3",FALSE,"Store Graphs";#N/A,"4",FALSE,"Store Graphs";#N/A,"5",FALSE,"Store Graphs";#N/A,"6",FALSE,"Store Graphs";#N/A,"7",FALSE,"Store Graphs";#N/A,"8",FALSE,"Store Graphs";#N/A,"9",FALSE,"Store Graphs";#N/A,"10",FALSE,"Store Graphs";#N/A,"11",FALSE,"Store Graphs";#N/A,"12",FALSE,"Store Graphs";#N/A,"13",FALSE,"Store Graphs";#N/A,"14",FALSE,"Store Graphs";#N/A,"15",FALSE,"Store Graphs";#N/A,"16",FALSE,"Store Graphs";#N/A,"17",FALSE,"Store Graphs";#N/A,"18",FALSE,"Store Graphs";#N/A,"23",FALSE,"Store Graphs";#N/A,"24",FALSE,"Store Graphs";#N/A,"25",FALSE,"Store Graphs";#N/A,"26",FALSE,"Store Graphs";#N/A,"27",FALSE,"Store Graphs";#N/A,"68",FALSE,"Store Graphs";#N/A,"69",FALSE,"Store Graphs";#N/A,"70",FALSE,"Store Graphs";#N/A,"71",FALSE,"Store Graphs";#N/A,"72",FALSE,"Store Graphs";#N/A,"73",FALSE,"Store Graphs";#N/A,"74",FALSE,"Store Graphs";#N/A,"75",FALSE,"Store Graphs";#N/A,"76",FALSE,"Store Graphs";#N/A,"77",FALSE,"Store Graphs";#N/A,"78",FALSE,"Store Graphs";#N/A,"79",FALSE,"Store Graphs";#N/A,"80",FALSE,"Store Graphs";#N/A,"81",FALSE,"Store Graphs";#N/A,"82",FALSE,"Store Graphs";#N/A,"83",FALSE,"Store Graphs";#N/A,"84",FALSE,"Store Graphs";#N/A,"85",FALSE,"Store Graphs";#N/A,"86",FALSE,"Store Graphs";#N/A,"87",FALSE,"Store Graphs";#N/A,"88",FALSE,"Store Graphs";#N/A,"89",FALSE,"Store Graphs";#N/A,"90",FALSE,"Store Graphs";#N/A,"91",FALSE,"Store Graphs";#N/A,"92",FALSE,"Store Graphs";#N/A,"93",FALSE,"Store Graphs";#N/A,"94",FALSE,"Store Graphs";#N/A,"95",FALSE,"Store Graphs";#N/A,"96",FALSE,"Store Graphs";#N/A,"162",FALSE,"Store Graphs";#N/A,"163",FALSE,"Store Graphs";#N/A,"164",FALSE,"Store Graphs";#N/A,"165",FALSE,"Store Graphs";#N/A,"166",FALSE,"Store Graphs";#N/A,"182",FALSE,"Store Graphs";#N/A,"183",FALSE,"Store Graphs";#N/A,"184",FALSE,"Store Graphs";#N/A,"185",FALSE,"Store Graphs";#N/A,"186",FALSE,"Store Graphs";#N/A,"187",FALSE,"Store Graphs";#N/A,"188",FALSE,"Store Graphs";#N/A,"189",FALSE,"Store Graphs";#N/A,"190",FALSE,"Store Graphs";#N/A,"191",FALSE,"Store Graphs";#N/A,"192",FALSE,"Store Graphs";#N/A,"193",FALSE,"Store Graphs";#N/A,"194",FALSE,"Store Graphs";#N/A,"195",FALSE,"Store Graphs";#N/A,"196",FALSE,"Store Graphs";#N/A,"197",FALSE,"Store Graphs";#N/A,"198",FALSE,"Store Graphs";#N/A,"199",FALSE,"Store Graphs";#N/A,"200",FALSE,"Store Graphs";#N/A,"201",FALSE,"Store Graphs";#N/A,"202",FALSE,"Store Graphs";#N/A,"203",FALSE,"Store Graphs";#N/A,"244",FALSE,"Store Graphs";#N/A,"245",FALSE,"Store Graphs";#N/A,"246",FALSE,"Store Graphs";#N/A,"247",FALSE,"Store Graphs";#N/A,"248",FALSE,"Store Graphs";#N/A,"249",FALSE,"Store Graphs";#N/A,"250",FALSE,"Store Graphs";#N/A,"251",FALSE,"Store Graphs";#N/A,"252",FALSE,"Store Graphs";#N/A,"253",FALSE,"Store Graphs";#N/A,"254",FALSE,"Store Graphs";#N/A,"255",FALSE,"Store Graphs";#N/A,"256",FALSE,"Store Graphs";#N/A,"257",FALSE,"Store Graphs";#N/A,"258",FALSE,"Store Graphs";#N/A,"259",FALSE,"Store Graphs";#N/A,"260",FALSE,"Store Graphs";#N/A,"261",FALSE,"Store Graphs";#N/A,"262",FALSE,"Store Graphs";#N/A,"263",FALSE,"Store Graphs";#N/A,"264",FALSE,"Store Graphs";#N/A,"265",FALSE,"Store Graphs";#N/A,"266",FALSE,"Store Graphs";#N/A,"267",FALSE,"Store Graphs";#N/A,"268",FALSE,"Store Graphs";#N/A,"269",FALSE,"Store Graphs";#N/A,"270",FALSE,"Store Graphs";#N/A,"271",FALSE,"Store Graphs";#N/A,"272",FALSE,"Store Graphs";#N/A,"273",FALSE,"Store Graphs";#N/A,"274",FALSE,"Store Graphs";#N/A,"275",FALSE,"Store Graphs";#N/A,"339",FALSE,"Store Graphs";#N/A,"340",FALSE,"Store Graphs";#N/A,"341",FALSE,"Store Graphs";#N/A,"342",FALSE,"Store Graphs";#N/A,"343",FALSE,"Store Graphs";#N/A,"344",FALSE,"Store Graphs";#N/A,"345",FALSE,"Store Graphs";#N/A,"346",FALSE,"Store Graphs";#N/A,"347",FALSE,"Store Graphs";#N/A,"348",FALSE,"Store Graphs";#N/A,"349",FALSE,"Store Graphs";#N/A,"350",FALSE,"Store Graphs";#N/A,"351",FALSE,"Store Graphs";#N/A,"352",FALSE,"Store Graphs";#N/A,"353",FALSE,"Store Graphs"}</definedName>
    <definedName name="wrn.Store._.PL." hidden="1">{#N/A,"Store 1",FALSE,"Store";#N/A,"Store 2",FALSE,"Store"}</definedName>
    <definedName name="wrn.sum." hidden="1">{"Opsys",#N/A,FALSE,"NPV_OPsys";"NT",#N/A,FALSE,"NPV_NT";"DevP",#N/A,FALSE,"NPV_DevPdt";"Office",#N/A,FALSE,"NPV_Office"}</definedName>
    <definedName name="wrn.summaries."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Y." hidden="1">{#N/A,#N/A,FALSE,"SUMMARY";#N/A,#N/A,FALSE,"SUMMARY"}</definedName>
    <definedName name="wrn.SUPP." hidden="1">{#N/A,#N/A,FALSE,"COVER PAGE";#N/A,#N/A,FALSE,"TABLE OF CONTENTS";#N/A,#N/A,FALSE,"INCSTAT";#N/A,#N/A,FALSE,"SBU TRENDS";#N/A,#N/A,FALSE,"ASSETS";#N/A,#N/A,FALSE,"LIABILITIES";#N/A,#N/A,FALSE,"P &amp; L CURRENT";#N/A,#N/A,FALSE,"CASH FLOW";#N/A,#N/A,FALSE,"AGING";#N/A,#N/A,FALSE,"TOPTEN";#N/A,#N/A,FALSE,"LINE OF CREDIT";#N/A,#N/A,FALSE,"RV VAR P&amp;L";#N/A,#N/A,FALSE,"SUM LOCATION";#N/A,#N/A,FALSE,"HEADCOUNT";#N/A,#N/A,FALSE,"RV TRENDED";#N/A,#N/A,FALSE,"MV TRENDED";#N/A,#N/A,FALSE,"SG&amp;A TREND";#N/A,#N/A,FALSE,"SG&amp;A PLAN VS ACT";#N/A,#N/A,FALSE,"ADM SYS ACTUAL";#N/A,#N/A,FALSE,"SALES &amp; SBU ACTUAL";#N/A,#N/A,FALSE,"ADM SYS VAR";#N/A,#N/A,FALSE,"SALES &amp; SBU VAR"}</definedName>
    <definedName name="wrn.Tariff._.Analysis." hidden="1">{"Tarifica91",#N/A,FALSE,"Tariffs";"Tarifica92",#N/A,FALSE,"Tariffs";"Tarifica93",#N/A,FALSE,"Tariffs";"Tarifica94",#N/A,FALSE,"Tariffs";"Tarifica95",#N/A,FALSE,"Tariffs";"Tarifica96",#N/A,FALSE,"Tariffs"}</definedName>
    <definedName name="wrn.Tariff._.Comaprison." hidden="1">{"Tariff Comparison",#N/A,FALSE,"Benchmarking";"Tariff Comparison 2",#N/A,FALSE,"Benchmarking";"Tariff Comparison 3",#N/A,FALSE,"Benchmarking"}</definedName>
    <definedName name="wrn.Tax._.Report." hidden="1">{"KAVITA - Personal View",#N/A,FALSE,"Sheet2"}</definedName>
    <definedName name="wrn.test." hidden="1">{"test2",#N/A,TRUE,"Prices"}</definedName>
    <definedName name="wrn.test1." hidden="1">{#N/A,#N/A,FALSE,"Graphs 1";#N/A,#N/A,FALSE,"Graphs 2"}</definedName>
    <definedName name="wrn.todo." hidden="1">{#N/A,#N/A,FALSE,"Hip.Bas";#N/A,#N/A,FALSE,"ventas";#N/A,#N/A,FALSE,"ingre-Año";#N/A,#N/A,FALSE,"ventas-Año";#N/A,#N/A,FALSE,"Costepro";#N/A,#N/A,FALSE,"inversion";#N/A,#N/A,FALSE,"personal";#N/A,#N/A,FALSE,"Gastos-V";#N/A,#N/A,FALSE,"Circulante";#N/A,#N/A,FALSE,"CONSOLI";#N/A,#N/A,FALSE,"Es-Fin";#N/A,#N/A,FALSE,"Margen-P"}</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WNSHIP." hidden="1">{#N/A,#N/A,FALSE,"TOWNSHIP"}</definedName>
    <definedName name="wrn.Trial._.Balance." hidden="1">{#N/A,#N/A,TRUE,"constb"}</definedName>
    <definedName name="wrn.Typhoon." hidden="1">{"Agg Output",#N/A,FALSE,"Operational Drivers Output";"NW Output",#N/A,FALSE,"Operational Drivers Output";"South Output",#N/A,FALSE,"Operational Drivers Output";"Central Output",#N/A,FALSE,"Operational Drivers Output"}</definedName>
    <definedName name="wrn.upstairs." hidden="1">{"histincome",#N/A,FALSE,"hyfins";"closing balance",#N/A,FALSE,"hyfins"}</definedName>
    <definedName name="wrn.USW." hidden="1">{"IS",#N/A,FALSE,"IS";"RPTIS",#N/A,FALSE,"RPTIS";"STATS",#N/A,FALSE,"STATS";"BS",#N/A,FALSE,"BS"}</definedName>
    <definedName name="wrn.VALUATION." hidden="1">{#N/A,#N/A,FALSE,"Valuation Assumptions";#N/A,#N/A,FALSE,"Summary";#N/A,#N/A,FALSE,"DCF";#N/A,#N/A,FALSE,"Valuation";#N/A,#N/A,FALSE,"WACC";#N/A,#N/A,FALSE,"UBVH";#N/A,#N/A,FALSE,"Free Cash Flow"}</definedName>
    <definedName name="wrn.Valuation._.Worksheets." hidden="1">{#N/A,#N/A,FALSE,"ID Page";#N/A,#N/A,FALSE,"Index";#N/A,#N/A,FALSE,"Assumptions";#N/A,#N/A,FALSE,"Equity Summary";#N/A,#N/A,FALSE,"Market";#N/A,#N/A,FALSE,"Description (Comps)";#N/A,#N/A,FALSE,"Comp Ratios";#N/A,#N/A,FALSE,"Sim Tran";#N/A,#N/A,FALSE,"Description (Sim Tran)";#N/A,#N/A,FALSE,"WACC";#N/A,#N/A,FALSE,"Income St";#N/A,#N/A,FALSE,"Balance Sheet";#N/A,#N/A,FALSE,"Working Capital";#N/A,#N/A,FALSE,"WC Trend (1)";#N/A,#N/A,FALSE,"WC trend (2)";#N/A,#N/A,FALSE,"Intangibles Indication"}</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xrates." hidden="1">{#N/A,#N/A,FALSE,"1996";#N/A,#N/A,FALSE,"1995";#N/A,#N/A,FALSE,"1994"}</definedName>
    <definedName name="wrn.Year1." hidden="1">{"Page1",#N/A,FALSE,"Yr 1";"Page2",#N/A,FALSE,"Yr 1";"Page3",#N/A,FALSE,"Yr 1";"Page4",#N/A,FALSE,"Yr 1"}</definedName>
    <definedName name="wrn.Year2." hidden="1">{"Page1",#N/A,FALSE,"Yr 2";"Page2",#N/A,FALSE,"Yr 2";"Page3",#N/A,FALSE,"Yr 2";"Page4",#N/A,FALSE,"Yr 2"}</definedName>
    <definedName name="wrn1.Bewegungsbilanz" hidden="1">{#N/A,#N/A,FALSE,"Mittelherkunft";#N/A,#N/A,FALSE,"Mittelverwendung"}</definedName>
    <definedName name="wrn1.brief" hidden="1">{#N/A,#N/A,TRUE,"Summary";#N/A,#N/A,TRUE,"Balance Sheet";#N/A,#N/A,TRUE,"P &amp; L";#N/A,#N/A,TRUE,"Fixed Assets";#N/A,#N/A,TRUE,"Cash Flows"}</definedName>
    <definedName name="wrn1.elaborate" hidden="1">{#N/A,#N/A,FALSE,"Cash Flows";#N/A,#N/A,FALSE,"Fixed Assets";#N/A,#N/A,FALSE,"Balance Sheet";#N/A,#N/A,FALSE,"P &amp; L"}</definedName>
    <definedName name="wrn1.repot"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wrn1.supp." hidden="1">{#N/A,#N/A,FALSE,"COVER PAGE";#N/A,#N/A,FALSE,"TABLE OF CONTENTS";#N/A,#N/A,FALSE,"INCSTAT";#N/A,#N/A,FALSE,"SBU TRENDS";#N/A,#N/A,FALSE,"ASSETS";#N/A,#N/A,FALSE,"LIABILITIES";#N/A,#N/A,FALSE,"P &amp; L CURRENT";#N/A,#N/A,FALSE,"CASH FLOW";#N/A,#N/A,FALSE,"AGING";#N/A,#N/A,FALSE,"TOPTEN";#N/A,#N/A,FALSE,"LINE OF CREDIT";#N/A,#N/A,FALSE,"RV VAR P&amp;L";#N/A,#N/A,FALSE,"SUM LOCATION";#N/A,#N/A,FALSE,"HEADCOUNT";#N/A,#N/A,FALSE,"RV TRENDED";#N/A,#N/A,FALSE,"MV TRENDED";#N/A,#N/A,FALSE,"SG&amp;A TREND";#N/A,#N/A,FALSE,"SG&amp;A PLAN VS ACT";#N/A,#N/A,FALSE,"ADM SYS ACTUAL";#N/A,#N/A,FALSE,"SALES &amp; SBU ACTUAL";#N/A,#N/A,FALSE,"ADM SYS VAR";#N/A,#N/A,FALSE,"SALES &amp; SBU VAR"}</definedName>
    <definedName name="wrn10.elaborate" hidden="1">{#N/A,#N/A,FALSE,"Cash Flows";#N/A,#N/A,FALSE,"Fixed Assets";#N/A,#N/A,FALSE,"Balance Sheet";#N/A,#N/A,FALSE,"P &amp; L"}</definedName>
    <definedName name="wrn2.brief" hidden="1">{#N/A,#N/A,TRUE,"Summary";#N/A,#N/A,TRUE,"Balance Sheet";#N/A,#N/A,TRUE,"P &amp; L";#N/A,#N/A,TRUE,"Fixed Assets";#N/A,#N/A,TRUE,"Cash Flows"}</definedName>
    <definedName name="wrn3.ALL." hidden="1">{#N/A,#N/A,FALSE,"DCF";#N/A,#N/A,FALSE,"WACC";#N/A,#N/A,FALSE,"Sales_EBIT";#N/A,#N/A,FALSE,"Capex_Depreciation";#N/A,#N/A,FALSE,"WC";#N/A,#N/A,FALSE,"Interest";#N/A,#N/A,FALSE,"Assumptions"}</definedName>
    <definedName name="wrn3.elaborate" hidden="1">{#N/A,#N/A,FALSE,"Cash Flows";#N/A,#N/A,FALSE,"Fixed Assets";#N/A,#N/A,FALSE,"Balance Sheet";#N/A,#N/A,FALSE,"P &amp; L"}</definedName>
    <definedName name="wrn5.brief" hidden="1">{#N/A,#N/A,TRUE,"Summary";#N/A,#N/A,TRUE,"Balance Sheet";#N/A,#N/A,TRUE,"P &amp; L";#N/A,#N/A,TRUE,"Fixed Assets";#N/A,#N/A,TRUE,"Cash Flows"}</definedName>
    <definedName name="wrn6.elaborate" hidden="1">{#N/A,#N/A,FALSE,"Cash Flows";#N/A,#N/A,FALSE,"Fixed Assets";#N/A,#N/A,FALSE,"Balance Sheet";#N/A,#N/A,FALSE,"P &amp; L"}</definedName>
    <definedName name="wrn7.brief" hidden="1">{#N/A,#N/A,TRUE,"Summary";#N/A,#N/A,TRUE,"Balance Sheet";#N/A,#N/A,TRUE,"P &amp; L";#N/A,#N/A,TRUE,"Fixed Assets";#N/A,#N/A,TRUE,"Cash Flows"}</definedName>
    <definedName name="wrn8.elaborate" hidden="1">{#N/A,#N/A,FALSE,"Cash Flows";#N/A,#N/A,FALSE,"Fixed Assets";#N/A,#N/A,FALSE,"Balance Sheet";#N/A,#N/A,FALSE,"P &amp; L"}</definedName>
    <definedName name="wrn9.brief" hidden="1">{#N/A,#N/A,TRUE,"Summary";#N/A,#N/A,TRUE,"Balance Sheet";#N/A,#N/A,TRUE,"P &amp; L";#N/A,#N/A,TRUE,"Fixed Assets";#N/A,#N/A,TRUE,"Cash Flows"}</definedName>
    <definedName name="wrnfy97" hidden="1">{#N/A,#N/A,FALSE,"FY97";#N/A,#N/A,FALSE,"FY98";#N/A,#N/A,FALSE,"FY99";#N/A,#N/A,FALSE,"FY00";#N/A,#N/A,FALSE,"FY01"}</definedName>
    <definedName name="wrns.pg10." hidden="1">{#N/A,#N/A,FALSE,"1"}</definedName>
    <definedName name="wt" hidden="1">{#N/A,#N/A,FALSE,"FY97";#N/A,#N/A,FALSE,"FY98";#N/A,#N/A,FALSE,"FY99";#N/A,#N/A,FALSE,"FY00";#N/A,#N/A,FALSE,"FY01"}</definedName>
    <definedName name="wvu.A." hidden="1">{TRUE,TRUE,-1.25,-15.5,484.5,255,FALSE,FALSE,TRUE,FALSE,0,2,16,1,6,13,5,4,TRUE,TRUE,3,TRUE,1,TRUE,75,"Swvu.A.","ACwvu.A.",#N/A,FALSE,FALSE,0.2,0.22,1,0.641,2,"&amp;L&amp;""Arial,Bold""&amp;11Essar Projects Limited
EOL Refinery Project&amp;C&amp;""Arial,Bold""&amp;14TOTAL REFINERY PROJECT
REFINERY FACILITIES AND TERMINAL/MARKETING FACILITIES&amp;R&amp;""Arial,Bold""&amp;12Updated as on 17th November, 1997","&amp;L&amp;""Poster Bodoni ATT,Bold""&amp;12Prepared By : EPL (Planning and Cost Control)&amp;R&amp;D, &amp;T",TRUE,FALSE,FALSE,FALSE,1,#N/A,1,1,#DIV/0!,"=R1:R5","Rwvu.A.","Cwvu.A.",FALSE,FALSE,FALSE,8,65532,65532,FALSE,FALSE,TRUE,TRUE,TRUE}</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ww" hidden="1">{#N/A,#N/A,FALSE,"INPUTS";#N/A,#N/A,FALSE,"PROFORMA BSHEET";#N/A,#N/A,FALSE,"COMBINED";#N/A,#N/A,FALSE,"ACQUIROR";#N/A,#N/A,FALSE,"TARGET 1";#N/A,#N/A,FALSE,"TARGET 2";#N/A,#N/A,FALSE,"HIGH YIELD";#N/A,#N/A,FALSE,"OVERFUND"}</definedName>
    <definedName name="ww.Rele" hidden="1">{#N/A,#N/A,FALSE,"Title Page";#N/A,#N/A,FALSE,"Conclusions";#N/A,#N/A,FALSE,"Assum.";#N/A,#N/A,FALSE,"Sun  DCF-WC-Dep";#N/A,#N/A,FALSE,"MarketValue";#N/A,#N/A,FALSE,"BalSheet";#N/A,#N/A,FALSE,"WACC";#N/A,#N/A,FALSE,"PC+ Info.";#N/A,#N/A,FALSE,"PC+Info_2"}</definedName>
    <definedName name="wwc" hidden="1">{#N/A,#N/A,FALSE,"Aging Summary";#N/A,#N/A,FALSE,"Ratio Analysis";#N/A,#N/A,FALSE,"Test 120 Day Accts";#N/A,#N/A,FALSE,"Tickmarks"}</definedName>
    <definedName name="wwwwwwwwww" hidden="1">{#N/A,#N/A,TRUE,"A-site";#N/A,#N/A,TRUE,"B-Buildings";#N/A,#N/A,TRUE,"c-out-of-fence";#N/A,#N/A,TRUE,"d-proj.infr.";#N/A,#N/A,TRUE,"e- land"}</definedName>
    <definedName name="x" hidden="1">{#N/A,#N/A,FALSE,"FY97";#N/A,#N/A,FALSE,"FY98";#N/A,#N/A,FALSE,"FY99";#N/A,#N/A,FALSE,"FY00";#N/A,#N/A,FALSE,"FY01"}</definedName>
    <definedName name="xc"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XFDG" hidden="1">{TRUE,TRUE,-1.25,-15.5,456.75,279.75,FALSE,FALSE,TRUE,TRUE,0,1,18,1,199,6,3,4,TRUE,TRUE,3,TRUE,1,TRUE,100,"Swvu.cash.","ACwvu.cash.",1,FALSE,FALSE,0.511811023622047,0.511811023622047,0.511811023622047,0.511811023622047,1,"","",FALSE,FALSE,FALSE,FALSE,1,#N/A,1,1,#DIV/0!,FALSE,"Rwvu.cash.",#N/A,FALSE,FALSE}</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37</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Row" hidden="1">#REF!</definedName>
    <definedName name="XRefCopy106Row" hidden="1">#REF!</definedName>
    <definedName name="XRefCopy107Row" hidden="1">#REF!</definedName>
    <definedName name="XRefCopy108Row" hidden="1">#REF!</definedName>
    <definedName name="XRefCopy109Row" hidden="1">#REF!</definedName>
    <definedName name="XRefCopy10Row" hidden="1">#REF!</definedName>
    <definedName name="XRefCopy11" hidden="1">#REF!</definedName>
    <definedName name="XRefCopy110Row"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9Row"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2Row" hidden="1">#REF!</definedName>
    <definedName name="XRefCopy63" hidden="1">#REF!</definedName>
    <definedName name="XRefCopy63Row" hidden="1">#REF!</definedName>
    <definedName name="XRefCopy64" hidden="1">#REF!</definedName>
    <definedName name="XRefCopy64Row" hidden="1">#REF!</definedName>
    <definedName name="XRefCopy65" hidden="1">#REF!</definedName>
    <definedName name="XRefCopy65Row" hidden="1">#REF!</definedName>
    <definedName name="XRefCopy67Row" hidden="1">#REF!</definedName>
    <definedName name="XRefCopy68" hidden="1">#REF!</definedName>
    <definedName name="XRefCopy68Row" hidden="1">#REF!</definedName>
    <definedName name="XRefCopy6Row" hidden="1">#REF!</definedName>
    <definedName name="XRefCopy7" hidden="1">#REF!</definedName>
    <definedName name="XRefCopy7Row" hidden="1">#REF!</definedName>
    <definedName name="XRefCopy8" hidden="1">#REF!</definedName>
    <definedName name="XRefCopy88Row" hidden="1">#REF!</definedName>
    <definedName name="XRefCopy89Row" hidden="1">#REF!</definedName>
    <definedName name="XRefCopy8Row" hidden="1">#REF!</definedName>
    <definedName name="XRefCopy9" hidden="1">#REF!</definedName>
    <definedName name="XRefCopy90Row" hidden="1">#REF!</definedName>
    <definedName name="XRefCopy91Row" hidden="1">#REF!</definedName>
    <definedName name="XRefCopy92Row" hidden="1">#REF!</definedName>
    <definedName name="XRefCopy93Row" hidden="1">#REF!</definedName>
    <definedName name="XRefCopy94Row" hidden="1">#REF!</definedName>
    <definedName name="XRefCopy95Row" hidden="1">#REF!</definedName>
    <definedName name="XRefCopy96Row" hidden="1">#REF!</definedName>
    <definedName name="XRefCopy97Row" hidden="1">#REF!</definedName>
    <definedName name="XRefCopy98Row" hidden="1">#REF!</definedName>
    <definedName name="XRefCopy99Row" hidden="1">#REF!</definedName>
    <definedName name="XRefCopy9Row" hidden="1">#REF!</definedName>
    <definedName name="XRefCopyRangeCount" hidden="1">68</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0Row" hidden="1">#REF!</definedName>
    <definedName name="XRefPaste121Row" hidden="1">#REF!</definedName>
    <definedName name="XRefPaste122Row" hidden="1">#REF!</definedName>
    <definedName name="XRefPaste123" hidden="1">#REF!</definedName>
    <definedName name="XRefPaste123Row" hidden="1">#REF!</definedName>
    <definedName name="XRefPaste124Row"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 hidden="1">#REF!</definedName>
    <definedName name="XRefPaste142Row" hidden="1">#REF!</definedName>
    <definedName name="XRefPaste145" hidden="1">#REF!</definedName>
    <definedName name="XRefPaste145Row" hidden="1">#REF!</definedName>
    <definedName name="XRefPaste148" hidden="1">#REF!</definedName>
    <definedName name="XRefPaste148Row" hidden="1">#REF!</definedName>
    <definedName name="XRefPaste149" hidden="1">#REF!</definedName>
    <definedName name="XRefPaste149Row" hidden="1">#REF!</definedName>
    <definedName name="XRefPaste14Row" hidden="1">#REF!</definedName>
    <definedName name="XRefPaste15" hidden="1">#REF!</definedName>
    <definedName name="XRefPaste150" hidden="1">#REF!</definedName>
    <definedName name="XRefPaste150Row" hidden="1">#REF!</definedName>
    <definedName name="XRefPaste151" hidden="1">#REF!</definedName>
    <definedName name="XRefPaste151Row" hidden="1">#REF!</definedName>
    <definedName name="XRefPaste152" hidden="1">#REF!</definedName>
    <definedName name="XRefPaste152Row" hidden="1">#REF!</definedName>
    <definedName name="XRefPaste153" hidden="1">#REF!</definedName>
    <definedName name="XRefPaste153Row" hidden="1">#REF!</definedName>
    <definedName name="XRefPaste155" hidden="1">#REF!</definedName>
    <definedName name="XRefPaste155Row" hidden="1">#REF!</definedName>
    <definedName name="XRefPaste156" hidden="1">#REF!</definedName>
    <definedName name="XRefPaste156Row" hidden="1">#REF!</definedName>
    <definedName name="XRefPaste157" hidden="1">#REF!</definedName>
    <definedName name="XRefPaste157Row" hidden="1">#REF!</definedName>
    <definedName name="XRefPaste158" hidden="1">#REF!</definedName>
    <definedName name="XRefPaste158Row" hidden="1">#REF!</definedName>
    <definedName name="XRefPaste159" hidden="1">#REF!</definedName>
    <definedName name="XRefPaste159Row" hidden="1">#REF!</definedName>
    <definedName name="XRefPaste15Row" hidden="1">#REF!</definedName>
    <definedName name="XRefPaste16" hidden="1">#REF!</definedName>
    <definedName name="XRefPaste160" hidden="1">#REF!</definedName>
    <definedName name="XRefPaste160Row" hidden="1">#REF!</definedName>
    <definedName name="XRefPaste161" hidden="1">#REF!</definedName>
    <definedName name="XRefPaste161Row" hidden="1">#REF!</definedName>
    <definedName name="XRefPaste167" hidden="1">#REF!</definedName>
    <definedName name="XRefPaste167Row" hidden="1">#REF!</definedName>
    <definedName name="XRefPaste168" hidden="1">#REF!</definedName>
    <definedName name="XRefPaste168Row" hidden="1">#REF!</definedName>
    <definedName name="XRefPaste169" hidden="1">#REF!</definedName>
    <definedName name="XRefPaste169Row" hidden="1">#REF!</definedName>
    <definedName name="XRefPaste16Row" hidden="1">#REF!</definedName>
    <definedName name="XRefPaste17" hidden="1">#REF!</definedName>
    <definedName name="XRefPaste170" hidden="1">#REF!</definedName>
    <definedName name="XRefPaste170Row" hidden="1">#REF!</definedName>
    <definedName name="XRefPaste171" hidden="1">#REF!</definedName>
    <definedName name="XRefPaste171Row" hidden="1">#REF!</definedName>
    <definedName name="XRefPaste172" hidden="1">#REF!</definedName>
    <definedName name="XRefPaste172Row" hidden="1">#REF!</definedName>
    <definedName name="XRefPaste174" hidden="1">#REF!</definedName>
    <definedName name="XRefPaste174Row" hidden="1">#REF!</definedName>
    <definedName name="XRefPaste176" hidden="1">#REF!</definedName>
    <definedName name="XRefPaste176Row" hidden="1">#REF!</definedName>
    <definedName name="XRefPaste177" hidden="1">#REF!</definedName>
    <definedName name="XRefPaste177Row" hidden="1">#REF!</definedName>
    <definedName name="XRefPaste178" hidden="1">#REF!</definedName>
    <definedName name="XRefPaste178Row" hidden="1">#REF!</definedName>
    <definedName name="XRefPaste179" hidden="1">#REF!</definedName>
    <definedName name="XRefPaste179Row" hidden="1">#REF!</definedName>
    <definedName name="XRefPaste17Row" hidden="1">#REF!</definedName>
    <definedName name="XRefPaste18" hidden="1">#REF!</definedName>
    <definedName name="XRefPaste180" hidden="1">#REF!</definedName>
    <definedName name="XRefPaste180Row" hidden="1">#REF!</definedName>
    <definedName name="XRefPaste181" hidden="1">#REF!</definedName>
    <definedName name="XRefPaste181Row" hidden="1">#REF!</definedName>
    <definedName name="XRefPaste182" hidden="1">#REF!</definedName>
    <definedName name="XRefPaste182Row" hidden="1">#REF!</definedName>
    <definedName name="XRefPaste185" hidden="1">#REF!</definedName>
    <definedName name="XRefPaste185Row" hidden="1">#REF!</definedName>
    <definedName name="XRefPaste186" hidden="1">#REF!</definedName>
    <definedName name="XRefPaste186Row" hidden="1">#REF!</definedName>
    <definedName name="XRefPaste187" hidden="1">#REF!</definedName>
    <definedName name="XRefPaste187Row" hidden="1">#REF!</definedName>
    <definedName name="XRefPaste188" hidden="1">#REF!</definedName>
    <definedName name="XRefPaste188Row" hidden="1">#REF!</definedName>
    <definedName name="XRefPaste189" hidden="1">#REF!</definedName>
    <definedName name="XRefPaste189Row" hidden="1">#REF!</definedName>
    <definedName name="XRefPaste18Row" hidden="1">#REF!</definedName>
    <definedName name="XRefPaste19" hidden="1">#REF!</definedName>
    <definedName name="XRefPaste190" hidden="1">#REF!</definedName>
    <definedName name="XRefPaste190Row" hidden="1">#REF!</definedName>
    <definedName name="XRefPaste191" hidden="1">#REF!</definedName>
    <definedName name="XRefPaste191Row" hidden="1">#REF!</definedName>
    <definedName name="XRefPaste192" hidden="1">#REF!</definedName>
    <definedName name="XRefPaste192Row" hidden="1">#REF!</definedName>
    <definedName name="XRefPaste193" hidden="1">#REF!</definedName>
    <definedName name="XRefPaste193Row" hidden="1">#REF!</definedName>
    <definedName name="XRefPaste194" hidden="1">#REF!</definedName>
    <definedName name="XRefPaste194Row" hidden="1">#REF!</definedName>
    <definedName name="XRefPaste195" hidden="1">#REF!</definedName>
    <definedName name="XRefPaste195Row"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 hidden="1">#REF!</definedName>
    <definedName name="XRefPaste53Row" hidden="1">#REF!</definedName>
    <definedName name="XRefPaste54" hidden="1">#REF!</definedName>
    <definedName name="XRefPaste54Row" hidden="1">#REF!</definedName>
    <definedName name="XRefPaste55" hidden="1">#REF!</definedName>
    <definedName name="XRefPaste55Row" hidden="1">#REF!</definedName>
    <definedName name="XRefPaste56"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Row" hidden="1">#REF!</definedName>
    <definedName name="XRefPaste5Row" hidden="1">#REF!</definedName>
    <definedName name="XRefPaste6" hidden="1">#REF!</definedName>
    <definedName name="XRefPaste60Row" hidden="1">#REF!</definedName>
    <definedName name="XRefPaste61Row" hidden="1">#REF!</definedName>
    <definedName name="XRefPaste62" hidden="1">#REF!</definedName>
    <definedName name="XRefPaste62Row"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 hidden="1">#REF!</definedName>
    <definedName name="XRefPaste74Row" hidden="1">#REF!</definedName>
    <definedName name="XRefPaste75" hidden="1">#REF!</definedName>
    <definedName name="XRefPaste75Row" hidden="1">#REF!</definedName>
    <definedName name="XRefPaste76" hidden="1">#REF!</definedName>
    <definedName name="XRefPaste76Row" hidden="1">#REF!</definedName>
    <definedName name="XRefPaste77Row" hidden="1">#REF!</definedName>
    <definedName name="XRefPaste79Row" hidden="1">#REF!</definedName>
    <definedName name="XRefPaste7Row" hidden="1">#REF!</definedName>
    <definedName name="XRefPaste8"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 hidden="1">#REF!</definedName>
    <definedName name="XRefPaste83Row" hidden="1">#REF!</definedName>
    <definedName name="XRefPaste84"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195</definedName>
    <definedName name="xsa" hidden="1">#REF!</definedName>
    <definedName name="xsxa" hidden="1">{"'Sheet1'!$A$4386:$N$4591"}</definedName>
    <definedName name="xx" localSheetId="2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xx" localSheetId="39"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xx"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xx_1" localSheetId="39">{#N/A,#N/A,FALSE,"cash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xx_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xxx" hidden="1">{#N/A,#N/A,FALSE,"ACQ_GRAPHS";#N/A,#N/A,FALSE,"T_1 GRAPHS";#N/A,#N/A,FALSE,"T_2 GRAPHS";#N/A,#N/A,FALSE,"COMB_GRAPHS"}</definedName>
    <definedName name="xxxx"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xxxxx" hidden="1">{#N/A,#N/A,FALSE,"Calc";#N/A,#N/A,FALSE,"Sensitivity";#N/A,#N/A,FALSE,"LT Earn.Dil.";#N/A,#N/A,FALSE,"Dil. AVP"}</definedName>
    <definedName name="xxzz"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xy" hidden="1">{#N/A,#N/A,FALSE,"Mittelherkunft";#N/A,#N/A,FALSE,"Mittelverwendung"}</definedName>
    <definedName name="xyz" hidden="1">#REF!</definedName>
    <definedName name="y" hidden="1">{"'W.W. Summary'!$A$1:$K$37"}</definedName>
    <definedName name="YEAR">#REF!</definedName>
    <definedName name="year_num">#REF!</definedName>
    <definedName name="YEAR_TO__RS_M_">#REF!</definedName>
    <definedName name="years">#REF!</definedName>
    <definedName name="YeEq">#REF!</definedName>
    <definedName name="YesNo" localSheetId="39">#REF!</definedName>
    <definedName name="YesNo">#REF!</definedName>
    <definedName name="yhn" hidden="1">{#N/A,#N/A,FALSE,"Model";#N/A,#N/A,FALSE,"Division"}</definedName>
    <definedName name="YOGESH" hidden="1">{#N/A,#N/A,FALSE,"COMP"}</definedName>
    <definedName name="yogxls"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YrRange" hidden="1">#REF!</definedName>
    <definedName name="YTDAPR">#REF!</definedName>
    <definedName name="YTDAUG">#REF!</definedName>
    <definedName name="YTDDEC">#REF!</definedName>
    <definedName name="YTDFEB">#REF!</definedName>
    <definedName name="YTDJAN">#REF!</definedName>
    <definedName name="YTDJUL">#REF!</definedName>
    <definedName name="YTDJUN">#REF!</definedName>
    <definedName name="YTDMAR">#REF!</definedName>
    <definedName name="YTDMAY">#REF!</definedName>
    <definedName name="YTDNOV">#REF!</definedName>
    <definedName name="YTDOCT">#REF!</definedName>
    <definedName name="YTDSEP">#REF!</definedName>
    <definedName name="yy" hidden="1">{"consolidated",#N/A,FALSE,"Sheet1";"cms",#N/A,FALSE,"Sheet1";"fse",#N/A,FALSE,"Sheet1"}</definedName>
    <definedName name="yyy">#REF!</definedName>
    <definedName name="yyyy">#REF!</definedName>
    <definedName name="z" hidden="1">#REF!</definedName>
    <definedName name="Z_151C847C_F869_11D1_B680_00A02416AF98_.wvu.Cols" hidden="1">#REF!</definedName>
    <definedName name="Z_151C847C_F869_11D1_B680_00A02416AF98_.wvu.PrintTitles" hidden="1">#REF!,#REF!</definedName>
    <definedName name="Z_26F1B120_222F_11D7_91EB_0050BA7F1DA7_.wvu.FilterData" hidden="1">#REF!</definedName>
    <definedName name="Z_60FA13F0_C7AB_11D5_82BE_0060B0F04987_.wvu.Rows" hidden="1">#REF!</definedName>
    <definedName name="Z_6A0B6660_2954_11D3_B3A1_008048D635E6_.wvu.PrintArea" hidden="1">#REF!</definedName>
    <definedName name="Z_6A0B6660_2954_11D3_B3A1_008048D635E6_.wvu.PrintTitles" hidden="1">#REF!</definedName>
    <definedName name="Z_6A0B6660_2954_11D3_B3A1_008048D635E6_.wvu.Rows" hidden="1">#REF!,#REF!,#REF!</definedName>
    <definedName name="Z_81B49422_B94B_11D7_8BE4_000795ABF7ED_.wvu.FilterData" hidden="1">#REF!</definedName>
    <definedName name="Z_9426E38C_13B4_4AE0_934B_D7DFB740B66C_.wvu.PrintArea" localSheetId="14" hidden="1">'Accounting Policies'!$C$8:$D$37</definedName>
    <definedName name="Z_9426E38C_13B4_4AE0_934B_D7DFB740B66C_.wvu.PrintArea" localSheetId="22" hidden="1">'Addl Info to the FS'!$C$8:$F$138</definedName>
    <definedName name="Z_9426E38C_13B4_4AE0_934B_D7DFB740B66C_.wvu.PrintArea" localSheetId="19" hidden="1">'AS 15 Disclosures'!$C$8:$J$140</definedName>
    <definedName name="Z_9426E38C_13B4_4AE0_934B_D7DFB740B66C_.wvu.PrintArea" localSheetId="25" hidden="1">'AS 17 Disclosures'!$C$8:$F$119</definedName>
    <definedName name="Z_9426E38C_13B4_4AE0_934B_D7DFB740B66C_.wvu.PrintArea" localSheetId="20" hidden="1">'AS 19 Disclosures'!$C$3:$F$22</definedName>
    <definedName name="Z_9426E38C_13B4_4AE0_934B_D7DFB740B66C_.wvu.PrintArea" localSheetId="24" hidden="1">'AS 22 Disclosures'!$C$8:$E$38</definedName>
    <definedName name="Z_9426E38C_13B4_4AE0_934B_D7DFB740B66C_.wvu.PrintArea" localSheetId="16" hidden="1">Assets!$C$8:$E$309</definedName>
    <definedName name="Z_9426E38C_13B4_4AE0_934B_D7DFB740B66C_.wvu.PrintArea" localSheetId="23" hidden="1">'Disclosures under AS'!$C$8:$E$23</definedName>
    <definedName name="Z_9426E38C_13B4_4AE0_934B_D7DFB740B66C_.wvu.PrintArea" localSheetId="15" hidden="1">Liabilities!$C$8:$H$457</definedName>
    <definedName name="Z_9426E38C_13B4_4AE0_934B_D7DFB740B66C_.wvu.PrintArea" localSheetId="18" hidden="1">'Notes To P&amp;L'!$C$8:$F$79</definedName>
    <definedName name="Z_9426E38C_13B4_4AE0_934B_D7DFB740B66C_.wvu.PrintTitles" localSheetId="25" hidden="1">'AS 17 Disclosures'!#REF!</definedName>
    <definedName name="Z_9426E38C_13B4_4AE0_934B_D7DFB740B66C_.wvu.PrintTitles" localSheetId="20" hidden="1">'AS 19 Disclosures'!#REF!</definedName>
    <definedName name="Z_9426E38C_13B4_4AE0_934B_D7DFB740B66C_.wvu.PrintTitles" localSheetId="24" hidden="1">'AS 22 Disclosures'!#REF!</definedName>
    <definedName name="Z_9426E38C_13B4_4AE0_934B_D7DFB740B66C_.wvu.PrintTitles" localSheetId="13" hidden="1">'Cash Flow'!$13:$13</definedName>
    <definedName name="Z_9426E38C_13B4_4AE0_934B_D7DFB740B66C_.wvu.PrintTitles" localSheetId="23" hidden="1">'Disclosures under AS'!#REF!</definedName>
    <definedName name="Z_A34C3EA5_3441_4585_AF4D_75703A881470_.wvu.FilterData">#REF!</definedName>
    <definedName name="Z_C13AA8C8_0EA1_4863_B0F4_6C117D952B9B_.wvu.FilterData">#REF!</definedName>
    <definedName name="za">#REF!</definedName>
    <definedName name="zaCQW" hidden="1">{"turnover",#N/A,FALSE;"profits",#N/A,FALSE;"cash",#N/A,FALSE}</definedName>
    <definedName name="zaq" hidden="1">{#N/A,#N/A,FALSE,"Calc";#N/A,#N/A,FALSE,"Sensitivity";#N/A,#N/A,FALSE,"LT Earn.Dil.";#N/A,#N/A,FALSE,"Dil. AVP"}</definedName>
    <definedName name="zer" hidden="1">{#N/A,#N/A,FALSE,"Calc";#N/A,#N/A,FALSE,"Sensitivity";#N/A,#N/A,FALSE,"LT Earn.Dil.";#N/A,#N/A,FALSE,"Dil. AVP"}</definedName>
    <definedName name="zz">IF(#REF!="m",INDEX(#REF!, MATCH(#REF!,#REF!,), MATCH(#REF!,#REF!,)),0)</definedName>
    <definedName name="ZZ_Aging">#REF!</definedName>
    <definedName name="ZZZ" hidden="1">{#N/A,#N/A,FALSE,"PGW"}</definedName>
    <definedName name="zzz.com" hidden="1">{#N/A,#N/A,FALSE,"Title Page";#N/A,#N/A,FALSE,"Conclusions";#N/A,#N/A,FALSE,"Assum.";#N/A,#N/A,FALSE,"Sun  DCF-WC-Dep";#N/A,#N/A,FALSE,"MarketValue";#N/A,#N/A,FALSE,"BalSheet";#N/A,#N/A,FALSE,"WACC";#N/A,#N/A,FALSE,"PC+ Info.";#N/A,#N/A,FALSE,"PC+Info_2"}</definedName>
    <definedName name="П000040020103">#REF!</definedName>
    <definedName name="しくみ" hidden="1">{"'ALL (3)'!$A$1:$F$348"}</definedName>
    <definedName name="ちちち" hidden="1">{"'ALL (3)'!$A$1:$F$348"}</definedName>
    <definedName name="組織" hidden="1">{"'ALL (3)'!$A$1:$F$348"}</definedName>
    <definedName name="組織１" hidden="1">{"'ALL (3)'!$A$1:$F$348"}</definedName>
  </definedNames>
  <calcPr calcId="152511"/>
  <pivotCaches>
    <pivotCache cacheId="0" r:id="rId4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9" i="82" l="1"/>
  <c r="D348" i="82"/>
  <c r="D347" i="82"/>
  <c r="D346" i="82"/>
  <c r="D345" i="82"/>
  <c r="D342" i="82"/>
  <c r="D339" i="82"/>
  <c r="D337" i="82"/>
  <c r="D336" i="82"/>
  <c r="D330" i="82"/>
  <c r="D327" i="82"/>
  <c r="D326" i="82"/>
  <c r="D325" i="82"/>
  <c r="D313" i="82"/>
  <c r="D304" i="82"/>
  <c r="D303" i="82"/>
  <c r="D299" i="82"/>
  <c r="D296" i="82"/>
  <c r="D288" i="82"/>
  <c r="D286" i="82"/>
  <c r="D281" i="82"/>
  <c r="D280" i="82"/>
  <c r="D279" i="82"/>
  <c r="D277" i="82"/>
  <c r="D265" i="82"/>
  <c r="D259" i="82"/>
  <c r="D253" i="82"/>
  <c r="D252" i="82"/>
  <c r="D251" i="82"/>
  <c r="D250" i="82"/>
  <c r="D247" i="82"/>
  <c r="D243" i="82"/>
  <c r="D238" i="82"/>
  <c r="D237" i="82"/>
  <c r="D236" i="82"/>
  <c r="D235" i="82"/>
  <c r="D219" i="82"/>
  <c r="D218" i="82"/>
  <c r="D217" i="82"/>
  <c r="D216" i="82"/>
  <c r="D213" i="82"/>
  <c r="D211" i="82"/>
  <c r="D210" i="82"/>
  <c r="D209" i="82"/>
  <c r="D208" i="82"/>
  <c r="D207" i="82"/>
  <c r="D203" i="82"/>
  <c r="D202" i="82"/>
  <c r="D201" i="82"/>
  <c r="D200" i="82"/>
  <c r="D199" i="82"/>
  <c r="D198" i="82"/>
  <c r="D197" i="82"/>
  <c r="D196" i="82"/>
  <c r="D195" i="82"/>
  <c r="D185" i="82"/>
  <c r="D184" i="82"/>
  <c r="D181" i="82"/>
  <c r="D180" i="82"/>
  <c r="D163" i="82"/>
  <c r="D157" i="82"/>
  <c r="D156" i="82"/>
  <c r="D154" i="82"/>
  <c r="D136" i="82"/>
  <c r="D134" i="82"/>
  <c r="D117" i="82"/>
  <c r="D116" i="82"/>
  <c r="D114" i="82"/>
  <c r="F85" i="82" l="1"/>
  <c r="J19" i="87"/>
  <c r="J20" i="87"/>
  <c r="J23" i="87"/>
  <c r="J26" i="87"/>
  <c r="J29" i="87"/>
  <c r="F9" i="82"/>
  <c r="F159" i="82"/>
  <c r="M27" i="93"/>
  <c r="AC32" i="93"/>
  <c r="N27" i="93"/>
  <c r="P27" i="93"/>
  <c r="AC40" i="93"/>
  <c r="AC41" i="93" s="1"/>
  <c r="AC34" i="93"/>
  <c r="AA27" i="93"/>
  <c r="W28" i="93"/>
  <c r="V27" i="93"/>
  <c r="O27" i="93"/>
  <c r="Z27" i="93"/>
  <c r="AC28" i="93" s="1"/>
  <c r="X27" i="93"/>
  <c r="D270" i="105"/>
  <c r="D85" i="87"/>
  <c r="G51" i="123"/>
  <c r="D54" i="100"/>
  <c r="D386" i="107"/>
  <c r="W27" i="93" l="1"/>
  <c r="AB27" i="93" s="1"/>
  <c r="I340" i="31"/>
  <c r="C126" i="95"/>
  <c r="C143" i="95"/>
  <c r="C150" i="95"/>
  <c r="F61" i="127" l="1"/>
  <c r="F60" i="127"/>
  <c r="J190" i="105"/>
  <c r="N64" i="127" l="1"/>
  <c r="E67" i="6"/>
  <c r="E23" i="6"/>
  <c r="Q85" i="93" l="1"/>
  <c r="O85" i="93"/>
  <c r="G85" i="93"/>
  <c r="E85" i="93"/>
  <c r="E5" i="133"/>
  <c r="F112" i="93" l="1"/>
  <c r="H112" i="93"/>
  <c r="I112" i="93"/>
  <c r="J112" i="93"/>
  <c r="K112" i="93"/>
  <c r="L112" i="93"/>
  <c r="M112" i="93"/>
  <c r="N112" i="93"/>
  <c r="P112" i="93"/>
  <c r="R112" i="93"/>
  <c r="S112" i="93"/>
  <c r="T112" i="93"/>
  <c r="U112" i="93"/>
  <c r="V112" i="93"/>
  <c r="W112" i="93"/>
  <c r="F113" i="93"/>
  <c r="G113" i="93"/>
  <c r="H113" i="93"/>
  <c r="I113" i="93"/>
  <c r="J113" i="93"/>
  <c r="K113" i="93"/>
  <c r="L113" i="93"/>
  <c r="M113" i="93"/>
  <c r="N113" i="93"/>
  <c r="O113" i="93"/>
  <c r="P113" i="93"/>
  <c r="F123" i="93" s="1"/>
  <c r="Q113" i="93"/>
  <c r="R113" i="93"/>
  <c r="S113" i="93"/>
  <c r="T113" i="93"/>
  <c r="U113" i="93"/>
  <c r="V113" i="93"/>
  <c r="W113" i="93"/>
  <c r="G46" i="94" s="1"/>
  <c r="X113" i="93"/>
  <c r="E113" i="93"/>
  <c r="E211" i="97"/>
  <c r="D211" i="97"/>
  <c r="E199" i="97"/>
  <c r="D199" i="97"/>
  <c r="E67" i="99"/>
  <c r="G67" i="99" l="1"/>
  <c r="E29" i="99"/>
  <c r="G24" i="99"/>
  <c r="O200" i="82" l="1"/>
  <c r="O187" i="82"/>
  <c r="I24" i="132"/>
  <c r="C300" i="31"/>
  <c r="E576" i="107"/>
  <c r="D576" i="107"/>
  <c r="D573" i="107"/>
  <c r="D581" i="107"/>
  <c r="E581" i="107"/>
  <c r="X110" i="93" l="1"/>
  <c r="Q86" i="93"/>
  <c r="V86" i="93" s="1"/>
  <c r="O86" i="93"/>
  <c r="N86" i="93"/>
  <c r="G86" i="93"/>
  <c r="E86" i="93"/>
  <c r="W86" i="93" l="1"/>
  <c r="C64" i="99"/>
  <c r="C65" i="99"/>
  <c r="D22" i="99"/>
  <c r="E22" i="99" s="1"/>
  <c r="C125" i="96"/>
  <c r="C126" i="96"/>
  <c r="C128" i="96"/>
  <c r="E1234" i="107" l="1"/>
  <c r="D1234" i="107" s="1"/>
  <c r="E659" i="91"/>
  <c r="C657" i="91"/>
  <c r="F14" i="126" l="1"/>
  <c r="D441" i="107" l="1"/>
  <c r="D97" i="100" s="1"/>
  <c r="O139" i="82" l="1"/>
  <c r="E54" i="93" l="1"/>
  <c r="M54" i="93"/>
  <c r="N54" i="93"/>
  <c r="W54" i="93" s="1"/>
  <c r="O54" i="93"/>
  <c r="P54" i="93"/>
  <c r="V54" i="93"/>
  <c r="E55" i="93"/>
  <c r="G55" i="93"/>
  <c r="N55" i="93"/>
  <c r="O55" i="93"/>
  <c r="P55" i="93"/>
  <c r="Q55" i="93"/>
  <c r="V55" i="93"/>
  <c r="W55" i="93" s="1"/>
  <c r="X54" i="93" s="1"/>
  <c r="X55" i="93"/>
  <c r="F183" i="107" l="1"/>
  <c r="J112" i="98" s="1"/>
  <c r="J115" i="98"/>
  <c r="J116" i="98"/>
  <c r="I112" i="98"/>
  <c r="J110" i="98"/>
  <c r="F185" i="107"/>
  <c r="J114" i="98" s="1"/>
  <c r="F184" i="107"/>
  <c r="J113" i="98" s="1"/>
  <c r="H112" i="98" l="1"/>
  <c r="F600" i="91"/>
  <c r="F594" i="91"/>
  <c r="E594" i="91"/>
  <c r="R315" i="81"/>
  <c r="U315" i="81" s="1"/>
  <c r="V315" i="81" s="1"/>
  <c r="F122" i="31" s="1"/>
  <c r="S315" i="81"/>
  <c r="T315" i="81"/>
  <c r="W315" i="81"/>
  <c r="D773" i="91"/>
  <c r="D545" i="107" l="1"/>
  <c r="F33" i="127" l="1"/>
  <c r="E55" i="96"/>
  <c r="E1145" i="107"/>
  <c r="E54" i="96" s="1"/>
  <c r="E1144" i="107"/>
  <c r="E53" i="96" s="1"/>
  <c r="E1143" i="107"/>
  <c r="E52" i="96" s="1"/>
  <c r="E51" i="96" l="1"/>
  <c r="F45" i="87" l="1"/>
  <c r="F659" i="91" l="1"/>
  <c r="D936" i="91"/>
  <c r="D760" i="91"/>
  <c r="F319" i="82"/>
  <c r="F320" i="82"/>
  <c r="F321" i="82"/>
  <c r="F322" i="82"/>
  <c r="F323" i="82"/>
  <c r="F324" i="82"/>
  <c r="F301" i="82"/>
  <c r="F141" i="82"/>
  <c r="F144" i="82"/>
  <c r="F146" i="82"/>
  <c r="F99" i="82"/>
  <c r="F101" i="82"/>
  <c r="F118" i="82"/>
  <c r="F292" i="82"/>
  <c r="F294" i="82"/>
  <c r="F33" i="82"/>
  <c r="F315" i="82"/>
  <c r="F316" i="82"/>
  <c r="E660" i="91"/>
  <c r="E656" i="91"/>
  <c r="E655" i="91"/>
  <c r="O188" i="82" l="1"/>
  <c r="O281" i="82"/>
  <c r="O279" i="82"/>
  <c r="O278" i="82"/>
  <c r="H33" i="132"/>
  <c r="H34" i="132" s="1"/>
  <c r="H30" i="132"/>
  <c r="O280" i="82" s="1"/>
  <c r="H27" i="132"/>
  <c r="H28" i="132" s="1"/>
  <c r="H24" i="132"/>
  <c r="H25" i="132" s="1"/>
  <c r="G31" i="132"/>
  <c r="G28" i="132"/>
  <c r="G25" i="132"/>
  <c r="D58" i="132"/>
  <c r="D55" i="132"/>
  <c r="D46" i="132"/>
  <c r="D43" i="132"/>
  <c r="D57" i="132"/>
  <c r="D54" i="132"/>
  <c r="D51" i="132"/>
  <c r="D52" i="132" s="1"/>
  <c r="D45" i="132"/>
  <c r="D42" i="132"/>
  <c r="D39" i="132"/>
  <c r="D40" i="132" s="1"/>
  <c r="D27" i="132"/>
  <c r="D28" i="132" s="1"/>
  <c r="C57" i="132"/>
  <c r="C54" i="132"/>
  <c r="C51" i="132"/>
  <c r="C48" i="132"/>
  <c r="D48" i="132" s="1"/>
  <c r="D49" i="132" s="1"/>
  <c r="C45" i="132"/>
  <c r="C42" i="132"/>
  <c r="C39" i="132"/>
  <c r="C36" i="132"/>
  <c r="D36" i="132" s="1"/>
  <c r="D37" i="132" s="1"/>
  <c r="C33" i="132"/>
  <c r="D33" i="132" s="1"/>
  <c r="D34" i="132" s="1"/>
  <c r="C31" i="132"/>
  <c r="C34" i="132" s="1"/>
  <c r="G34" i="132" s="1"/>
  <c r="C30" i="132"/>
  <c r="D30" i="132" s="1"/>
  <c r="D31" i="132" s="1"/>
  <c r="C27" i="132"/>
  <c r="D24" i="132"/>
  <c r="D25" i="132" s="1"/>
  <c r="C24" i="132"/>
  <c r="N38" i="85" s="1"/>
  <c r="N39" i="85" s="1"/>
  <c r="H31" i="132" l="1"/>
  <c r="N14" i="85"/>
  <c r="N15" i="85" s="1"/>
  <c r="N29" i="85"/>
  <c r="N30" i="85" s="1"/>
  <c r="N44" i="85"/>
  <c r="N45" i="85" s="1"/>
  <c r="N17" i="85"/>
  <c r="N18" i="85" s="1"/>
  <c r="N32" i="85"/>
  <c r="N33" i="85" s="1"/>
  <c r="N20" i="85"/>
  <c r="N21" i="85" s="1"/>
  <c r="N35" i="85"/>
  <c r="N36" i="85" s="1"/>
  <c r="N11" i="85"/>
  <c r="N12" i="85" s="1"/>
  <c r="N23" i="85"/>
  <c r="N24" i="85" s="1"/>
  <c r="E720" i="91"/>
  <c r="G12" i="87" l="1"/>
  <c r="E12" i="31" s="1"/>
  <c r="F655" i="91" l="1"/>
  <c r="F661" i="91" s="1"/>
  <c r="F666" i="91" s="1"/>
  <c r="C211" i="96"/>
  <c r="E100" i="100"/>
  <c r="H63" i="123" l="1"/>
  <c r="D444" i="107" l="1"/>
  <c r="D100" i="100" s="1"/>
  <c r="G63" i="123"/>
  <c r="K19" i="127"/>
  <c r="K21" i="127"/>
  <c r="K22" i="127"/>
  <c r="K23" i="127"/>
  <c r="K29" i="127"/>
  <c r="K30" i="127"/>
  <c r="K32" i="127"/>
  <c r="K38" i="127"/>
  <c r="K40" i="127"/>
  <c r="K41" i="127"/>
  <c r="K42" i="127"/>
  <c r="K43" i="127"/>
  <c r="K44" i="127"/>
  <c r="K49" i="127"/>
  <c r="K55" i="127"/>
  <c r="K56" i="127"/>
  <c r="K64" i="127"/>
  <c r="E25" i="106" l="1"/>
  <c r="D32" i="106"/>
  <c r="D18" i="106"/>
  <c r="D19" i="106"/>
  <c r="F955" i="91" l="1"/>
  <c r="F953" i="91"/>
  <c r="E955" i="91"/>
  <c r="E953" i="91"/>
  <c r="H171" i="81" l="1"/>
  <c r="E692" i="91" l="1"/>
  <c r="F12" i="81"/>
  <c r="F13" i="81"/>
  <c r="F14" i="81"/>
  <c r="F15" i="81"/>
  <c r="F16" i="81"/>
  <c r="F17" i="81"/>
  <c r="F18" i="81"/>
  <c r="F19" i="81"/>
  <c r="F20" i="81"/>
  <c r="F21" i="81"/>
  <c r="F22" i="81"/>
  <c r="F23" i="81"/>
  <c r="F24" i="81"/>
  <c r="F25" i="81"/>
  <c r="F26" i="81"/>
  <c r="F27" i="81"/>
  <c r="F28" i="81"/>
  <c r="F29" i="81"/>
  <c r="F30" i="81"/>
  <c r="F31" i="81"/>
  <c r="F32" i="81"/>
  <c r="F33" i="81"/>
  <c r="F34" i="81"/>
  <c r="F35" i="81"/>
  <c r="F36" i="81"/>
  <c r="F37" i="81"/>
  <c r="F38" i="81"/>
  <c r="F39" i="81"/>
  <c r="F40" i="81"/>
  <c r="F41" i="81"/>
  <c r="F42" i="81"/>
  <c r="F43" i="81"/>
  <c r="F44" i="81"/>
  <c r="F45" i="81"/>
  <c r="F46" i="81"/>
  <c r="F47" i="81"/>
  <c r="F48" i="81"/>
  <c r="F49" i="81"/>
  <c r="F50" i="81"/>
  <c r="F51" i="81"/>
  <c r="F52" i="81"/>
  <c r="F53" i="81"/>
  <c r="F54" i="81"/>
  <c r="F55" i="81"/>
  <c r="F56" i="81"/>
  <c r="F57" i="81"/>
  <c r="F58" i="81"/>
  <c r="F59" i="81"/>
  <c r="F60" i="81"/>
  <c r="F61" i="81"/>
  <c r="F62" i="81"/>
  <c r="F63" i="81"/>
  <c r="F64" i="81"/>
  <c r="F65" i="81"/>
  <c r="F66" i="81"/>
  <c r="F67" i="81"/>
  <c r="F68" i="81"/>
  <c r="F69" i="81"/>
  <c r="F70" i="81"/>
  <c r="F83" i="81"/>
  <c r="F84" i="81"/>
  <c r="F85" i="81"/>
  <c r="F86" i="81"/>
  <c r="F87" i="81"/>
  <c r="F88" i="81"/>
  <c r="F89" i="81"/>
  <c r="F90" i="81"/>
  <c r="F91" i="81"/>
  <c r="F92" i="81"/>
  <c r="F93" i="81"/>
  <c r="F94" i="81"/>
  <c r="F95" i="81"/>
  <c r="F96" i="81"/>
  <c r="F97" i="81"/>
  <c r="F98" i="81"/>
  <c r="F99" i="81"/>
  <c r="F100" i="81"/>
  <c r="F101" i="81"/>
  <c r="F102" i="81"/>
  <c r="F103" i="81"/>
  <c r="F104" i="81"/>
  <c r="F105" i="81"/>
  <c r="F106" i="81"/>
  <c r="F107" i="81"/>
  <c r="F108" i="81"/>
  <c r="F109" i="81"/>
  <c r="F110" i="81"/>
  <c r="F111" i="81"/>
  <c r="F112" i="81"/>
  <c r="F113" i="81"/>
  <c r="F114" i="81"/>
  <c r="F115" i="81"/>
  <c r="F116" i="81"/>
  <c r="F117" i="81"/>
  <c r="F118" i="81"/>
  <c r="F119" i="81"/>
  <c r="F120" i="81"/>
  <c r="F121" i="81"/>
  <c r="F122" i="81"/>
  <c r="F123" i="81"/>
  <c r="F124" i="81"/>
  <c r="F125" i="81"/>
  <c r="F126" i="81"/>
  <c r="F127" i="81"/>
  <c r="F128" i="81"/>
  <c r="F129" i="81"/>
  <c r="F130" i="81"/>
  <c r="F131" i="81"/>
  <c r="F132" i="81"/>
  <c r="F133" i="81"/>
  <c r="F134" i="81"/>
  <c r="F135" i="81"/>
  <c r="F136" i="81"/>
  <c r="F137" i="81"/>
  <c r="F138" i="81"/>
  <c r="F139" i="81"/>
  <c r="F140" i="81"/>
  <c r="F141" i="81"/>
  <c r="F142" i="81"/>
  <c r="F143" i="81"/>
  <c r="F144" i="81"/>
  <c r="F145" i="81"/>
  <c r="F146" i="81"/>
  <c r="F147" i="81"/>
  <c r="F148" i="81"/>
  <c r="F149" i="81"/>
  <c r="F150" i="81"/>
  <c r="F151" i="81"/>
  <c r="F152" i="81"/>
  <c r="F153" i="81"/>
  <c r="F154" i="81"/>
  <c r="F155" i="81"/>
  <c r="F156" i="81"/>
  <c r="F157" i="81"/>
  <c r="F158" i="81"/>
  <c r="F159" i="81"/>
  <c r="F160" i="81"/>
  <c r="F161" i="81"/>
  <c r="F162" i="81"/>
  <c r="F163" i="81"/>
  <c r="F164" i="81"/>
  <c r="F165" i="81"/>
  <c r="F166" i="81"/>
  <c r="F167" i="81"/>
  <c r="F168" i="81"/>
  <c r="F169" i="81"/>
  <c r="F170" i="81"/>
  <c r="F171" i="81"/>
  <c r="F172" i="81"/>
  <c r="F173" i="81"/>
  <c r="F174" i="81"/>
  <c r="F175" i="81"/>
  <c r="F176" i="81"/>
  <c r="F177" i="81"/>
  <c r="F178" i="81"/>
  <c r="F179" i="81"/>
  <c r="F180" i="81"/>
  <c r="F181" i="81"/>
  <c r="F182" i="81"/>
  <c r="F183" i="81"/>
  <c r="F184" i="81"/>
  <c r="F185" i="81"/>
  <c r="F186" i="81"/>
  <c r="F187" i="81"/>
  <c r="F188" i="81"/>
  <c r="F189" i="81"/>
  <c r="F190" i="81"/>
  <c r="F191" i="81"/>
  <c r="F192" i="81"/>
  <c r="F193" i="81"/>
  <c r="F194" i="81"/>
  <c r="F195" i="81"/>
  <c r="F196" i="81"/>
  <c r="F197" i="81"/>
  <c r="F198" i="81"/>
  <c r="F199" i="81"/>
  <c r="F200" i="81"/>
  <c r="F201" i="81"/>
  <c r="F202" i="81"/>
  <c r="F203" i="81"/>
  <c r="F204" i="81"/>
  <c r="F205" i="81"/>
  <c r="F206" i="81"/>
  <c r="F207" i="81"/>
  <c r="F208" i="81"/>
  <c r="F209" i="81"/>
  <c r="F210" i="81"/>
  <c r="F211" i="81"/>
  <c r="F212" i="81"/>
  <c r="F213" i="81"/>
  <c r="F214" i="81"/>
  <c r="F215" i="81"/>
  <c r="F216" i="81"/>
  <c r="F217" i="81"/>
  <c r="F218" i="81"/>
  <c r="F219" i="81"/>
  <c r="F220" i="81"/>
  <c r="F221" i="81"/>
  <c r="F222" i="81"/>
  <c r="F223" i="81"/>
  <c r="F224" i="81"/>
  <c r="F225" i="81"/>
  <c r="F226" i="81"/>
  <c r="F227" i="81"/>
  <c r="F228" i="81"/>
  <c r="F229" i="81"/>
  <c r="F230" i="81"/>
  <c r="F231" i="81"/>
  <c r="F232" i="81"/>
  <c r="F233" i="81"/>
  <c r="F234" i="81"/>
  <c r="F235" i="81"/>
  <c r="F236" i="81"/>
  <c r="F237" i="81"/>
  <c r="F238" i="81"/>
  <c r="F239" i="81"/>
  <c r="F240" i="81"/>
  <c r="F241" i="81"/>
  <c r="F242" i="81"/>
  <c r="F243" i="81"/>
  <c r="F244" i="81"/>
  <c r="F245" i="81"/>
  <c r="F246" i="81"/>
  <c r="F247" i="81"/>
  <c r="F248" i="81"/>
  <c r="F249" i="81"/>
  <c r="F250" i="81"/>
  <c r="F251" i="81"/>
  <c r="F252" i="81"/>
  <c r="F253" i="81"/>
  <c r="F254" i="81"/>
  <c r="F255" i="81"/>
  <c r="F256" i="81"/>
  <c r="F257" i="81"/>
  <c r="F258" i="81"/>
  <c r="F259" i="81"/>
  <c r="F260" i="81"/>
  <c r="F261" i="81"/>
  <c r="F262" i="81"/>
  <c r="F263" i="81"/>
  <c r="F264" i="81"/>
  <c r="F265" i="81"/>
  <c r="F266" i="81"/>
  <c r="F267" i="81"/>
  <c r="F268" i="81"/>
  <c r="F269" i="81"/>
  <c r="F270" i="81"/>
  <c r="F271" i="81"/>
  <c r="F272" i="81"/>
  <c r="F273" i="81"/>
  <c r="F274" i="81"/>
  <c r="F275" i="81"/>
  <c r="F276" i="81"/>
  <c r="F277" i="81"/>
  <c r="F278" i="81"/>
  <c r="F279" i="81"/>
  <c r="F280" i="81"/>
  <c r="F281" i="81"/>
  <c r="F282" i="81"/>
  <c r="F283" i="81"/>
  <c r="F284" i="81"/>
  <c r="F285" i="81"/>
  <c r="F286" i="81"/>
  <c r="F287" i="81"/>
  <c r="F288" i="81"/>
  <c r="F289" i="81"/>
  <c r="F290" i="81"/>
  <c r="F291" i="81"/>
  <c r="F292" i="81"/>
  <c r="F293" i="81"/>
  <c r="F294" i="81"/>
  <c r="F295" i="81"/>
  <c r="F296" i="81"/>
  <c r="F297" i="81"/>
  <c r="F298" i="81"/>
  <c r="F299" i="81"/>
  <c r="F300" i="81"/>
  <c r="F301" i="81"/>
  <c r="F302" i="81"/>
  <c r="F303" i="81"/>
  <c r="F304" i="81"/>
  <c r="F305" i="81"/>
  <c r="F306" i="81"/>
  <c r="F307" i="81"/>
  <c r="F308" i="81"/>
  <c r="F309" i="81"/>
  <c r="F310" i="81"/>
  <c r="F311" i="81"/>
  <c r="F312" i="81"/>
  <c r="F313" i="81"/>
  <c r="F314" i="81"/>
  <c r="F315" i="81"/>
  <c r="F316" i="81"/>
  <c r="F317" i="81"/>
  <c r="H317" i="81"/>
  <c r="F11" i="81"/>
  <c r="I11" i="81" s="1"/>
  <c r="F318" i="81"/>
  <c r="I318" i="81" s="1"/>
  <c r="J318" i="81" s="1"/>
  <c r="E122" i="31" s="1"/>
  <c r="F36" i="99" s="1"/>
  <c r="G36" i="99" s="1"/>
  <c r="I317" i="81" l="1"/>
  <c r="J317" i="81" s="1"/>
  <c r="E697" i="14" s="1"/>
  <c r="G540" i="85"/>
  <c r="G526" i="85"/>
  <c r="G500" i="85" l="1"/>
  <c r="D511" i="85"/>
  <c r="E505" i="85"/>
  <c r="E513" i="85"/>
  <c r="D512" i="85"/>
  <c r="E507" i="85"/>
  <c r="E506" i="85"/>
  <c r="E510" i="85"/>
  <c r="D505" i="85"/>
  <c r="D513" i="85"/>
  <c r="D506" i="85"/>
  <c r="D510" i="85"/>
  <c r="D507" i="85"/>
  <c r="E508" i="85"/>
  <c r="E509" i="85"/>
  <c r="D508" i="85"/>
  <c r="E512" i="85"/>
  <c r="E511" i="85"/>
  <c r="D509" i="85"/>
  <c r="G317" i="81" l="1"/>
  <c r="G497" i="85"/>
  <c r="F698" i="14" l="1"/>
  <c r="C377" i="130"/>
  <c r="D377" i="130"/>
  <c r="C378" i="130"/>
  <c r="D378" i="130"/>
  <c r="C374" i="130"/>
  <c r="D374" i="130"/>
  <c r="C375" i="130"/>
  <c r="D375" i="130"/>
  <c r="C376" i="130"/>
  <c r="D376" i="130"/>
  <c r="J16" i="130"/>
  <c r="J32" i="130"/>
  <c r="J48" i="130"/>
  <c r="J64" i="130"/>
  <c r="J80" i="130"/>
  <c r="J96" i="130"/>
  <c r="J112" i="130"/>
  <c r="J128" i="130"/>
  <c r="J144" i="130"/>
  <c r="J160" i="130"/>
  <c r="J176" i="130"/>
  <c r="J192" i="130"/>
  <c r="J208" i="130"/>
  <c r="J224" i="130"/>
  <c r="J240" i="130"/>
  <c r="J256" i="130"/>
  <c r="J272" i="130"/>
  <c r="J288" i="130"/>
  <c r="J304" i="130"/>
  <c r="J320" i="130"/>
  <c r="J336" i="130"/>
  <c r="J352" i="130"/>
  <c r="J368" i="130"/>
  <c r="J13" i="130"/>
  <c r="J29" i="130"/>
  <c r="J45" i="130"/>
  <c r="J61" i="130"/>
  <c r="J77" i="130"/>
  <c r="J93" i="130"/>
  <c r="J109" i="130"/>
  <c r="J125" i="130"/>
  <c r="J141" i="130"/>
  <c r="J157" i="130"/>
  <c r="J173" i="130"/>
  <c r="J189" i="130"/>
  <c r="J205" i="130"/>
  <c r="J221" i="130"/>
  <c r="J237" i="130"/>
  <c r="J253" i="130"/>
  <c r="J269" i="130"/>
  <c r="J285" i="130"/>
  <c r="J301" i="130"/>
  <c r="J317" i="130"/>
  <c r="J333" i="130"/>
  <c r="J349" i="130"/>
  <c r="J365" i="130"/>
  <c r="J10" i="130"/>
  <c r="J26" i="130"/>
  <c r="J42" i="130"/>
  <c r="J58" i="130"/>
  <c r="J74" i="130"/>
  <c r="J90" i="130"/>
  <c r="J106" i="130"/>
  <c r="J122" i="130"/>
  <c r="J138" i="130"/>
  <c r="J154" i="130"/>
  <c r="J170" i="130"/>
  <c r="J186" i="130"/>
  <c r="J202" i="130"/>
  <c r="J218" i="130"/>
  <c r="J234" i="130"/>
  <c r="J250" i="130"/>
  <c r="J266" i="130"/>
  <c r="J282" i="130"/>
  <c r="J298" i="130"/>
  <c r="J314" i="130"/>
  <c r="J330" i="130"/>
  <c r="J346" i="130"/>
  <c r="J362" i="130"/>
  <c r="J378" i="130"/>
  <c r="J23" i="130"/>
  <c r="J39" i="130"/>
  <c r="J55" i="130"/>
  <c r="J71" i="130"/>
  <c r="J87" i="130"/>
  <c r="J103" i="130"/>
  <c r="J119" i="130"/>
  <c r="J135" i="130"/>
  <c r="J163" i="130"/>
  <c r="J227" i="130"/>
  <c r="J291" i="130"/>
  <c r="J355" i="130"/>
  <c r="J343" i="130"/>
  <c r="J235" i="130"/>
  <c r="J363" i="130"/>
  <c r="J199" i="130"/>
  <c r="J263" i="130"/>
  <c r="J171" i="130"/>
  <c r="J283" i="130"/>
  <c r="J175" i="130"/>
  <c r="J239" i="130"/>
  <c r="J303" i="130"/>
  <c r="J367" i="130"/>
  <c r="J289" i="130"/>
  <c r="J369" i="130"/>
  <c r="J30" i="130"/>
  <c r="J62" i="130"/>
  <c r="J94" i="130"/>
  <c r="J126" i="130"/>
  <c r="J142" i="130"/>
  <c r="J174" i="130"/>
  <c r="J206" i="130"/>
  <c r="J238" i="130"/>
  <c r="J270" i="130"/>
  <c r="J286" i="130"/>
  <c r="J318" i="130"/>
  <c r="J350" i="130"/>
  <c r="J11" i="130"/>
  <c r="J43" i="130"/>
  <c r="J59" i="130"/>
  <c r="J91" i="130"/>
  <c r="J123" i="130"/>
  <c r="J179" i="130"/>
  <c r="J243" i="130"/>
  <c r="J371" i="130"/>
  <c r="J267" i="130"/>
  <c r="J215" i="130"/>
  <c r="J295" i="130"/>
  <c r="J315" i="130"/>
  <c r="J255" i="130"/>
  <c r="J319" i="130"/>
  <c r="J104" i="130"/>
  <c r="J136" i="130"/>
  <c r="J168" i="130"/>
  <c r="J200" i="130"/>
  <c r="J248" i="130"/>
  <c r="J280" i="130"/>
  <c r="J20" i="130"/>
  <c r="J36" i="130"/>
  <c r="J52" i="130"/>
  <c r="J68" i="130"/>
  <c r="J84" i="130"/>
  <c r="J100" i="130"/>
  <c r="J116" i="130"/>
  <c r="J132" i="130"/>
  <c r="J148" i="130"/>
  <c r="J164" i="130"/>
  <c r="J180" i="130"/>
  <c r="J196" i="130"/>
  <c r="J212" i="130"/>
  <c r="J228" i="130"/>
  <c r="J244" i="130"/>
  <c r="J260" i="130"/>
  <c r="J276" i="130"/>
  <c r="J292" i="130"/>
  <c r="J308" i="130"/>
  <c r="J324" i="130"/>
  <c r="J340" i="130"/>
  <c r="J356" i="130"/>
  <c r="J372" i="130"/>
  <c r="J17" i="130"/>
  <c r="J33" i="130"/>
  <c r="J49" i="130"/>
  <c r="J65" i="130"/>
  <c r="J81" i="130"/>
  <c r="J97" i="130"/>
  <c r="J113" i="130"/>
  <c r="J129" i="130"/>
  <c r="J145" i="130"/>
  <c r="J161" i="130"/>
  <c r="J177" i="130"/>
  <c r="J193" i="130"/>
  <c r="J209" i="130"/>
  <c r="J225" i="130"/>
  <c r="J241" i="130"/>
  <c r="J257" i="130"/>
  <c r="J273" i="130"/>
  <c r="J305" i="130"/>
  <c r="J321" i="130"/>
  <c r="J337" i="130"/>
  <c r="J353" i="130"/>
  <c r="J14" i="130"/>
  <c r="J46" i="130"/>
  <c r="J78" i="130"/>
  <c r="J110" i="130"/>
  <c r="J158" i="130"/>
  <c r="J190" i="130"/>
  <c r="J222" i="130"/>
  <c r="J254" i="130"/>
  <c r="J302" i="130"/>
  <c r="J334" i="130"/>
  <c r="J366" i="130"/>
  <c r="J27" i="130"/>
  <c r="J75" i="130"/>
  <c r="J107" i="130"/>
  <c r="J139" i="130"/>
  <c r="J307" i="130"/>
  <c r="J375" i="130"/>
  <c r="J151" i="130"/>
  <c r="J187" i="130"/>
  <c r="J191" i="130"/>
  <c r="J24" i="130"/>
  <c r="J40" i="130"/>
  <c r="J56" i="130"/>
  <c r="J72" i="130"/>
  <c r="J88" i="130"/>
  <c r="J120" i="130"/>
  <c r="J152" i="130"/>
  <c r="J184" i="130"/>
  <c r="J216" i="130"/>
  <c r="J232" i="130"/>
  <c r="J264" i="130"/>
  <c r="J296" i="130"/>
  <c r="J12" i="130"/>
  <c r="J76" i="130"/>
  <c r="J140" i="130"/>
  <c r="J204" i="130"/>
  <c r="J268" i="130"/>
  <c r="J316" i="130"/>
  <c r="J348" i="130"/>
  <c r="J9" i="130"/>
  <c r="J41" i="130"/>
  <c r="J73" i="130"/>
  <c r="J105" i="130"/>
  <c r="J137" i="130"/>
  <c r="J169" i="130"/>
  <c r="J201" i="130"/>
  <c r="J233" i="130"/>
  <c r="J265" i="130"/>
  <c r="J297" i="130"/>
  <c r="J329" i="130"/>
  <c r="J361" i="130"/>
  <c r="J22" i="130"/>
  <c r="J54" i="130"/>
  <c r="J86" i="130"/>
  <c r="J118" i="130"/>
  <c r="J150" i="130"/>
  <c r="J182" i="130"/>
  <c r="J214" i="130"/>
  <c r="J246" i="130"/>
  <c r="J278" i="130"/>
  <c r="J310" i="130"/>
  <c r="J342" i="130"/>
  <c r="J374" i="130"/>
  <c r="J35" i="130"/>
  <c r="J67" i="130"/>
  <c r="J99" i="130"/>
  <c r="J131" i="130"/>
  <c r="J211" i="130"/>
  <c r="J339" i="130"/>
  <c r="J203" i="130"/>
  <c r="J183" i="130"/>
  <c r="J359" i="130"/>
  <c r="J159" i="130"/>
  <c r="J287" i="130"/>
  <c r="J108" i="130"/>
  <c r="J377" i="130"/>
  <c r="J134" i="130"/>
  <c r="J230" i="130"/>
  <c r="J294" i="130"/>
  <c r="J358" i="130"/>
  <c r="J51" i="130"/>
  <c r="J83" i="130"/>
  <c r="J147" i="130"/>
  <c r="J275" i="130"/>
  <c r="J331" i="130"/>
  <c r="J251" i="130"/>
  <c r="J351" i="130"/>
  <c r="J124" i="130"/>
  <c r="J252" i="130"/>
  <c r="J344" i="130"/>
  <c r="J37" i="130"/>
  <c r="J101" i="130"/>
  <c r="J165" i="130"/>
  <c r="J229" i="130"/>
  <c r="J293" i="130"/>
  <c r="J357" i="130"/>
  <c r="J50" i="130"/>
  <c r="J114" i="130"/>
  <c r="J178" i="130"/>
  <c r="J242" i="130"/>
  <c r="J306" i="130"/>
  <c r="J28" i="130"/>
  <c r="J92" i="130"/>
  <c r="J156" i="130"/>
  <c r="J220" i="130"/>
  <c r="J284" i="130"/>
  <c r="J328" i="130"/>
  <c r="J360" i="130"/>
  <c r="J21" i="130"/>
  <c r="J53" i="130"/>
  <c r="J85" i="130"/>
  <c r="J117" i="130"/>
  <c r="J149" i="130"/>
  <c r="J181" i="130"/>
  <c r="J213" i="130"/>
  <c r="J245" i="130"/>
  <c r="J277" i="130"/>
  <c r="J309" i="130"/>
  <c r="J341" i="130"/>
  <c r="J373" i="130"/>
  <c r="J34" i="130"/>
  <c r="J66" i="130"/>
  <c r="J98" i="130"/>
  <c r="J130" i="130"/>
  <c r="J162" i="130"/>
  <c r="J194" i="130"/>
  <c r="J226" i="130"/>
  <c r="J258" i="130"/>
  <c r="J290" i="130"/>
  <c r="J322" i="130"/>
  <c r="J354" i="130"/>
  <c r="J15" i="130"/>
  <c r="J47" i="130"/>
  <c r="J79" i="130"/>
  <c r="J111" i="130"/>
  <c r="J143" i="130"/>
  <c r="J259" i="130"/>
  <c r="J279" i="130"/>
  <c r="J299" i="130"/>
  <c r="J231" i="130"/>
  <c r="J219" i="130"/>
  <c r="J207" i="130"/>
  <c r="J335" i="130"/>
  <c r="J44" i="130"/>
  <c r="J172" i="130"/>
  <c r="J236" i="130"/>
  <c r="J300" i="130"/>
  <c r="J332" i="130"/>
  <c r="J364" i="130"/>
  <c r="J25" i="130"/>
  <c r="J57" i="130"/>
  <c r="J89" i="130"/>
  <c r="J121" i="130"/>
  <c r="J153" i="130"/>
  <c r="J185" i="130"/>
  <c r="J217" i="130"/>
  <c r="J249" i="130"/>
  <c r="J281" i="130"/>
  <c r="J313" i="130"/>
  <c r="J345" i="130"/>
  <c r="J38" i="130"/>
  <c r="J70" i="130"/>
  <c r="J102" i="130"/>
  <c r="J166" i="130"/>
  <c r="J198" i="130"/>
  <c r="J262" i="130"/>
  <c r="J326" i="130"/>
  <c r="J19" i="130"/>
  <c r="J115" i="130"/>
  <c r="J311" i="130"/>
  <c r="J247" i="130"/>
  <c r="J223" i="130"/>
  <c r="J60" i="130"/>
  <c r="J188" i="130"/>
  <c r="J312" i="130"/>
  <c r="J376" i="130"/>
  <c r="J69" i="130"/>
  <c r="J133" i="130"/>
  <c r="J197" i="130"/>
  <c r="J261" i="130"/>
  <c r="J325" i="130"/>
  <c r="J18" i="130"/>
  <c r="J82" i="130"/>
  <c r="J146" i="130"/>
  <c r="J210" i="130"/>
  <c r="J274" i="130"/>
  <c r="J338" i="130"/>
  <c r="J370" i="130"/>
  <c r="J31" i="130"/>
  <c r="J63" i="130"/>
  <c r="J95" i="130"/>
  <c r="J127" i="130"/>
  <c r="J195" i="130"/>
  <c r="J323" i="130"/>
  <c r="J155" i="130"/>
  <c r="J167" i="130"/>
  <c r="J327" i="130"/>
  <c r="J347" i="130"/>
  <c r="J271" i="130"/>
  <c r="E377" i="130" l="1"/>
  <c r="E378" i="130"/>
  <c r="E374" i="130"/>
  <c r="E375" i="130"/>
  <c r="E376" i="130"/>
  <c r="F692" i="91" l="1"/>
  <c r="G89" i="85"/>
  <c r="G473" i="85" l="1"/>
  <c r="C373" i="130" l="1"/>
  <c r="H316" i="81"/>
  <c r="I316" i="81" s="1"/>
  <c r="G470" i="85"/>
  <c r="D373" i="130" l="1"/>
  <c r="E373" i="130" s="1"/>
  <c r="F705" i="91" l="1"/>
  <c r="E705" i="91"/>
  <c r="I357" i="92" l="1"/>
  <c r="E373" i="92" s="1"/>
  <c r="E398" i="92" s="1"/>
  <c r="E283" i="92"/>
  <c r="E332" i="92" s="1"/>
  <c r="H660" i="14"/>
  <c r="F110" i="31" l="1"/>
  <c r="F126" i="31" s="1"/>
  <c r="H315" i="81"/>
  <c r="D351" i="130"/>
  <c r="C368" i="130"/>
  <c r="D368" i="130"/>
  <c r="C369" i="130"/>
  <c r="D369" i="130"/>
  <c r="C370" i="130"/>
  <c r="D370" i="130"/>
  <c r="C371" i="130"/>
  <c r="D371" i="130"/>
  <c r="C372" i="130"/>
  <c r="D372" i="130"/>
  <c r="D365" i="130"/>
  <c r="D366" i="130"/>
  <c r="D367" i="130"/>
  <c r="C365" i="130"/>
  <c r="C366" i="130"/>
  <c r="C367" i="130"/>
  <c r="I315" i="81" l="1"/>
  <c r="G316" i="81"/>
  <c r="J316" i="81" s="1"/>
  <c r="E698" i="14" s="1"/>
  <c r="E68" i="99" s="1"/>
  <c r="G68" i="99" s="1"/>
  <c r="E370" i="130"/>
  <c r="E371" i="130"/>
  <c r="E368" i="130"/>
  <c r="E372" i="130"/>
  <c r="E369" i="130"/>
  <c r="E366" i="130"/>
  <c r="E365" i="130"/>
  <c r="E367" i="130"/>
  <c r="D10" i="130" l="1"/>
  <c r="D11" i="130"/>
  <c r="D12" i="130"/>
  <c r="D14" i="130"/>
  <c r="D15" i="130"/>
  <c r="D17" i="130"/>
  <c r="D18" i="130"/>
  <c r="D19" i="130"/>
  <c r="D20" i="130"/>
  <c r="D21" i="130"/>
  <c r="D22" i="130"/>
  <c r="D23" i="130"/>
  <c r="D24" i="130"/>
  <c r="D25" i="130"/>
  <c r="D26" i="130"/>
  <c r="D27" i="130"/>
  <c r="D28" i="130"/>
  <c r="D29" i="130"/>
  <c r="D30" i="130"/>
  <c r="D31" i="130"/>
  <c r="D32" i="130"/>
  <c r="D33" i="130"/>
  <c r="D34" i="130"/>
  <c r="D35" i="130"/>
  <c r="D36" i="130"/>
  <c r="D37" i="130"/>
  <c r="D38" i="130"/>
  <c r="D39" i="130"/>
  <c r="D40" i="130"/>
  <c r="D41" i="130"/>
  <c r="D42" i="130"/>
  <c r="D43" i="130"/>
  <c r="D44" i="130"/>
  <c r="D45" i="130"/>
  <c r="D46" i="130"/>
  <c r="D47" i="130"/>
  <c r="D49" i="130"/>
  <c r="D50" i="130"/>
  <c r="D51" i="130"/>
  <c r="D52" i="130"/>
  <c r="D53" i="130"/>
  <c r="D54" i="130"/>
  <c r="D55" i="130"/>
  <c r="D56" i="130"/>
  <c r="D57" i="130"/>
  <c r="D58" i="130"/>
  <c r="D59" i="130"/>
  <c r="D60" i="130"/>
  <c r="D61" i="130"/>
  <c r="D62" i="130"/>
  <c r="D63" i="130"/>
  <c r="D64" i="130"/>
  <c r="D65" i="130"/>
  <c r="D66" i="130"/>
  <c r="D67" i="130"/>
  <c r="D68" i="130"/>
  <c r="D69" i="130"/>
  <c r="D70" i="130"/>
  <c r="D71" i="130"/>
  <c r="D72" i="130"/>
  <c r="D73" i="130"/>
  <c r="D74" i="130"/>
  <c r="D75" i="130"/>
  <c r="D76" i="130"/>
  <c r="D77" i="130"/>
  <c r="D78" i="130"/>
  <c r="D79" i="130"/>
  <c r="D80" i="130"/>
  <c r="D81" i="130"/>
  <c r="D82" i="130"/>
  <c r="D83" i="130"/>
  <c r="D84" i="130"/>
  <c r="D85" i="130"/>
  <c r="D86" i="130"/>
  <c r="D87" i="130"/>
  <c r="D88" i="130"/>
  <c r="D89" i="130"/>
  <c r="D90" i="130"/>
  <c r="D91" i="130"/>
  <c r="D92" i="130"/>
  <c r="D93" i="130"/>
  <c r="D94" i="130"/>
  <c r="D95" i="130"/>
  <c r="D96" i="130"/>
  <c r="D97" i="130"/>
  <c r="D98" i="130"/>
  <c r="D99" i="130"/>
  <c r="D100" i="130"/>
  <c r="D101" i="130"/>
  <c r="D102" i="130"/>
  <c r="D103" i="130"/>
  <c r="D104" i="130"/>
  <c r="D105" i="130"/>
  <c r="D106" i="130"/>
  <c r="D107" i="130"/>
  <c r="D108" i="130"/>
  <c r="D109" i="130"/>
  <c r="D110" i="130"/>
  <c r="D111" i="130"/>
  <c r="D112" i="130"/>
  <c r="D113" i="130"/>
  <c r="D114" i="130"/>
  <c r="D115" i="130"/>
  <c r="D116" i="130"/>
  <c r="D117" i="130"/>
  <c r="D118" i="130"/>
  <c r="D119" i="130"/>
  <c r="D120" i="130"/>
  <c r="D121" i="130"/>
  <c r="D122" i="130"/>
  <c r="D123" i="130"/>
  <c r="D125" i="130"/>
  <c r="D126" i="130"/>
  <c r="D127" i="130"/>
  <c r="D128" i="130"/>
  <c r="D129" i="130"/>
  <c r="D130" i="130"/>
  <c r="D131" i="130"/>
  <c r="D132" i="130"/>
  <c r="D133" i="130"/>
  <c r="D134" i="130"/>
  <c r="D135" i="130"/>
  <c r="D136" i="130"/>
  <c r="D137" i="130"/>
  <c r="D138" i="130"/>
  <c r="D139" i="130"/>
  <c r="D140" i="130"/>
  <c r="D141" i="130"/>
  <c r="D142" i="130"/>
  <c r="D143" i="130"/>
  <c r="D144" i="130"/>
  <c r="D145" i="130"/>
  <c r="D146" i="130"/>
  <c r="D147" i="130"/>
  <c r="D148" i="130"/>
  <c r="D149" i="130"/>
  <c r="D150" i="130"/>
  <c r="D151" i="130"/>
  <c r="D152" i="130"/>
  <c r="D153" i="130"/>
  <c r="D154" i="130"/>
  <c r="D155" i="130"/>
  <c r="D156" i="130"/>
  <c r="D157" i="130"/>
  <c r="D158" i="130"/>
  <c r="D159" i="130"/>
  <c r="D160" i="130"/>
  <c r="D161" i="130"/>
  <c r="D162" i="130"/>
  <c r="D163" i="130"/>
  <c r="D164" i="130"/>
  <c r="D165" i="130"/>
  <c r="D166" i="130"/>
  <c r="D169" i="130"/>
  <c r="D170" i="130"/>
  <c r="D171" i="130"/>
  <c r="D172" i="130"/>
  <c r="D173" i="130"/>
  <c r="D174" i="130"/>
  <c r="D175" i="130"/>
  <c r="D176" i="130"/>
  <c r="D177" i="130"/>
  <c r="D178" i="130"/>
  <c r="D179" i="130"/>
  <c r="D180" i="130"/>
  <c r="D181" i="130"/>
  <c r="D182" i="130"/>
  <c r="D183" i="130"/>
  <c r="D184" i="130"/>
  <c r="D185" i="130"/>
  <c r="D186" i="130"/>
  <c r="D187" i="130"/>
  <c r="D188" i="130"/>
  <c r="D189" i="130"/>
  <c r="D190" i="130"/>
  <c r="D191" i="130"/>
  <c r="D192" i="130"/>
  <c r="D193" i="130"/>
  <c r="D194" i="130"/>
  <c r="D195" i="130"/>
  <c r="D196" i="130"/>
  <c r="D197" i="130"/>
  <c r="D198" i="130"/>
  <c r="D199" i="130"/>
  <c r="D200" i="130"/>
  <c r="D201" i="130"/>
  <c r="D202" i="130"/>
  <c r="D203" i="130"/>
  <c r="D204" i="130"/>
  <c r="D205" i="130"/>
  <c r="D206" i="130"/>
  <c r="D207" i="130"/>
  <c r="D208" i="130"/>
  <c r="D209" i="130"/>
  <c r="D210" i="130"/>
  <c r="D213" i="130"/>
  <c r="D214" i="130"/>
  <c r="D215" i="130"/>
  <c r="D216" i="130"/>
  <c r="D217" i="130"/>
  <c r="D218" i="130"/>
  <c r="D219" i="130"/>
  <c r="D220" i="130"/>
  <c r="D221" i="130"/>
  <c r="D222" i="130"/>
  <c r="D223" i="130"/>
  <c r="D224" i="130"/>
  <c r="D225" i="130"/>
  <c r="D226" i="130"/>
  <c r="D227" i="130"/>
  <c r="D228" i="130"/>
  <c r="D229" i="130"/>
  <c r="D230" i="130"/>
  <c r="D231" i="130"/>
  <c r="D232" i="130"/>
  <c r="D233" i="130"/>
  <c r="D234" i="130"/>
  <c r="D235" i="130"/>
  <c r="D236" i="130"/>
  <c r="D237" i="130"/>
  <c r="D238" i="130"/>
  <c r="D239" i="130"/>
  <c r="D240" i="130"/>
  <c r="D241" i="130"/>
  <c r="D242" i="130"/>
  <c r="D243" i="130"/>
  <c r="D244" i="130"/>
  <c r="D245" i="130"/>
  <c r="D246" i="130"/>
  <c r="D247" i="130"/>
  <c r="D248" i="130"/>
  <c r="D249" i="130"/>
  <c r="D250" i="130"/>
  <c r="D251" i="130"/>
  <c r="D252" i="130"/>
  <c r="D253" i="130"/>
  <c r="D254" i="130"/>
  <c r="D255" i="130"/>
  <c r="D256" i="130"/>
  <c r="D258" i="130"/>
  <c r="D259" i="130"/>
  <c r="D260" i="130"/>
  <c r="D261" i="130"/>
  <c r="D262" i="130"/>
  <c r="D263" i="130"/>
  <c r="D264" i="130"/>
  <c r="D265" i="130"/>
  <c r="D266" i="130"/>
  <c r="D267" i="130"/>
  <c r="D268" i="130"/>
  <c r="D269" i="130"/>
  <c r="D270" i="130"/>
  <c r="D271" i="130"/>
  <c r="D272" i="130"/>
  <c r="D273" i="130"/>
  <c r="D274" i="130"/>
  <c r="D275" i="130"/>
  <c r="D276" i="130"/>
  <c r="D277" i="130"/>
  <c r="D278" i="130"/>
  <c r="D279" i="130"/>
  <c r="D280" i="130"/>
  <c r="D281" i="130"/>
  <c r="D282" i="130"/>
  <c r="D283" i="130"/>
  <c r="D284" i="130"/>
  <c r="D285" i="130"/>
  <c r="D286" i="130"/>
  <c r="D287" i="130"/>
  <c r="D288" i="130"/>
  <c r="D289" i="130"/>
  <c r="D290" i="130"/>
  <c r="D291" i="130"/>
  <c r="D292" i="130"/>
  <c r="D293" i="130"/>
  <c r="D294" i="130"/>
  <c r="D295" i="130"/>
  <c r="D296" i="130"/>
  <c r="D297" i="130"/>
  <c r="D298" i="130"/>
  <c r="D299" i="130"/>
  <c r="D300" i="130"/>
  <c r="D301" i="130"/>
  <c r="D302" i="130"/>
  <c r="D303" i="130"/>
  <c r="D304" i="130"/>
  <c r="D305" i="130"/>
  <c r="D306" i="130"/>
  <c r="D307" i="130"/>
  <c r="D308" i="130"/>
  <c r="D309" i="130"/>
  <c r="D310" i="130"/>
  <c r="D311" i="130"/>
  <c r="D312" i="130"/>
  <c r="D313" i="130"/>
  <c r="D314" i="130"/>
  <c r="D315" i="130"/>
  <c r="D316" i="130"/>
  <c r="D317" i="130"/>
  <c r="D318" i="130"/>
  <c r="D319" i="130"/>
  <c r="D320" i="130"/>
  <c r="D321" i="130"/>
  <c r="D322" i="130"/>
  <c r="D323" i="130"/>
  <c r="D324" i="130"/>
  <c r="D325" i="130"/>
  <c r="D327" i="130"/>
  <c r="D328" i="130"/>
  <c r="D329" i="130"/>
  <c r="D330" i="130"/>
  <c r="D331" i="130"/>
  <c r="D332" i="130"/>
  <c r="D333" i="130"/>
  <c r="D334" i="130"/>
  <c r="D335" i="130"/>
  <c r="D336" i="130"/>
  <c r="D337" i="130"/>
  <c r="D338" i="130"/>
  <c r="D339" i="130"/>
  <c r="D340" i="130"/>
  <c r="D341" i="130"/>
  <c r="D342" i="130"/>
  <c r="D343" i="130"/>
  <c r="D344" i="130"/>
  <c r="D345" i="130"/>
  <c r="D346" i="130"/>
  <c r="D347" i="130"/>
  <c r="D348" i="130"/>
  <c r="D349" i="130"/>
  <c r="D350" i="130"/>
  <c r="D352" i="130"/>
  <c r="D353" i="130"/>
  <c r="D354" i="130"/>
  <c r="D355" i="130"/>
  <c r="D356" i="130"/>
  <c r="D357" i="130"/>
  <c r="D358" i="130"/>
  <c r="D359" i="130"/>
  <c r="D360" i="130"/>
  <c r="D361" i="130"/>
  <c r="D363" i="130"/>
  <c r="D364" i="130"/>
  <c r="G98" i="85"/>
  <c r="G97" i="85"/>
  <c r="D16" i="130" s="1"/>
  <c r="G39" i="85"/>
  <c r="D167" i="130" s="1"/>
  <c r="G38" i="85"/>
  <c r="D257" i="130" s="1"/>
  <c r="G36" i="85"/>
  <c r="G35" i="85"/>
  <c r="D48" i="130" s="1"/>
  <c r="D168" i="130" l="1"/>
  <c r="Q40" i="93" l="1"/>
  <c r="P40" i="93"/>
  <c r="O40" i="93"/>
  <c r="G40" i="93"/>
  <c r="E40" i="93"/>
  <c r="E34" i="93"/>
  <c r="O34" i="93"/>
  <c r="V34" i="93" s="1"/>
  <c r="P34" i="93"/>
  <c r="P28" i="93"/>
  <c r="O28" i="93"/>
  <c r="E28" i="93"/>
  <c r="Q25" i="93"/>
  <c r="O25" i="93"/>
  <c r="G25" i="93"/>
  <c r="E25" i="93"/>
  <c r="X34" i="93" l="1"/>
  <c r="N34" i="93"/>
  <c r="W34" i="93" s="1"/>
  <c r="D9" i="130" l="1"/>
  <c r="D8" i="130"/>
  <c r="C8" i="130"/>
  <c r="C213" i="130"/>
  <c r="C10" i="130"/>
  <c r="C11" i="130"/>
  <c r="C12" i="130"/>
  <c r="C13" i="130"/>
  <c r="C14" i="130"/>
  <c r="C15" i="130"/>
  <c r="C16" i="130"/>
  <c r="C17" i="130"/>
  <c r="C18" i="130"/>
  <c r="C19" i="130"/>
  <c r="C20" i="130"/>
  <c r="C21" i="130"/>
  <c r="C22" i="130"/>
  <c r="C23" i="130"/>
  <c r="C24" i="130"/>
  <c r="C25" i="130"/>
  <c r="C26" i="130"/>
  <c r="C27" i="130"/>
  <c r="C28" i="130"/>
  <c r="C29" i="130"/>
  <c r="C30" i="130"/>
  <c r="C31" i="130"/>
  <c r="C32" i="130"/>
  <c r="C33" i="130"/>
  <c r="C34" i="130"/>
  <c r="C35" i="130"/>
  <c r="C36" i="130"/>
  <c r="C37" i="130"/>
  <c r="C39" i="130"/>
  <c r="C40" i="130"/>
  <c r="C41" i="130"/>
  <c r="C42" i="130"/>
  <c r="C43" i="130"/>
  <c r="C44" i="130"/>
  <c r="C45" i="130"/>
  <c r="C46" i="130"/>
  <c r="C47" i="130"/>
  <c r="C48" i="130"/>
  <c r="C49" i="130"/>
  <c r="C50" i="130"/>
  <c r="C51" i="130"/>
  <c r="C52" i="130"/>
  <c r="C53" i="130"/>
  <c r="C54" i="130"/>
  <c r="C55" i="130"/>
  <c r="C56" i="130"/>
  <c r="C57" i="130"/>
  <c r="C58" i="130"/>
  <c r="C59" i="130"/>
  <c r="C60" i="130"/>
  <c r="C61" i="130"/>
  <c r="C62" i="130"/>
  <c r="C63" i="130"/>
  <c r="C64" i="130"/>
  <c r="C65" i="130"/>
  <c r="C66" i="130"/>
  <c r="C67" i="130"/>
  <c r="C68" i="130"/>
  <c r="C69" i="130"/>
  <c r="C70" i="130"/>
  <c r="C71" i="130"/>
  <c r="C72" i="130"/>
  <c r="C73" i="130"/>
  <c r="C74" i="130"/>
  <c r="C75" i="130"/>
  <c r="C76" i="130"/>
  <c r="C77" i="130"/>
  <c r="C78" i="130"/>
  <c r="C79" i="130"/>
  <c r="C81" i="130"/>
  <c r="C82" i="130"/>
  <c r="C83" i="130"/>
  <c r="C84" i="130"/>
  <c r="C85" i="130"/>
  <c r="C87" i="130"/>
  <c r="C88" i="130"/>
  <c r="C89" i="130"/>
  <c r="C90" i="130"/>
  <c r="C91" i="130"/>
  <c r="C92" i="130"/>
  <c r="C93" i="130"/>
  <c r="C94" i="130"/>
  <c r="C95" i="130"/>
  <c r="C96" i="130"/>
  <c r="C97" i="130"/>
  <c r="C98" i="130"/>
  <c r="C99" i="130"/>
  <c r="C100" i="130"/>
  <c r="C101" i="130"/>
  <c r="C102" i="130"/>
  <c r="C103" i="130"/>
  <c r="C104" i="130"/>
  <c r="C105" i="130"/>
  <c r="C106" i="130"/>
  <c r="C107" i="130"/>
  <c r="C108" i="130"/>
  <c r="C109" i="130"/>
  <c r="C110" i="130"/>
  <c r="C111" i="130"/>
  <c r="C112" i="130"/>
  <c r="C113" i="130"/>
  <c r="C114" i="130"/>
  <c r="C115" i="130"/>
  <c r="C116" i="130"/>
  <c r="C117" i="130"/>
  <c r="C118" i="130"/>
  <c r="C119" i="130"/>
  <c r="C120" i="130"/>
  <c r="C121" i="130"/>
  <c r="C122" i="130"/>
  <c r="C123" i="130"/>
  <c r="C124" i="130"/>
  <c r="C125" i="130"/>
  <c r="C126" i="130"/>
  <c r="C127" i="130"/>
  <c r="C128" i="130"/>
  <c r="C129" i="130"/>
  <c r="C130" i="130"/>
  <c r="C131" i="130"/>
  <c r="C133" i="130"/>
  <c r="C134" i="130"/>
  <c r="C135" i="130"/>
  <c r="C136" i="130"/>
  <c r="C137" i="130"/>
  <c r="C138" i="130"/>
  <c r="C139" i="130"/>
  <c r="C140" i="130"/>
  <c r="C141" i="130"/>
  <c r="C142" i="130"/>
  <c r="C143" i="130"/>
  <c r="C144" i="130"/>
  <c r="C145" i="130"/>
  <c r="C146" i="130"/>
  <c r="C147" i="130"/>
  <c r="C148" i="130"/>
  <c r="C149" i="130"/>
  <c r="C150" i="130"/>
  <c r="C151" i="130"/>
  <c r="C152" i="130"/>
  <c r="C153" i="130"/>
  <c r="C154" i="130"/>
  <c r="C156" i="130"/>
  <c r="C157" i="130"/>
  <c r="C158" i="130"/>
  <c r="C159" i="130"/>
  <c r="C160" i="130"/>
  <c r="C161" i="130"/>
  <c r="C162" i="130"/>
  <c r="C163" i="130"/>
  <c r="C164" i="130"/>
  <c r="C165" i="130"/>
  <c r="C166" i="130"/>
  <c r="C167" i="130"/>
  <c r="C168" i="130"/>
  <c r="C169" i="130"/>
  <c r="C170" i="130"/>
  <c r="C171" i="130"/>
  <c r="C172" i="130"/>
  <c r="C173" i="130"/>
  <c r="C174" i="130"/>
  <c r="C175" i="130"/>
  <c r="C176" i="130"/>
  <c r="C177" i="130"/>
  <c r="C178" i="130"/>
  <c r="C179" i="130"/>
  <c r="C180" i="130"/>
  <c r="C181" i="130"/>
  <c r="C182" i="130"/>
  <c r="C183" i="130"/>
  <c r="C184" i="130"/>
  <c r="C185" i="130"/>
  <c r="C186" i="130"/>
  <c r="C187" i="130"/>
  <c r="C188" i="130"/>
  <c r="C189" i="130"/>
  <c r="C190" i="130"/>
  <c r="C191" i="130"/>
  <c r="C192" i="130"/>
  <c r="C193" i="130"/>
  <c r="C194" i="130"/>
  <c r="C195" i="130"/>
  <c r="C196" i="130"/>
  <c r="C197" i="130"/>
  <c r="C198" i="130"/>
  <c r="C199" i="130"/>
  <c r="C200" i="130"/>
  <c r="C201" i="130"/>
  <c r="C202" i="130"/>
  <c r="C203" i="130"/>
  <c r="C204" i="130"/>
  <c r="C205" i="130"/>
  <c r="C206" i="130"/>
  <c r="C207" i="130"/>
  <c r="C208" i="130"/>
  <c r="C209" i="130"/>
  <c r="C210" i="130"/>
  <c r="C211" i="130"/>
  <c r="C212" i="130"/>
  <c r="C214" i="130"/>
  <c r="C215" i="130"/>
  <c r="C216" i="130"/>
  <c r="C217" i="130"/>
  <c r="C218" i="130"/>
  <c r="C219" i="130"/>
  <c r="C220" i="130"/>
  <c r="C221" i="130"/>
  <c r="C222" i="130"/>
  <c r="C223" i="130"/>
  <c r="C224" i="130"/>
  <c r="C225" i="130"/>
  <c r="C226" i="130"/>
  <c r="C227" i="130"/>
  <c r="C228" i="130"/>
  <c r="C229" i="130"/>
  <c r="C230" i="130"/>
  <c r="C231" i="130"/>
  <c r="C232" i="130"/>
  <c r="C233" i="130"/>
  <c r="C234" i="130"/>
  <c r="C235" i="130"/>
  <c r="C236" i="130"/>
  <c r="C237" i="130"/>
  <c r="C238" i="130"/>
  <c r="C239" i="130"/>
  <c r="C240" i="130"/>
  <c r="C241" i="130"/>
  <c r="C242" i="130"/>
  <c r="C243" i="130"/>
  <c r="C244" i="130"/>
  <c r="C245" i="130"/>
  <c r="C246" i="130"/>
  <c r="C247" i="130"/>
  <c r="C248" i="130"/>
  <c r="C249" i="130"/>
  <c r="C250" i="130"/>
  <c r="C251" i="130"/>
  <c r="C252" i="130"/>
  <c r="C253" i="130"/>
  <c r="C255" i="130"/>
  <c r="C256" i="130"/>
  <c r="C257" i="130"/>
  <c r="C258" i="130"/>
  <c r="C259" i="130"/>
  <c r="C260" i="130"/>
  <c r="C261" i="130"/>
  <c r="C262" i="130"/>
  <c r="C263" i="130"/>
  <c r="C264" i="130"/>
  <c r="C265" i="130"/>
  <c r="C266" i="130"/>
  <c r="C267" i="130"/>
  <c r="C268" i="130"/>
  <c r="C269" i="130"/>
  <c r="C270" i="130"/>
  <c r="C271" i="130"/>
  <c r="C272" i="130"/>
  <c r="C273" i="130"/>
  <c r="C274" i="130"/>
  <c r="C275" i="130"/>
  <c r="C276" i="130"/>
  <c r="C277" i="130"/>
  <c r="C278" i="130"/>
  <c r="C279" i="130"/>
  <c r="C280" i="130"/>
  <c r="C281" i="130"/>
  <c r="C282" i="130"/>
  <c r="C283" i="130"/>
  <c r="C284" i="130"/>
  <c r="C285" i="130"/>
  <c r="C286" i="130"/>
  <c r="C287" i="130"/>
  <c r="C289" i="130"/>
  <c r="C290" i="130"/>
  <c r="C291" i="130"/>
  <c r="C292" i="130"/>
  <c r="C293" i="130"/>
  <c r="C294" i="130"/>
  <c r="C295" i="130"/>
  <c r="C296" i="130"/>
  <c r="C297" i="130"/>
  <c r="C298" i="130"/>
  <c r="C299" i="130"/>
  <c r="C300" i="130"/>
  <c r="C301" i="130"/>
  <c r="C302" i="130"/>
  <c r="C303" i="130"/>
  <c r="C304" i="130"/>
  <c r="C305" i="130"/>
  <c r="C306" i="130"/>
  <c r="C307" i="130"/>
  <c r="C308" i="130"/>
  <c r="C309" i="130"/>
  <c r="C310" i="130"/>
  <c r="C311" i="130"/>
  <c r="C312" i="130"/>
  <c r="C313" i="130"/>
  <c r="C314" i="130"/>
  <c r="C315" i="130"/>
  <c r="C316" i="130"/>
  <c r="C317" i="130"/>
  <c r="C318" i="130"/>
  <c r="C319" i="130"/>
  <c r="C320" i="130"/>
  <c r="C321" i="130"/>
  <c r="C322" i="130"/>
  <c r="C323" i="130"/>
  <c r="C324" i="130"/>
  <c r="C325" i="130"/>
  <c r="C326" i="130"/>
  <c r="C327" i="130"/>
  <c r="C328" i="130"/>
  <c r="C329" i="130"/>
  <c r="C330" i="130"/>
  <c r="C331" i="130"/>
  <c r="C332" i="130"/>
  <c r="C333" i="130"/>
  <c r="C334" i="130"/>
  <c r="C335" i="130"/>
  <c r="C336" i="130"/>
  <c r="C337" i="130"/>
  <c r="C338" i="130"/>
  <c r="C340" i="130"/>
  <c r="C341" i="130"/>
  <c r="C342" i="130"/>
  <c r="C343" i="130"/>
  <c r="C344" i="130"/>
  <c r="C346" i="130"/>
  <c r="C347" i="130"/>
  <c r="C348" i="130"/>
  <c r="C349" i="130"/>
  <c r="C350" i="130"/>
  <c r="C351" i="130"/>
  <c r="C352" i="130"/>
  <c r="C353" i="130"/>
  <c r="C354" i="130"/>
  <c r="C355" i="130"/>
  <c r="C356" i="130"/>
  <c r="C357" i="130"/>
  <c r="C358" i="130"/>
  <c r="C359" i="130"/>
  <c r="C360" i="130"/>
  <c r="C361" i="130"/>
  <c r="C362" i="130"/>
  <c r="C363" i="130"/>
  <c r="C364" i="130"/>
  <c r="C254" i="130"/>
  <c r="C86" i="130"/>
  <c r="C345" i="130"/>
  <c r="C288" i="130"/>
  <c r="C38" i="130"/>
  <c r="C132" i="130"/>
  <c r="E363" i="130" l="1"/>
  <c r="E364" i="130"/>
  <c r="E361" i="130"/>
  <c r="E10" i="130"/>
  <c r="E11" i="130"/>
  <c r="E12" i="130"/>
  <c r="E14" i="130"/>
  <c r="E15" i="130"/>
  <c r="E17" i="130"/>
  <c r="E18" i="130"/>
  <c r="E19" i="130"/>
  <c r="E20" i="130"/>
  <c r="E21" i="130"/>
  <c r="E22" i="130"/>
  <c r="E23" i="130"/>
  <c r="E24" i="130"/>
  <c r="E25" i="130"/>
  <c r="E26" i="130"/>
  <c r="E27" i="130"/>
  <c r="E28" i="130"/>
  <c r="E29" i="130"/>
  <c r="E30" i="130"/>
  <c r="E31" i="130"/>
  <c r="E32" i="130"/>
  <c r="E33" i="130"/>
  <c r="E34" i="130"/>
  <c r="E35" i="130"/>
  <c r="E36" i="130"/>
  <c r="E37" i="130"/>
  <c r="E38" i="130"/>
  <c r="E39" i="130"/>
  <c r="E40" i="130"/>
  <c r="E41" i="130"/>
  <c r="E42" i="130"/>
  <c r="E43" i="130"/>
  <c r="E44" i="130"/>
  <c r="E45" i="130"/>
  <c r="E46" i="130"/>
  <c r="E47" i="130"/>
  <c r="E49" i="130"/>
  <c r="E50" i="130"/>
  <c r="E51" i="130"/>
  <c r="E52" i="130"/>
  <c r="E53" i="130"/>
  <c r="E54" i="130"/>
  <c r="E55" i="130"/>
  <c r="E56" i="130"/>
  <c r="E57" i="130"/>
  <c r="E58" i="130"/>
  <c r="E59" i="130"/>
  <c r="E60" i="130"/>
  <c r="E61" i="130"/>
  <c r="E62" i="130"/>
  <c r="E63" i="130"/>
  <c r="E64" i="130"/>
  <c r="E65" i="130"/>
  <c r="E66" i="130"/>
  <c r="E67" i="130"/>
  <c r="E68" i="130"/>
  <c r="E69" i="130"/>
  <c r="E70" i="130"/>
  <c r="E71" i="130"/>
  <c r="E72" i="130"/>
  <c r="E73" i="130"/>
  <c r="E74" i="130"/>
  <c r="E75" i="130"/>
  <c r="E76" i="130"/>
  <c r="E77" i="130"/>
  <c r="E78" i="130"/>
  <c r="E79" i="130"/>
  <c r="E81" i="130"/>
  <c r="E82" i="130"/>
  <c r="E83" i="130"/>
  <c r="E84" i="130"/>
  <c r="E85" i="130"/>
  <c r="E86" i="130"/>
  <c r="E87" i="130"/>
  <c r="E88" i="130"/>
  <c r="E89" i="130"/>
  <c r="E90" i="130"/>
  <c r="E91" i="130"/>
  <c r="E92" i="130"/>
  <c r="E93" i="130"/>
  <c r="E94" i="130"/>
  <c r="E95" i="130"/>
  <c r="E96" i="130"/>
  <c r="E97" i="130"/>
  <c r="E98" i="130"/>
  <c r="E99" i="130"/>
  <c r="E100" i="130"/>
  <c r="E101" i="130"/>
  <c r="E102" i="130"/>
  <c r="E103" i="130"/>
  <c r="E104" i="130"/>
  <c r="E105" i="130"/>
  <c r="E106" i="130"/>
  <c r="E107" i="130"/>
  <c r="E108" i="130"/>
  <c r="E109" i="130"/>
  <c r="E110" i="130"/>
  <c r="E111" i="130"/>
  <c r="E112" i="130"/>
  <c r="E113" i="130"/>
  <c r="E114" i="130"/>
  <c r="E115" i="130"/>
  <c r="E116" i="130"/>
  <c r="E117" i="130"/>
  <c r="E118" i="130"/>
  <c r="E119" i="130"/>
  <c r="E120" i="130"/>
  <c r="E121" i="130"/>
  <c r="E122" i="130"/>
  <c r="E123" i="130"/>
  <c r="E125" i="130"/>
  <c r="E126" i="130"/>
  <c r="E127" i="130"/>
  <c r="E128" i="130"/>
  <c r="E129" i="130"/>
  <c r="E130" i="130"/>
  <c r="E131" i="130"/>
  <c r="E132" i="130"/>
  <c r="E133" i="130"/>
  <c r="E134" i="130"/>
  <c r="E135" i="130"/>
  <c r="E136" i="130"/>
  <c r="E137" i="130"/>
  <c r="E138" i="130"/>
  <c r="E139" i="130"/>
  <c r="E140" i="130"/>
  <c r="E141" i="130"/>
  <c r="E142" i="130"/>
  <c r="E143" i="130"/>
  <c r="E144" i="130"/>
  <c r="E145" i="130"/>
  <c r="E146" i="130"/>
  <c r="E147" i="130"/>
  <c r="E148" i="130"/>
  <c r="E149" i="130"/>
  <c r="E150" i="130"/>
  <c r="E151" i="130"/>
  <c r="E152" i="130"/>
  <c r="E153" i="130"/>
  <c r="E154" i="130"/>
  <c r="E156" i="130"/>
  <c r="E157" i="130"/>
  <c r="E158" i="130"/>
  <c r="E159" i="130"/>
  <c r="E160" i="130"/>
  <c r="E161" i="130"/>
  <c r="E162" i="130"/>
  <c r="E163" i="130"/>
  <c r="E164" i="130"/>
  <c r="E165" i="130"/>
  <c r="E166" i="130"/>
  <c r="E167" i="130"/>
  <c r="E169" i="130"/>
  <c r="E170" i="130"/>
  <c r="E171" i="130"/>
  <c r="E172" i="130"/>
  <c r="E173" i="130"/>
  <c r="E174" i="130"/>
  <c r="E175" i="130"/>
  <c r="E176" i="130"/>
  <c r="E177" i="130"/>
  <c r="E178" i="130"/>
  <c r="E179" i="130"/>
  <c r="E180" i="130"/>
  <c r="E181" i="130"/>
  <c r="E182" i="130"/>
  <c r="E183" i="130"/>
  <c r="E184" i="130"/>
  <c r="E185" i="130"/>
  <c r="E186" i="130"/>
  <c r="E187" i="130"/>
  <c r="E188" i="130"/>
  <c r="E189" i="130"/>
  <c r="E190" i="130"/>
  <c r="E191" i="130"/>
  <c r="E192" i="130"/>
  <c r="E193" i="130"/>
  <c r="E194" i="130"/>
  <c r="E195" i="130"/>
  <c r="E196" i="130"/>
  <c r="E197" i="130"/>
  <c r="E198" i="130"/>
  <c r="E199" i="130"/>
  <c r="E200" i="130"/>
  <c r="E201" i="130"/>
  <c r="E202" i="130"/>
  <c r="E203" i="130"/>
  <c r="E204" i="130"/>
  <c r="E205" i="130"/>
  <c r="E206" i="130"/>
  <c r="E207" i="130"/>
  <c r="E208" i="130"/>
  <c r="E209" i="130"/>
  <c r="E210" i="130"/>
  <c r="E214" i="130"/>
  <c r="E215" i="130"/>
  <c r="E216" i="130"/>
  <c r="E217" i="130"/>
  <c r="E218" i="130"/>
  <c r="E219" i="130"/>
  <c r="E220" i="130"/>
  <c r="E221" i="130"/>
  <c r="E222" i="130"/>
  <c r="E223" i="130"/>
  <c r="E224" i="130"/>
  <c r="E225" i="130"/>
  <c r="E226" i="130"/>
  <c r="E227" i="130"/>
  <c r="E228" i="130"/>
  <c r="E229" i="130"/>
  <c r="E230" i="130"/>
  <c r="E231" i="130"/>
  <c r="E232" i="130"/>
  <c r="E233" i="130"/>
  <c r="E234" i="130"/>
  <c r="E235" i="130"/>
  <c r="E236" i="130"/>
  <c r="E237" i="130"/>
  <c r="E238" i="130"/>
  <c r="E239" i="130"/>
  <c r="E240" i="130"/>
  <c r="E241" i="130"/>
  <c r="E242" i="130"/>
  <c r="E243" i="130"/>
  <c r="E244" i="130"/>
  <c r="E245" i="130"/>
  <c r="E246" i="130"/>
  <c r="E247" i="130"/>
  <c r="E248" i="130"/>
  <c r="E249" i="130"/>
  <c r="E250" i="130"/>
  <c r="E251" i="130"/>
  <c r="E252" i="130"/>
  <c r="E253" i="130"/>
  <c r="E254" i="130"/>
  <c r="E255" i="130"/>
  <c r="E256" i="130"/>
  <c r="E258" i="130"/>
  <c r="E259" i="130"/>
  <c r="E260" i="130"/>
  <c r="E261" i="130"/>
  <c r="E262" i="130"/>
  <c r="E263" i="130"/>
  <c r="E264" i="130"/>
  <c r="E265" i="130"/>
  <c r="E266" i="130"/>
  <c r="E267" i="130"/>
  <c r="E268" i="130"/>
  <c r="E269" i="130"/>
  <c r="E270" i="130"/>
  <c r="E271" i="130"/>
  <c r="E272" i="130"/>
  <c r="E273" i="130"/>
  <c r="E274" i="130"/>
  <c r="E275" i="130"/>
  <c r="E276" i="130"/>
  <c r="E277" i="130"/>
  <c r="E278" i="130"/>
  <c r="E279" i="130"/>
  <c r="E280" i="130"/>
  <c r="E281" i="130"/>
  <c r="E282" i="130"/>
  <c r="E283" i="130"/>
  <c r="E284" i="130"/>
  <c r="E285" i="130"/>
  <c r="E286" i="130"/>
  <c r="E287" i="130"/>
  <c r="E288" i="130"/>
  <c r="E289" i="130"/>
  <c r="E290" i="130"/>
  <c r="E291" i="130"/>
  <c r="E292" i="130"/>
  <c r="E293" i="130"/>
  <c r="E294" i="130"/>
  <c r="E295" i="130"/>
  <c r="E296" i="130"/>
  <c r="E297" i="130"/>
  <c r="E298" i="130"/>
  <c r="E299" i="130"/>
  <c r="E300" i="130"/>
  <c r="E301" i="130"/>
  <c r="E302" i="130"/>
  <c r="E303" i="130"/>
  <c r="E304" i="130"/>
  <c r="E305" i="130"/>
  <c r="E306" i="130"/>
  <c r="E307" i="130"/>
  <c r="E308" i="130"/>
  <c r="E309" i="130"/>
  <c r="E310" i="130"/>
  <c r="E311" i="130"/>
  <c r="E312" i="130"/>
  <c r="E313" i="130"/>
  <c r="E314" i="130"/>
  <c r="E315" i="130"/>
  <c r="E316" i="130"/>
  <c r="E317" i="130"/>
  <c r="E318" i="130"/>
  <c r="E319" i="130"/>
  <c r="E320" i="130"/>
  <c r="E321" i="130"/>
  <c r="E322" i="130"/>
  <c r="E323" i="130"/>
  <c r="E324" i="130"/>
  <c r="E325" i="130"/>
  <c r="E327" i="130"/>
  <c r="E328" i="130"/>
  <c r="E329" i="130"/>
  <c r="E330" i="130"/>
  <c r="E331" i="130"/>
  <c r="E332" i="130"/>
  <c r="E333" i="130"/>
  <c r="E334" i="130"/>
  <c r="E335" i="130"/>
  <c r="E336" i="130"/>
  <c r="E337" i="130"/>
  <c r="E338" i="130"/>
  <c r="E340" i="130"/>
  <c r="E341" i="130"/>
  <c r="E342" i="130"/>
  <c r="E343" i="130"/>
  <c r="E344" i="130"/>
  <c r="E345" i="130"/>
  <c r="E346" i="130"/>
  <c r="E347" i="130"/>
  <c r="E348" i="130"/>
  <c r="E349" i="130"/>
  <c r="E350" i="130"/>
  <c r="E351" i="130"/>
  <c r="E352" i="130"/>
  <c r="E353" i="130"/>
  <c r="E354" i="130"/>
  <c r="E355" i="130"/>
  <c r="E356" i="130"/>
  <c r="E357" i="130"/>
  <c r="E358" i="130"/>
  <c r="E359" i="130"/>
  <c r="E360" i="130"/>
  <c r="E8" i="130"/>
  <c r="E257" i="130"/>
  <c r="E48" i="130"/>
  <c r="G6" i="129"/>
  <c r="H6" i="129" s="1"/>
  <c r="G7" i="129"/>
  <c r="H7" i="129" s="1"/>
  <c r="G8" i="129"/>
  <c r="H8" i="129" s="1"/>
  <c r="G9" i="129"/>
  <c r="H9" i="129" s="1"/>
  <c r="G11" i="129"/>
  <c r="H11" i="129" s="1"/>
  <c r="G12" i="129"/>
  <c r="H12" i="129" s="1"/>
  <c r="G14" i="129"/>
  <c r="H14" i="129" s="1"/>
  <c r="G15" i="129"/>
  <c r="H15" i="129" s="1"/>
  <c r="G16" i="129"/>
  <c r="H16" i="129" s="1"/>
  <c r="G17" i="129"/>
  <c r="H17" i="129" s="1"/>
  <c r="G18" i="129"/>
  <c r="H18" i="129" s="1"/>
  <c r="G19" i="129"/>
  <c r="H19" i="129" s="1"/>
  <c r="G20" i="129"/>
  <c r="H20" i="129" s="1"/>
  <c r="G21" i="129"/>
  <c r="H21" i="129" s="1"/>
  <c r="G22" i="129"/>
  <c r="H22" i="129" s="1"/>
  <c r="G23" i="129"/>
  <c r="H23" i="129" s="1"/>
  <c r="G24" i="129"/>
  <c r="H24" i="129" s="1"/>
  <c r="G25" i="129"/>
  <c r="H25" i="129" s="1"/>
  <c r="G26" i="129"/>
  <c r="H26" i="129" s="1"/>
  <c r="G27" i="129"/>
  <c r="H27" i="129" s="1"/>
  <c r="G28" i="129"/>
  <c r="H28" i="129" s="1"/>
  <c r="G29" i="129"/>
  <c r="H29" i="129" s="1"/>
  <c r="G30" i="129"/>
  <c r="H30" i="129" s="1"/>
  <c r="G31" i="129"/>
  <c r="H31" i="129" s="1"/>
  <c r="G32" i="129"/>
  <c r="H32" i="129" s="1"/>
  <c r="G33" i="129"/>
  <c r="H33" i="129" s="1"/>
  <c r="G34" i="129"/>
  <c r="H34" i="129" s="1"/>
  <c r="G35" i="129"/>
  <c r="H35" i="129" s="1"/>
  <c r="G36" i="129"/>
  <c r="H36" i="129" s="1"/>
  <c r="G37" i="129"/>
  <c r="H37" i="129" s="1"/>
  <c r="G38" i="129"/>
  <c r="H38" i="129" s="1"/>
  <c r="G39" i="129"/>
  <c r="H39" i="129" s="1"/>
  <c r="G40" i="129"/>
  <c r="H40" i="129" s="1"/>
  <c r="G41" i="129"/>
  <c r="H41" i="129" s="1"/>
  <c r="G42" i="129"/>
  <c r="H42" i="129" s="1"/>
  <c r="G43" i="129"/>
  <c r="H43" i="129" s="1"/>
  <c r="G44" i="129"/>
  <c r="H44" i="129" s="1"/>
  <c r="G45" i="129"/>
  <c r="H45" i="129" s="1"/>
  <c r="G46" i="129"/>
  <c r="H46" i="129" s="1"/>
  <c r="G47" i="129"/>
  <c r="H47" i="129" s="1"/>
  <c r="G48" i="129"/>
  <c r="H48" i="129" s="1"/>
  <c r="G49" i="129"/>
  <c r="H49" i="129" s="1"/>
  <c r="G50" i="129"/>
  <c r="H50" i="129" s="1"/>
  <c r="G51" i="129"/>
  <c r="H51" i="129" s="1"/>
  <c r="G52" i="129"/>
  <c r="H52" i="129" s="1"/>
  <c r="G53" i="129"/>
  <c r="H53" i="129" s="1"/>
  <c r="G54" i="129"/>
  <c r="H54" i="129" s="1"/>
  <c r="G55" i="129"/>
  <c r="H55" i="129" s="1"/>
  <c r="G56" i="129"/>
  <c r="H56" i="129" s="1"/>
  <c r="G57" i="129"/>
  <c r="H57" i="129" s="1"/>
  <c r="G58" i="129"/>
  <c r="H58" i="129" s="1"/>
  <c r="G59" i="129"/>
  <c r="H59" i="129" s="1"/>
  <c r="G60" i="129"/>
  <c r="H60" i="129" s="1"/>
  <c r="G61" i="129"/>
  <c r="H61" i="129" s="1"/>
  <c r="G62" i="129"/>
  <c r="H62" i="129" s="1"/>
  <c r="G63" i="129"/>
  <c r="H63" i="129" s="1"/>
  <c r="G64" i="129"/>
  <c r="H64" i="129" s="1"/>
  <c r="G65" i="129"/>
  <c r="H65" i="129" s="1"/>
  <c r="G66" i="129"/>
  <c r="H66" i="129" s="1"/>
  <c r="G67" i="129"/>
  <c r="H67" i="129" s="1"/>
  <c r="G68" i="129"/>
  <c r="H68" i="129" s="1"/>
  <c r="G69" i="129"/>
  <c r="H69" i="129" s="1"/>
  <c r="G70" i="129"/>
  <c r="H70" i="129" s="1"/>
  <c r="G71" i="129"/>
  <c r="H71" i="129" s="1"/>
  <c r="G72" i="129"/>
  <c r="H72" i="129" s="1"/>
  <c r="G73" i="129"/>
  <c r="H73" i="129" s="1"/>
  <c r="G74" i="129"/>
  <c r="H74" i="129" s="1"/>
  <c r="G75" i="129"/>
  <c r="H75" i="129" s="1"/>
  <c r="G76" i="129"/>
  <c r="H76" i="129" s="1"/>
  <c r="G77" i="129"/>
  <c r="H77" i="129" s="1"/>
  <c r="G78" i="129"/>
  <c r="H78" i="129" s="1"/>
  <c r="G79" i="129"/>
  <c r="H79" i="129" s="1"/>
  <c r="G80" i="129"/>
  <c r="H80" i="129" s="1"/>
  <c r="G81" i="129"/>
  <c r="H81" i="129" s="1"/>
  <c r="G82" i="129"/>
  <c r="H82" i="129" s="1"/>
  <c r="G83" i="129"/>
  <c r="H83" i="129" s="1"/>
  <c r="G84" i="129"/>
  <c r="H84" i="129" s="1"/>
  <c r="G85" i="129"/>
  <c r="H85" i="129" s="1"/>
  <c r="G86" i="129"/>
  <c r="H86" i="129" s="1"/>
  <c r="G87" i="129"/>
  <c r="H87" i="129" s="1"/>
  <c r="G88" i="129"/>
  <c r="H88" i="129" s="1"/>
  <c r="G89" i="129"/>
  <c r="H89" i="129" s="1"/>
  <c r="G90" i="129"/>
  <c r="H90" i="129" s="1"/>
  <c r="G91" i="129"/>
  <c r="H91" i="129" s="1"/>
  <c r="G92" i="129"/>
  <c r="H92" i="129" s="1"/>
  <c r="G93" i="129"/>
  <c r="H93" i="129" s="1"/>
  <c r="G94" i="129"/>
  <c r="H94" i="129" s="1"/>
  <c r="G95" i="129"/>
  <c r="H95" i="129" s="1"/>
  <c r="G96" i="129"/>
  <c r="H96" i="129" s="1"/>
  <c r="G97" i="129"/>
  <c r="H97" i="129" s="1"/>
  <c r="G98" i="129"/>
  <c r="H98" i="129" s="1"/>
  <c r="G99" i="129"/>
  <c r="H99" i="129" s="1"/>
  <c r="G100" i="129"/>
  <c r="H100" i="129" s="1"/>
  <c r="G101" i="129"/>
  <c r="H101" i="129" s="1"/>
  <c r="G102" i="129"/>
  <c r="H102" i="129" s="1"/>
  <c r="G103" i="129"/>
  <c r="H103" i="129" s="1"/>
  <c r="G104" i="129"/>
  <c r="H104" i="129" s="1"/>
  <c r="G105" i="129"/>
  <c r="H105" i="129" s="1"/>
  <c r="G106" i="129"/>
  <c r="H106" i="129" s="1"/>
  <c r="G107" i="129"/>
  <c r="H107" i="129" s="1"/>
  <c r="G108" i="129"/>
  <c r="H108" i="129" s="1"/>
  <c r="G109" i="129"/>
  <c r="H109" i="129" s="1"/>
  <c r="G110" i="129"/>
  <c r="H110" i="129" s="1"/>
  <c r="G111" i="129"/>
  <c r="H111" i="129" s="1"/>
  <c r="G112" i="129"/>
  <c r="H112" i="129" s="1"/>
  <c r="G113" i="129"/>
  <c r="H113" i="129" s="1"/>
  <c r="G114" i="129"/>
  <c r="H114" i="129" s="1"/>
  <c r="G115" i="129"/>
  <c r="H115" i="129" s="1"/>
  <c r="G116" i="129"/>
  <c r="H116" i="129" s="1"/>
  <c r="G117" i="129"/>
  <c r="H117" i="129" s="1"/>
  <c r="G118" i="129"/>
  <c r="H118" i="129" s="1"/>
  <c r="G119" i="129"/>
  <c r="H119" i="129" s="1"/>
  <c r="G120" i="129"/>
  <c r="H120" i="129" s="1"/>
  <c r="G122" i="129"/>
  <c r="H122" i="129" s="1"/>
  <c r="G123" i="129"/>
  <c r="H123" i="129" s="1"/>
  <c r="G124" i="129"/>
  <c r="H124" i="129" s="1"/>
  <c r="G125" i="129"/>
  <c r="H125" i="129" s="1"/>
  <c r="G126" i="129"/>
  <c r="H126" i="129" s="1"/>
  <c r="G127" i="129"/>
  <c r="H127" i="129" s="1"/>
  <c r="G128" i="129"/>
  <c r="H128" i="129" s="1"/>
  <c r="G129" i="129"/>
  <c r="H129" i="129" s="1"/>
  <c r="G130" i="129"/>
  <c r="H130" i="129" s="1"/>
  <c r="G131" i="129"/>
  <c r="H131" i="129" s="1"/>
  <c r="G132" i="129"/>
  <c r="H132" i="129" s="1"/>
  <c r="G133" i="129"/>
  <c r="H133" i="129" s="1"/>
  <c r="G134" i="129"/>
  <c r="H134" i="129" s="1"/>
  <c r="G135" i="129"/>
  <c r="H135" i="129" s="1"/>
  <c r="G136" i="129"/>
  <c r="H136" i="129" s="1"/>
  <c r="G137" i="129"/>
  <c r="H137" i="129" s="1"/>
  <c r="G138" i="129"/>
  <c r="H138" i="129" s="1"/>
  <c r="G139" i="129"/>
  <c r="H139" i="129" s="1"/>
  <c r="G140" i="129"/>
  <c r="H140" i="129" s="1"/>
  <c r="G141" i="129"/>
  <c r="H141" i="129" s="1"/>
  <c r="G142" i="129"/>
  <c r="H142" i="129" s="1"/>
  <c r="G143" i="129"/>
  <c r="H143" i="129" s="1"/>
  <c r="G144" i="129"/>
  <c r="H144" i="129" s="1"/>
  <c r="G145" i="129"/>
  <c r="H145" i="129" s="1"/>
  <c r="G146" i="129"/>
  <c r="H146" i="129" s="1"/>
  <c r="G147" i="129"/>
  <c r="H147" i="129" s="1"/>
  <c r="G148" i="129"/>
  <c r="H148" i="129" s="1"/>
  <c r="G149" i="129"/>
  <c r="H149" i="129" s="1"/>
  <c r="G150" i="129"/>
  <c r="H150" i="129" s="1"/>
  <c r="G151" i="129"/>
  <c r="H151" i="129" s="1"/>
  <c r="G152" i="129"/>
  <c r="H152" i="129" s="1"/>
  <c r="G153" i="129"/>
  <c r="H153" i="129" s="1"/>
  <c r="G154" i="129"/>
  <c r="H154" i="129" s="1"/>
  <c r="G155" i="129"/>
  <c r="H155" i="129" s="1"/>
  <c r="G156" i="129"/>
  <c r="H156" i="129" s="1"/>
  <c r="G157" i="129"/>
  <c r="H157" i="129" s="1"/>
  <c r="G158" i="129"/>
  <c r="H158" i="129" s="1"/>
  <c r="G159" i="129"/>
  <c r="H159" i="129" s="1"/>
  <c r="G160" i="129"/>
  <c r="H160" i="129" s="1"/>
  <c r="G161" i="129"/>
  <c r="H161" i="129" s="1"/>
  <c r="G162" i="129"/>
  <c r="H162" i="129" s="1"/>
  <c r="G163" i="129"/>
  <c r="H163" i="129" s="1"/>
  <c r="G164" i="129"/>
  <c r="H164" i="129" s="1"/>
  <c r="G166" i="129"/>
  <c r="H166" i="129" s="1"/>
  <c r="G167" i="129"/>
  <c r="H167" i="129" s="1"/>
  <c r="G168" i="129"/>
  <c r="H168" i="129" s="1"/>
  <c r="G169" i="129"/>
  <c r="H169" i="129" s="1"/>
  <c r="G170" i="129"/>
  <c r="H170" i="129" s="1"/>
  <c r="G171" i="129"/>
  <c r="H171" i="129" s="1"/>
  <c r="G172" i="129"/>
  <c r="H172" i="129" s="1"/>
  <c r="G173" i="129"/>
  <c r="H173" i="129" s="1"/>
  <c r="G174" i="129"/>
  <c r="H174" i="129" s="1"/>
  <c r="G175" i="129"/>
  <c r="H175" i="129" s="1"/>
  <c r="G176" i="129"/>
  <c r="H176" i="129" s="1"/>
  <c r="G177" i="129"/>
  <c r="H177" i="129" s="1"/>
  <c r="G178" i="129"/>
  <c r="H178" i="129" s="1"/>
  <c r="G179" i="129"/>
  <c r="H179" i="129" s="1"/>
  <c r="G180" i="129"/>
  <c r="H180" i="129" s="1"/>
  <c r="G181" i="129"/>
  <c r="H181" i="129" s="1"/>
  <c r="G182" i="129"/>
  <c r="H182" i="129" s="1"/>
  <c r="G183" i="129"/>
  <c r="H183" i="129" s="1"/>
  <c r="G184" i="129"/>
  <c r="H184" i="129" s="1"/>
  <c r="G185" i="129"/>
  <c r="H185" i="129" s="1"/>
  <c r="G186" i="129"/>
  <c r="H186" i="129" s="1"/>
  <c r="G187" i="129"/>
  <c r="H187" i="129" s="1"/>
  <c r="G188" i="129"/>
  <c r="H188" i="129" s="1"/>
  <c r="G189" i="129"/>
  <c r="H189" i="129" s="1"/>
  <c r="G190" i="129"/>
  <c r="H190" i="129" s="1"/>
  <c r="G191" i="129"/>
  <c r="H191" i="129" s="1"/>
  <c r="G192" i="129"/>
  <c r="H192" i="129" s="1"/>
  <c r="G193" i="129"/>
  <c r="H193" i="129" s="1"/>
  <c r="G194" i="129"/>
  <c r="H194" i="129" s="1"/>
  <c r="G195" i="129"/>
  <c r="H195" i="129" s="1"/>
  <c r="G196" i="129"/>
  <c r="H196" i="129" s="1"/>
  <c r="G197" i="129"/>
  <c r="H197" i="129" s="1"/>
  <c r="G198" i="129"/>
  <c r="H198" i="129" s="1"/>
  <c r="G199" i="129"/>
  <c r="H199" i="129" s="1"/>
  <c r="G200" i="129"/>
  <c r="H200" i="129" s="1"/>
  <c r="G201" i="129"/>
  <c r="H201" i="129" s="1"/>
  <c r="G202" i="129"/>
  <c r="H202" i="129" s="1"/>
  <c r="G203" i="129"/>
  <c r="H203" i="129" s="1"/>
  <c r="G204" i="129"/>
  <c r="H204" i="129" s="1"/>
  <c r="G205" i="129"/>
  <c r="H205" i="129" s="1"/>
  <c r="G206" i="129"/>
  <c r="H206" i="129" s="1"/>
  <c r="G207" i="129"/>
  <c r="H207" i="129" s="1"/>
  <c r="G210" i="129"/>
  <c r="H210" i="129" s="1"/>
  <c r="G211" i="129"/>
  <c r="H211" i="129" s="1"/>
  <c r="G212" i="129"/>
  <c r="H212" i="129" s="1"/>
  <c r="G213" i="129"/>
  <c r="H213" i="129" s="1"/>
  <c r="G214" i="129"/>
  <c r="H214" i="129" s="1"/>
  <c r="G215" i="129"/>
  <c r="H215" i="129" s="1"/>
  <c r="G216" i="129"/>
  <c r="H216" i="129" s="1"/>
  <c r="G217" i="129"/>
  <c r="H217" i="129" s="1"/>
  <c r="G218" i="129"/>
  <c r="H218" i="129" s="1"/>
  <c r="G219" i="129"/>
  <c r="H219" i="129" s="1"/>
  <c r="G220" i="129"/>
  <c r="H220" i="129" s="1"/>
  <c r="G221" i="129"/>
  <c r="H221" i="129" s="1"/>
  <c r="G222" i="129"/>
  <c r="H222" i="129" s="1"/>
  <c r="G223" i="129"/>
  <c r="H223" i="129" s="1"/>
  <c r="G224" i="129"/>
  <c r="H224" i="129" s="1"/>
  <c r="G225" i="129"/>
  <c r="H225" i="129" s="1"/>
  <c r="G226" i="129"/>
  <c r="H226" i="129" s="1"/>
  <c r="G227" i="129"/>
  <c r="H227" i="129" s="1"/>
  <c r="G228" i="129"/>
  <c r="H228" i="129" s="1"/>
  <c r="G229" i="129"/>
  <c r="H229" i="129" s="1"/>
  <c r="G230" i="129"/>
  <c r="H230" i="129" s="1"/>
  <c r="G231" i="129"/>
  <c r="H231" i="129" s="1"/>
  <c r="G232" i="129"/>
  <c r="H232" i="129" s="1"/>
  <c r="G233" i="129"/>
  <c r="H233" i="129" s="1"/>
  <c r="G234" i="129"/>
  <c r="H234" i="129" s="1"/>
  <c r="G235" i="129"/>
  <c r="H235" i="129" s="1"/>
  <c r="G236" i="129"/>
  <c r="H236" i="129" s="1"/>
  <c r="G237" i="129"/>
  <c r="H237" i="129" s="1"/>
  <c r="G238" i="129"/>
  <c r="H238" i="129" s="1"/>
  <c r="G239" i="129"/>
  <c r="H239" i="129" s="1"/>
  <c r="G240" i="129"/>
  <c r="H240" i="129" s="1"/>
  <c r="G241" i="129"/>
  <c r="H241" i="129" s="1"/>
  <c r="G242" i="129"/>
  <c r="H242" i="129" s="1"/>
  <c r="G243" i="129"/>
  <c r="H243" i="129" s="1"/>
  <c r="G244" i="129"/>
  <c r="H244" i="129" s="1"/>
  <c r="G245" i="129"/>
  <c r="H245" i="129" s="1"/>
  <c r="G246" i="129"/>
  <c r="H246" i="129" s="1"/>
  <c r="G247" i="129"/>
  <c r="H247" i="129" s="1"/>
  <c r="G248" i="129"/>
  <c r="H248" i="129" s="1"/>
  <c r="G249" i="129"/>
  <c r="H249" i="129" s="1"/>
  <c r="G250" i="129"/>
  <c r="H250" i="129" s="1"/>
  <c r="G251" i="129"/>
  <c r="H251" i="129" s="1"/>
  <c r="G252" i="129"/>
  <c r="H252" i="129" s="1"/>
  <c r="G253" i="129"/>
  <c r="H253" i="129" s="1"/>
  <c r="G254" i="129"/>
  <c r="H254" i="129" s="1"/>
  <c r="G255" i="129"/>
  <c r="H255" i="129" s="1"/>
  <c r="G256" i="129"/>
  <c r="H256" i="129" s="1"/>
  <c r="G257" i="129"/>
  <c r="H257" i="129" s="1"/>
  <c r="G258" i="129"/>
  <c r="H258" i="129" s="1"/>
  <c r="G259" i="129"/>
  <c r="H259" i="129" s="1"/>
  <c r="G260" i="129"/>
  <c r="H260" i="129" s="1"/>
  <c r="G261" i="129"/>
  <c r="H261" i="129" s="1"/>
  <c r="G262" i="129"/>
  <c r="H262" i="129" s="1"/>
  <c r="G263" i="129"/>
  <c r="H263" i="129" s="1"/>
  <c r="G264" i="129"/>
  <c r="H264" i="129" s="1"/>
  <c r="G265" i="129"/>
  <c r="H265" i="129" s="1"/>
  <c r="G266" i="129"/>
  <c r="H266" i="129" s="1"/>
  <c r="G267" i="129"/>
  <c r="H267" i="129" s="1"/>
  <c r="G268" i="129"/>
  <c r="H268" i="129" s="1"/>
  <c r="G269" i="129"/>
  <c r="H269" i="129" s="1"/>
  <c r="G270" i="129"/>
  <c r="H270" i="129" s="1"/>
  <c r="G271" i="129"/>
  <c r="H271" i="129" s="1"/>
  <c r="G272" i="129"/>
  <c r="H272" i="129" s="1"/>
  <c r="G273" i="129"/>
  <c r="H273" i="129" s="1"/>
  <c r="G274" i="129"/>
  <c r="H274" i="129" s="1"/>
  <c r="G275" i="129"/>
  <c r="H275" i="129" s="1"/>
  <c r="G276" i="129"/>
  <c r="H276" i="129" s="1"/>
  <c r="G277" i="129"/>
  <c r="H277" i="129" s="1"/>
  <c r="G278" i="129"/>
  <c r="H278" i="129" s="1"/>
  <c r="G279" i="129"/>
  <c r="H279" i="129" s="1"/>
  <c r="G280" i="129"/>
  <c r="H280" i="129" s="1"/>
  <c r="G281" i="129"/>
  <c r="H281" i="129" s="1"/>
  <c r="G282" i="129"/>
  <c r="H282" i="129" s="1"/>
  <c r="G283" i="129"/>
  <c r="H283" i="129" s="1"/>
  <c r="G284" i="129"/>
  <c r="H284" i="129" s="1"/>
  <c r="G285" i="129"/>
  <c r="H285" i="129" s="1"/>
  <c r="G286" i="129"/>
  <c r="H286" i="129" s="1"/>
  <c r="G287" i="129"/>
  <c r="H287" i="129" s="1"/>
  <c r="G288" i="129"/>
  <c r="H288" i="129" s="1"/>
  <c r="G289" i="129"/>
  <c r="H289" i="129" s="1"/>
  <c r="G290" i="129"/>
  <c r="H290" i="129" s="1"/>
  <c r="G291" i="129"/>
  <c r="H291" i="129" s="1"/>
  <c r="G292" i="129"/>
  <c r="H292" i="129" s="1"/>
  <c r="G293" i="129"/>
  <c r="H293" i="129" s="1"/>
  <c r="G294" i="129"/>
  <c r="H294" i="129" s="1"/>
  <c r="G295" i="129"/>
  <c r="H295" i="129" s="1"/>
  <c r="G296" i="129"/>
  <c r="H296" i="129" s="1"/>
  <c r="G297" i="129"/>
  <c r="H297" i="129" s="1"/>
  <c r="G298" i="129"/>
  <c r="H298" i="129" s="1"/>
  <c r="G299" i="129"/>
  <c r="H299" i="129" s="1"/>
  <c r="G300" i="129"/>
  <c r="H300" i="129" s="1"/>
  <c r="G301" i="129"/>
  <c r="H301" i="129" s="1"/>
  <c r="G302" i="129"/>
  <c r="H302" i="129" s="1"/>
  <c r="G303" i="129"/>
  <c r="H303" i="129" s="1"/>
  <c r="G304" i="129"/>
  <c r="H304" i="129" s="1"/>
  <c r="G305" i="129"/>
  <c r="H305" i="129" s="1"/>
  <c r="G306" i="129"/>
  <c r="H306" i="129" s="1"/>
  <c r="G307" i="129"/>
  <c r="H307" i="129" s="1"/>
  <c r="G308" i="129"/>
  <c r="H308" i="129" s="1"/>
  <c r="G309" i="129"/>
  <c r="H309" i="129" s="1"/>
  <c r="G310" i="129"/>
  <c r="H310" i="129" s="1"/>
  <c r="G311" i="129"/>
  <c r="H311" i="129" s="1"/>
  <c r="G312" i="129"/>
  <c r="H312" i="129" s="1"/>
  <c r="G313" i="129"/>
  <c r="H313" i="129" s="1"/>
  <c r="G314" i="129"/>
  <c r="H314" i="129" s="1"/>
  <c r="G315" i="129"/>
  <c r="H315" i="129" s="1"/>
  <c r="G316" i="129"/>
  <c r="H316" i="129" s="1"/>
  <c r="G317" i="129"/>
  <c r="H317" i="129" s="1"/>
  <c r="G318" i="129"/>
  <c r="H318" i="129" s="1"/>
  <c r="G319" i="129"/>
  <c r="H319" i="129" s="1"/>
  <c r="G320" i="129"/>
  <c r="H320" i="129" s="1"/>
  <c r="G322" i="129"/>
  <c r="H322" i="129" s="1"/>
  <c r="G323" i="129"/>
  <c r="H323" i="129" s="1"/>
  <c r="G324" i="129"/>
  <c r="H324" i="129" s="1"/>
  <c r="G325" i="129"/>
  <c r="H325" i="129" s="1"/>
  <c r="G326" i="129"/>
  <c r="H326" i="129" s="1"/>
  <c r="G327" i="129"/>
  <c r="H327" i="129" s="1"/>
  <c r="G328" i="129"/>
  <c r="H328" i="129" s="1"/>
  <c r="G329" i="129"/>
  <c r="H329" i="129" s="1"/>
  <c r="G330" i="129"/>
  <c r="H330" i="129" s="1"/>
  <c r="G331" i="129"/>
  <c r="H331" i="129" s="1"/>
  <c r="G332" i="129"/>
  <c r="H332" i="129" s="1"/>
  <c r="G333" i="129"/>
  <c r="H333" i="129" s="1"/>
  <c r="G334" i="129"/>
  <c r="H334" i="129" s="1"/>
  <c r="G335" i="129"/>
  <c r="H335" i="129" s="1"/>
  <c r="G336" i="129"/>
  <c r="H336" i="129" s="1"/>
  <c r="G337" i="129"/>
  <c r="H337" i="129" s="1"/>
  <c r="G338" i="129"/>
  <c r="H338" i="129" s="1"/>
  <c r="G339" i="129"/>
  <c r="H339" i="129" s="1"/>
  <c r="G340" i="129"/>
  <c r="H340" i="129" s="1"/>
  <c r="G341" i="129"/>
  <c r="H341" i="129" s="1"/>
  <c r="G342" i="129"/>
  <c r="H342" i="129" s="1"/>
  <c r="G343" i="129"/>
  <c r="H343" i="129" s="1"/>
  <c r="G344" i="129"/>
  <c r="H344" i="129" s="1"/>
  <c r="G345" i="129"/>
  <c r="H345" i="129" s="1"/>
  <c r="G346" i="129"/>
  <c r="H346" i="129" s="1"/>
  <c r="G347" i="129"/>
  <c r="H347" i="129" s="1"/>
  <c r="G348" i="129"/>
  <c r="H348" i="129" s="1"/>
  <c r="G349" i="129"/>
  <c r="H349" i="129" s="1"/>
  <c r="G350" i="129"/>
  <c r="H350" i="129" s="1"/>
  <c r="G351" i="129"/>
  <c r="H351" i="129" s="1"/>
  <c r="G352" i="129"/>
  <c r="H352" i="129" s="1"/>
  <c r="G353" i="129"/>
  <c r="H353" i="129" s="1"/>
  <c r="G354" i="129"/>
  <c r="H354" i="129" s="1"/>
  <c r="G355" i="129"/>
  <c r="H355" i="129" s="1"/>
  <c r="G356" i="129"/>
  <c r="H356" i="129" s="1"/>
  <c r="G357" i="129"/>
  <c r="H357" i="129" s="1"/>
  <c r="G5" i="129"/>
  <c r="H5" i="129" s="1"/>
  <c r="E213" i="130" l="1"/>
  <c r="G378" i="85" l="1"/>
  <c r="G375" i="85"/>
  <c r="G372" i="85"/>
  <c r="G369" i="85"/>
  <c r="D13" i="130" l="1"/>
  <c r="E13" i="130" s="1"/>
  <c r="D124" i="130"/>
  <c r="E124" i="130" s="1"/>
  <c r="G121" i="129"/>
  <c r="H121" i="129" s="1"/>
  <c r="G10" i="129"/>
  <c r="H10" i="129" s="1"/>
  <c r="E19" i="128"/>
  <c r="G383" i="107" s="1"/>
  <c r="G51" i="100" s="1"/>
  <c r="E18" i="128"/>
  <c r="G381" i="107" s="1"/>
  <c r="G49" i="100" s="1"/>
  <c r="E17" i="128"/>
  <c r="G433" i="107" s="1"/>
  <c r="G89" i="100" s="1"/>
  <c r="E16" i="128"/>
  <c r="G434" i="107" s="1"/>
  <c r="G90" i="100" s="1"/>
  <c r="E15" i="128"/>
  <c r="G401" i="107" s="1"/>
  <c r="G71" i="100" s="1"/>
  <c r="E9" i="128"/>
  <c r="F433" i="107" s="1"/>
  <c r="F89" i="100" s="1"/>
  <c r="E1231" i="107" s="1"/>
  <c r="E8" i="128"/>
  <c r="F398" i="107" s="1"/>
  <c r="F68" i="100" s="1"/>
  <c r="E7" i="128"/>
  <c r="F383" i="107" s="1"/>
  <c r="F51" i="100" s="1"/>
  <c r="E126" i="96" l="1"/>
  <c r="D1231" i="107"/>
  <c r="D126" i="96" s="1"/>
  <c r="E450" i="107"/>
  <c r="E449" i="107"/>
  <c r="D450" i="107"/>
  <c r="D105" i="100" s="1"/>
  <c r="E438" i="107"/>
  <c r="E435" i="107"/>
  <c r="E433" i="107"/>
  <c r="D434" i="107"/>
  <c r="E434" i="107"/>
  <c r="E432" i="107"/>
  <c r="E401" i="107"/>
  <c r="E71" i="100" s="1"/>
  <c r="D401" i="107"/>
  <c r="D71" i="100" s="1"/>
  <c r="E400" i="107"/>
  <c r="E70" i="100" s="1"/>
  <c r="E402" i="107"/>
  <c r="D399" i="107"/>
  <c r="D398" i="107"/>
  <c r="E396" i="107"/>
  <c r="E397" i="107"/>
  <c r="D397" i="107"/>
  <c r="D396" i="107"/>
  <c r="E385" i="107"/>
  <c r="E384" i="107"/>
  <c r="D384" i="107"/>
  <c r="E381" i="107"/>
  <c r="E382" i="107"/>
  <c r="E383" i="107"/>
  <c r="G116" i="98"/>
  <c r="C80" i="130"/>
  <c r="E80" i="130" s="1"/>
  <c r="C9" i="130"/>
  <c r="E9" i="130" s="1"/>
  <c r="O62" i="82"/>
  <c r="O22" i="82"/>
  <c r="G428" i="91"/>
  <c r="H428" i="91" s="1"/>
  <c r="N147" i="82"/>
  <c r="N14" i="82"/>
  <c r="G150" i="107"/>
  <c r="D150" i="107"/>
  <c r="M55" i="127"/>
  <c r="M56" i="127"/>
  <c r="D295" i="92"/>
  <c r="F564" i="91" l="1"/>
  <c r="F574" i="91" s="1"/>
  <c r="F551" i="91"/>
  <c r="F560" i="91" s="1"/>
  <c r="E551" i="91"/>
  <c r="E564" i="91"/>
  <c r="I83" i="127"/>
  <c r="I82" i="127"/>
  <c r="I81" i="127"/>
  <c r="I80" i="127"/>
  <c r="I79" i="127"/>
  <c r="I78" i="127"/>
  <c r="I77" i="127"/>
  <c r="I76" i="127"/>
  <c r="I75" i="127"/>
  <c r="I74" i="127"/>
  <c r="I73" i="127"/>
  <c r="I72" i="127"/>
  <c r="I71" i="127"/>
  <c r="I70" i="127"/>
  <c r="I69" i="127"/>
  <c r="I68" i="127"/>
  <c r="I62" i="127"/>
  <c r="I61" i="127"/>
  <c r="I60" i="127"/>
  <c r="G63" i="127"/>
  <c r="I57" i="127"/>
  <c r="D57" i="127"/>
  <c r="I52" i="127"/>
  <c r="G54" i="127"/>
  <c r="I47" i="127"/>
  <c r="I34" i="127"/>
  <c r="I33" i="127"/>
  <c r="D33" i="127" s="1"/>
  <c r="F37" i="127"/>
  <c r="I25" i="127"/>
  <c r="D25" i="127" s="1"/>
  <c r="I21" i="127"/>
  <c r="I22" i="127" s="1"/>
  <c r="I19" i="127"/>
  <c r="D19" i="127" s="1"/>
  <c r="I18" i="127"/>
  <c r="G20" i="127"/>
  <c r="F20" i="127"/>
  <c r="F69" i="127"/>
  <c r="G65" i="127" l="1"/>
  <c r="F54" i="127"/>
  <c r="I54" i="127" s="1"/>
  <c r="I46" i="127"/>
  <c r="I51" i="127"/>
  <c r="I26" i="127"/>
  <c r="I31" i="127"/>
  <c r="D31" i="127" s="1"/>
  <c r="I35" i="127"/>
  <c r="I50" i="127"/>
  <c r="I53" i="127"/>
  <c r="I59" i="127"/>
  <c r="F28" i="127"/>
  <c r="I27" i="127"/>
  <c r="I29" i="127" s="1"/>
  <c r="I36" i="127"/>
  <c r="D34" i="127"/>
  <c r="I58" i="127"/>
  <c r="D52" i="127"/>
  <c r="E18" i="127"/>
  <c r="E19" i="127" s="1"/>
  <c r="E21" i="127" s="1"/>
  <c r="D26" i="127"/>
  <c r="D50" i="127"/>
  <c r="F39" i="127"/>
  <c r="I20" i="127"/>
  <c r="I32" i="127"/>
  <c r="D47" i="127"/>
  <c r="D58" i="127"/>
  <c r="I17" i="127"/>
  <c r="I16" i="127" s="1"/>
  <c r="I48" i="127"/>
  <c r="F63" i="127"/>
  <c r="I45" i="127"/>
  <c r="G28" i="127"/>
  <c r="I28" i="127" s="1"/>
  <c r="I23" i="127" s="1"/>
  <c r="G37" i="127"/>
  <c r="I37" i="127" s="1"/>
  <c r="I24" i="127"/>
  <c r="D61" i="127" l="1"/>
  <c r="I55" i="127"/>
  <c r="I43" i="127"/>
  <c r="C43" i="127" s="1"/>
  <c r="D27" i="127"/>
  <c r="D36" i="127"/>
  <c r="D60" i="127"/>
  <c r="I63" i="127"/>
  <c r="I64" i="127" s="1"/>
  <c r="D59" i="127"/>
  <c r="G39" i="127"/>
  <c r="D62" i="127"/>
  <c r="I38" i="127"/>
  <c r="I30" i="127"/>
  <c r="I14" i="127" s="1"/>
  <c r="I39" i="127"/>
  <c r="I40" i="127" s="1"/>
  <c r="I15" i="127"/>
  <c r="C16" i="127" s="1"/>
  <c r="C21" i="127" s="1"/>
  <c r="C23" i="127" s="1"/>
  <c r="D32" i="127"/>
  <c r="D18" i="127"/>
  <c r="I49" i="127"/>
  <c r="D45" i="127"/>
  <c r="I44" i="127"/>
  <c r="D44" i="127" s="1"/>
  <c r="D46" i="127"/>
  <c r="D48" i="127"/>
  <c r="D24" i="127"/>
  <c r="E24" i="127"/>
  <c r="E26" i="127" s="1"/>
  <c r="E27" i="127" s="1"/>
  <c r="E31" i="127" s="1"/>
  <c r="E32" i="127" s="1"/>
  <c r="E35" i="127" s="1"/>
  <c r="E36" i="127" s="1"/>
  <c r="E45" i="127" s="1"/>
  <c r="D35" i="127"/>
  <c r="F65" i="127"/>
  <c r="I56" i="127" l="1"/>
  <c r="C56" i="127" s="1"/>
  <c r="E46" i="127"/>
  <c r="E47" i="127"/>
  <c r="E48" i="127" s="1"/>
  <c r="E50" i="127" s="1"/>
  <c r="E52" i="127" s="1"/>
  <c r="E53" i="127" s="1"/>
  <c r="E57" i="127" s="1"/>
  <c r="E58" i="127" s="1"/>
  <c r="E59" i="127" s="1"/>
  <c r="E60" i="127" s="1"/>
  <c r="E61" i="127" s="1"/>
  <c r="E62" i="127" s="1"/>
  <c r="D53" i="127"/>
  <c r="D51" i="127"/>
  <c r="C30" i="127"/>
  <c r="C14" i="127"/>
  <c r="R66" i="127"/>
  <c r="I65" i="127"/>
  <c r="I66" i="127" s="1"/>
  <c r="J65" i="127"/>
  <c r="I41" i="127" l="1"/>
  <c r="C41" i="127" s="1"/>
  <c r="I42" i="127"/>
  <c r="J11" i="127" l="1"/>
  <c r="J12" i="127"/>
  <c r="J9" i="127"/>
  <c r="I13" i="127"/>
  <c r="H246" i="91"/>
  <c r="H259" i="91" s="1"/>
  <c r="F246" i="91"/>
  <c r="F259" i="91" s="1"/>
  <c r="I136" i="91"/>
  <c r="I246" i="91" s="1"/>
  <c r="I259" i="91" s="1"/>
  <c r="G136" i="91"/>
  <c r="G246" i="91" s="1"/>
  <c r="G259" i="91" s="1"/>
  <c r="F43" i="87" l="1"/>
  <c r="C31" i="105"/>
  <c r="C54" i="105" s="1"/>
  <c r="C91" i="105" s="1"/>
  <c r="C120" i="105" s="1"/>
  <c r="C129" i="105" s="1"/>
  <c r="C143" i="105" s="1"/>
  <c r="C152" i="105" s="1"/>
  <c r="C170" i="105" s="1"/>
  <c r="C188" i="105" s="1"/>
  <c r="C221" i="105" s="1"/>
  <c r="C230" i="105" s="1"/>
  <c r="C239" i="105" s="1"/>
  <c r="C249" i="105" s="1"/>
  <c r="D232" i="105"/>
  <c r="D130" i="105"/>
  <c r="D92" i="105"/>
  <c r="D55" i="105"/>
  <c r="D32" i="105"/>
  <c r="E19" i="126"/>
  <c r="F20" i="126"/>
  <c r="R314" i="81" l="1"/>
  <c r="S314" i="81"/>
  <c r="T314" i="81"/>
  <c r="H314" i="81"/>
  <c r="N313" i="81"/>
  <c r="N314" i="81" s="1"/>
  <c r="R313" i="81"/>
  <c r="S313" i="81"/>
  <c r="T313" i="81"/>
  <c r="H313" i="81"/>
  <c r="R312" i="81"/>
  <c r="S312" i="81"/>
  <c r="T312" i="81"/>
  <c r="H312" i="81"/>
  <c r="R311" i="81"/>
  <c r="S311" i="81"/>
  <c r="T311" i="81"/>
  <c r="H311" i="81"/>
  <c r="R310" i="81"/>
  <c r="S310" i="81"/>
  <c r="T310" i="81"/>
  <c r="H310" i="81"/>
  <c r="R309" i="81"/>
  <c r="S309" i="81"/>
  <c r="T309" i="81"/>
  <c r="H309" i="81"/>
  <c r="I309" i="81" s="1"/>
  <c r="H308" i="81"/>
  <c r="R308" i="81"/>
  <c r="S308" i="81"/>
  <c r="T308" i="81"/>
  <c r="R307" i="81"/>
  <c r="S307" i="81"/>
  <c r="T307" i="81"/>
  <c r="H307" i="81"/>
  <c r="R306" i="81"/>
  <c r="S306" i="81"/>
  <c r="T306" i="81"/>
  <c r="H306" i="81"/>
  <c r="I310" i="81" l="1"/>
  <c r="I306" i="81"/>
  <c r="I312" i="81"/>
  <c r="I308" i="81"/>
  <c r="I311" i="81"/>
  <c r="I314" i="81"/>
  <c r="I307" i="81"/>
  <c r="I313" i="81"/>
  <c r="U314" i="81"/>
  <c r="V314" i="81" s="1"/>
  <c r="U313" i="81"/>
  <c r="V313" i="81" s="1"/>
  <c r="F339" i="31" s="1"/>
  <c r="U312" i="81"/>
  <c r="V312" i="81" s="1"/>
  <c r="F341" i="31" s="1"/>
  <c r="U310" i="81"/>
  <c r="V310" i="81" s="1"/>
  <c r="F333" i="31" s="1"/>
  <c r="U311" i="81"/>
  <c r="V311" i="81" s="1"/>
  <c r="F334" i="31" s="1"/>
  <c r="U309" i="81"/>
  <c r="V309" i="81" s="1"/>
  <c r="F335" i="31" s="1"/>
  <c r="U307" i="81"/>
  <c r="V307" i="81" s="1"/>
  <c r="F299" i="31" s="1"/>
  <c r="U306" i="81"/>
  <c r="V306" i="81" s="1"/>
  <c r="F337" i="31" s="1"/>
  <c r="U308" i="81"/>
  <c r="V308" i="81" s="1"/>
  <c r="F308" i="31" s="1"/>
  <c r="R305" i="81"/>
  <c r="S305" i="81"/>
  <c r="T305" i="81"/>
  <c r="H305" i="81"/>
  <c r="R303" i="81"/>
  <c r="R304" i="81"/>
  <c r="S303" i="81"/>
  <c r="S304" i="81"/>
  <c r="T303" i="81"/>
  <c r="T304" i="81"/>
  <c r="H303" i="81"/>
  <c r="H304" i="81"/>
  <c r="N302" i="81"/>
  <c r="N303" i="81" s="1"/>
  <c r="N304" i="81" s="1"/>
  <c r="N305" i="81" s="1"/>
  <c r="N306" i="81" s="1"/>
  <c r="N307" i="81" s="1"/>
  <c r="N308" i="81" s="1"/>
  <c r="N309" i="81" s="1"/>
  <c r="N310" i="81" s="1"/>
  <c r="N311" i="81" s="1"/>
  <c r="R302" i="81"/>
  <c r="S302" i="81"/>
  <c r="T302" i="81"/>
  <c r="H302" i="81"/>
  <c r="I304" i="81" l="1"/>
  <c r="I302" i="81"/>
  <c r="I303" i="81"/>
  <c r="I305" i="81"/>
  <c r="U305" i="81"/>
  <c r="V305" i="81" s="1"/>
  <c r="F338" i="31" s="1"/>
  <c r="U303" i="81"/>
  <c r="V303" i="81" s="1"/>
  <c r="F297" i="31" s="1"/>
  <c r="U304" i="81"/>
  <c r="V304" i="81" s="1"/>
  <c r="F336" i="31" s="1"/>
  <c r="U302" i="81"/>
  <c r="V302" i="81" s="1"/>
  <c r="F332" i="31" s="1"/>
  <c r="E16" i="130" l="1"/>
  <c r="G13" i="129"/>
  <c r="H13" i="129" s="1"/>
  <c r="G165" i="129"/>
  <c r="H165" i="129" s="1"/>
  <c r="E168" i="130"/>
  <c r="R301" i="81"/>
  <c r="S301" i="81"/>
  <c r="T301" i="81"/>
  <c r="W301" i="81"/>
  <c r="H301" i="81"/>
  <c r="I301" i="81" s="1"/>
  <c r="U301" i="81" l="1"/>
  <c r="V301" i="81" s="1"/>
  <c r="F314" i="31" s="1"/>
  <c r="R299" i="81"/>
  <c r="S299" i="81"/>
  <c r="T299" i="81"/>
  <c r="H299" i="81"/>
  <c r="I299" i="81" s="1"/>
  <c r="F612" i="91"/>
  <c r="R300" i="81"/>
  <c r="S300" i="81"/>
  <c r="T300" i="81"/>
  <c r="W300" i="81"/>
  <c r="H300" i="81"/>
  <c r="I300" i="81" s="1"/>
  <c r="U299" i="81" l="1"/>
  <c r="V299" i="81" s="1"/>
  <c r="F292" i="31" s="1"/>
  <c r="U300" i="81"/>
  <c r="V300" i="81" s="1"/>
  <c r="F121" i="31" s="1"/>
  <c r="E186" i="107"/>
  <c r="G115" i="98" s="1"/>
  <c r="E185" i="107"/>
  <c r="G114" i="98" s="1"/>
  <c r="E184" i="107"/>
  <c r="G113" i="98" s="1"/>
  <c r="E183" i="107"/>
  <c r="G112" i="98" s="1"/>
  <c r="D187" i="107"/>
  <c r="D186" i="107"/>
  <c r="D185" i="107"/>
  <c r="D184" i="107"/>
  <c r="D183" i="107"/>
  <c r="G148" i="107"/>
  <c r="G144" i="107"/>
  <c r="G142" i="107"/>
  <c r="D148" i="107"/>
  <c r="D145" i="107"/>
  <c r="D144" i="107"/>
  <c r="D142" i="107"/>
  <c r="G139" i="107"/>
  <c r="G136" i="107"/>
  <c r="G134" i="107"/>
  <c r="G135" i="107"/>
  <c r="G131" i="107"/>
  <c r="G130" i="107"/>
  <c r="G129" i="107"/>
  <c r="D139" i="107" l="1"/>
  <c r="D136" i="107"/>
  <c r="D131" i="107"/>
  <c r="D130" i="107"/>
  <c r="D129" i="107"/>
  <c r="D122" i="107"/>
  <c r="G122" i="107"/>
  <c r="D120" i="107"/>
  <c r="G120" i="107"/>
  <c r="G119" i="107"/>
  <c r="D119" i="107"/>
  <c r="D118" i="107"/>
  <c r="G118" i="107"/>
  <c r="G111" i="107"/>
  <c r="G110" i="107"/>
  <c r="D106" i="107"/>
  <c r="G106" i="107"/>
  <c r="G105" i="107"/>
  <c r="G104" i="107"/>
  <c r="D111" i="107"/>
  <c r="D110" i="107"/>
  <c r="D105" i="107"/>
  <c r="D104" i="107"/>
  <c r="F144" i="14"/>
  <c r="K240" i="91"/>
  <c r="D251" i="105" l="1"/>
  <c r="P153" i="105"/>
  <c r="D122" i="105"/>
  <c r="D203" i="105"/>
  <c r="D154" i="105"/>
  <c r="L886" i="107"/>
  <c r="M886" i="107"/>
  <c r="N886" i="107"/>
  <c r="K886" i="107"/>
  <c r="C20" i="98" l="1"/>
  <c r="G137" i="107"/>
  <c r="G133" i="107"/>
  <c r="G132" i="107"/>
  <c r="F52" i="96"/>
  <c r="C49" i="100"/>
  <c r="C51" i="100"/>
  <c r="C105" i="100"/>
  <c r="C104" i="100"/>
  <c r="C103" i="100"/>
  <c r="C102" i="100"/>
  <c r="C94" i="100"/>
  <c r="C93" i="100"/>
  <c r="C89" i="100"/>
  <c r="C90" i="100"/>
  <c r="C91" i="100"/>
  <c r="C88" i="100"/>
  <c r="C87" i="100"/>
  <c r="C67" i="100"/>
  <c r="C68" i="100"/>
  <c r="C69" i="100"/>
  <c r="C72" i="100"/>
  <c r="C66" i="100"/>
  <c r="C50" i="100"/>
  <c r="C52" i="100"/>
  <c r="C53" i="100"/>
  <c r="F1148" i="107"/>
  <c r="F55" i="96" s="1"/>
  <c r="F1142" i="107"/>
  <c r="F51" i="96" s="1"/>
  <c r="G90" i="91" l="1"/>
  <c r="E90" i="91"/>
  <c r="H68" i="123"/>
  <c r="H55" i="123"/>
  <c r="L40" i="123" s="1"/>
  <c r="L42" i="123" s="1"/>
  <c r="F1317" i="107" s="1"/>
  <c r="H51" i="123"/>
  <c r="L39" i="123" s="1"/>
  <c r="L41" i="123" s="1"/>
  <c r="H43" i="123"/>
  <c r="H35" i="123"/>
  <c r="E105" i="100"/>
  <c r="E104" i="100"/>
  <c r="E91" i="100"/>
  <c r="E90" i="100"/>
  <c r="E89" i="100"/>
  <c r="E88" i="100"/>
  <c r="D90" i="100"/>
  <c r="D66" i="100"/>
  <c r="D67" i="100"/>
  <c r="D68" i="100"/>
  <c r="D69" i="100"/>
  <c r="E72" i="100"/>
  <c r="E399" i="107"/>
  <c r="E69" i="100" s="1"/>
  <c r="E398" i="107"/>
  <c r="E68" i="100" s="1"/>
  <c r="E67" i="100"/>
  <c r="E66" i="100"/>
  <c r="E94" i="100"/>
  <c r="E53" i="100"/>
  <c r="E52" i="100"/>
  <c r="E51" i="100"/>
  <c r="E50" i="100"/>
  <c r="E49" i="100"/>
  <c r="D52" i="100"/>
  <c r="D385" i="107"/>
  <c r="D53" i="100" s="1"/>
  <c r="D383" i="107"/>
  <c r="D51" i="100" s="1"/>
  <c r="D382" i="107"/>
  <c r="D50" i="100" s="1"/>
  <c r="D381" i="107"/>
  <c r="D49" i="100" s="1"/>
  <c r="D435" i="107"/>
  <c r="D91" i="100" s="1"/>
  <c r="D432" i="107"/>
  <c r="D88" i="100" s="1"/>
  <c r="D400" i="107"/>
  <c r="D70" i="100" s="1"/>
  <c r="D402" i="107"/>
  <c r="D72" i="100" s="1"/>
  <c r="D32" i="100"/>
  <c r="D26" i="100"/>
  <c r="D25" i="100"/>
  <c r="D24" i="100"/>
  <c r="D23" i="100"/>
  <c r="D22" i="100"/>
  <c r="F1316" i="107" l="1"/>
  <c r="F211" i="96" s="1"/>
  <c r="L43" i="123"/>
  <c r="G68" i="123"/>
  <c r="D449" i="107"/>
  <c r="D104" i="100" s="1"/>
  <c r="G55" i="123"/>
  <c r="K40" i="123" s="1"/>
  <c r="K42" i="123" s="1"/>
  <c r="E1317" i="107" s="1"/>
  <c r="D438" i="107"/>
  <c r="D94" i="100" s="1"/>
  <c r="L33" i="123"/>
  <c r="L34" i="123" s="1"/>
  <c r="F1270" i="107" s="1"/>
  <c r="G35" i="123"/>
  <c r="H141" i="6"/>
  <c r="K39" i="123" l="1"/>
  <c r="K41" i="123" s="1"/>
  <c r="I83" i="122"/>
  <c r="I82" i="122"/>
  <c r="I81" i="122"/>
  <c r="I80" i="122"/>
  <c r="I79" i="122"/>
  <c r="I78" i="122"/>
  <c r="I77" i="122"/>
  <c r="I76" i="122"/>
  <c r="I75" i="122"/>
  <c r="I74" i="122"/>
  <c r="I73" i="122"/>
  <c r="I72" i="122"/>
  <c r="I71" i="122"/>
  <c r="I70" i="122"/>
  <c r="I69" i="122"/>
  <c r="I68" i="122"/>
  <c r="I57" i="122"/>
  <c r="D57" i="122" s="1"/>
  <c r="I46" i="122"/>
  <c r="I45" i="122"/>
  <c r="I21" i="122"/>
  <c r="I19" i="122"/>
  <c r="D19" i="122" s="1"/>
  <c r="F69" i="122"/>
  <c r="K43" i="123" l="1"/>
  <c r="E1316" i="107"/>
  <c r="E211" i="96" s="1"/>
  <c r="I18" i="122"/>
  <c r="E18" i="122" s="1"/>
  <c r="E19" i="122" s="1"/>
  <c r="E21" i="122" s="1"/>
  <c r="F20" i="122"/>
  <c r="I48" i="122"/>
  <c r="D48" i="122" s="1"/>
  <c r="D46" i="122"/>
  <c r="I17" i="122"/>
  <c r="I16" i="122" s="1"/>
  <c r="G20" i="122"/>
  <c r="I20" i="122" s="1"/>
  <c r="I22" i="122"/>
  <c r="I47" i="122"/>
  <c r="I49" i="122" s="1"/>
  <c r="D45" i="122"/>
  <c r="D18" i="122" l="1"/>
  <c r="D47" i="122"/>
  <c r="I44" i="122"/>
  <c r="D44" i="122" s="1"/>
  <c r="E360" i="92" l="1"/>
  <c r="F58" i="94"/>
  <c r="E210" i="92"/>
  <c r="E612" i="91"/>
  <c r="E586" i="91"/>
  <c r="G376" i="91"/>
  <c r="G368" i="91"/>
  <c r="F354" i="91"/>
  <c r="F355" i="91"/>
  <c r="E70" i="91"/>
  <c r="F70" i="91"/>
  <c r="G70" i="91"/>
  <c r="H70" i="91"/>
  <c r="M39" i="93" l="1"/>
  <c r="M33" i="93"/>
  <c r="O33" i="93"/>
  <c r="G28" i="93" l="1"/>
  <c r="F39" i="93"/>
  <c r="F33" i="93"/>
  <c r="G50" i="121"/>
  <c r="H50" i="121" s="1"/>
  <c r="M50" i="121" s="1"/>
  <c r="G49" i="121"/>
  <c r="H49" i="121" s="1"/>
  <c r="G48" i="121"/>
  <c r="H48" i="121" s="1"/>
  <c r="M48" i="121" s="1"/>
  <c r="G47" i="121"/>
  <c r="H47" i="121" s="1"/>
  <c r="G46" i="121"/>
  <c r="H46" i="121" s="1"/>
  <c r="M46" i="121" s="1"/>
  <c r="G45" i="121"/>
  <c r="H45" i="121" s="1"/>
  <c r="C45" i="121"/>
  <c r="G44" i="121"/>
  <c r="H44" i="121" s="1"/>
  <c r="G42" i="121"/>
  <c r="H42" i="121" s="1"/>
  <c r="M42" i="121" s="1"/>
  <c r="S42" i="121" s="1"/>
  <c r="G41" i="121"/>
  <c r="H41" i="121" s="1"/>
  <c r="M41" i="121" s="1"/>
  <c r="G40" i="121"/>
  <c r="H40" i="121" s="1"/>
  <c r="G39" i="121"/>
  <c r="H39" i="121" s="1"/>
  <c r="M39" i="121" s="1"/>
  <c r="G38" i="121"/>
  <c r="H38" i="121" s="1"/>
  <c r="G37" i="121"/>
  <c r="H37" i="121" s="1"/>
  <c r="M37" i="121" s="1"/>
  <c r="G36" i="121"/>
  <c r="H36" i="121" s="1"/>
  <c r="G35" i="121"/>
  <c r="H35" i="121" s="1"/>
  <c r="M35" i="121" s="1"/>
  <c r="G34" i="121"/>
  <c r="H34" i="121" s="1"/>
  <c r="C34" i="121"/>
  <c r="G33" i="121"/>
  <c r="H33" i="121" s="1"/>
  <c r="C31" i="121"/>
  <c r="G30" i="121"/>
  <c r="H30" i="121" s="1"/>
  <c r="M30" i="121" s="1"/>
  <c r="P24" i="93" s="1"/>
  <c r="G27" i="121"/>
  <c r="H27" i="121" s="1"/>
  <c r="G25" i="121"/>
  <c r="H25" i="121" s="1"/>
  <c r="M25" i="121" s="1"/>
  <c r="G24" i="121"/>
  <c r="H24" i="121" s="1"/>
  <c r="M24" i="121" s="1"/>
  <c r="S24" i="121" s="1"/>
  <c r="G23" i="121"/>
  <c r="H23" i="121" s="1"/>
  <c r="G22" i="121"/>
  <c r="H22" i="121" s="1"/>
  <c r="M22" i="121" s="1"/>
  <c r="G21" i="121"/>
  <c r="H21" i="121" s="1"/>
  <c r="G20" i="121"/>
  <c r="H20" i="121" s="1"/>
  <c r="G19" i="121"/>
  <c r="H19" i="121" s="1"/>
  <c r="M19" i="121" s="1"/>
  <c r="G18" i="121"/>
  <c r="H18" i="121" s="1"/>
  <c r="G17" i="121"/>
  <c r="H17" i="121" s="1"/>
  <c r="M17" i="121" s="1"/>
  <c r="G16" i="121"/>
  <c r="H16" i="121" s="1"/>
  <c r="G15" i="121"/>
  <c r="H15" i="121" s="1"/>
  <c r="G14" i="121"/>
  <c r="H14" i="121" s="1"/>
  <c r="G13" i="121"/>
  <c r="H13" i="121" s="1"/>
  <c r="M13" i="121" s="1"/>
  <c r="G12" i="121"/>
  <c r="H12" i="121" s="1"/>
  <c r="G11" i="121"/>
  <c r="H11" i="121" s="1"/>
  <c r="M11" i="121" s="1"/>
  <c r="G10" i="121"/>
  <c r="H10" i="121" s="1"/>
  <c r="G9" i="121"/>
  <c r="H9" i="121" s="1"/>
  <c r="M9" i="121" s="1"/>
  <c r="G8" i="121"/>
  <c r="H8" i="121" s="1"/>
  <c r="R6" i="121"/>
  <c r="P6" i="121"/>
  <c r="N6" i="121"/>
  <c r="N4" i="121" s="1"/>
  <c r="E27" i="93"/>
  <c r="O24" i="121" l="1"/>
  <c r="Q24" i="121" s="1"/>
  <c r="S11" i="121"/>
  <c r="O11" i="121"/>
  <c r="Q11" i="121" s="1"/>
  <c r="S25" i="121"/>
  <c r="O25" i="121"/>
  <c r="Q25" i="121" s="1"/>
  <c r="S9" i="121"/>
  <c r="O9" i="121"/>
  <c r="Q9" i="121" s="1"/>
  <c r="S22" i="121"/>
  <c r="O22" i="121"/>
  <c r="Q22" i="121" s="1"/>
  <c r="S13" i="121"/>
  <c r="O13" i="121"/>
  <c r="Q13" i="121" s="1"/>
  <c r="S17" i="121"/>
  <c r="O17" i="121"/>
  <c r="Q17" i="121" s="1"/>
  <c r="S19" i="121"/>
  <c r="O19" i="121"/>
  <c r="Q19" i="121" s="1"/>
  <c r="S30" i="121"/>
  <c r="O30" i="121"/>
  <c r="Q30" i="121" s="1"/>
  <c r="M12" i="121"/>
  <c r="S12" i="121" s="1"/>
  <c r="L6" i="121"/>
  <c r="L4" i="121" s="1"/>
  <c r="M8" i="121"/>
  <c r="O8" i="121" s="1"/>
  <c r="M10" i="121"/>
  <c r="S10" i="121" s="1"/>
  <c r="C9" i="121"/>
  <c r="M20" i="121"/>
  <c r="S20" i="121" s="1"/>
  <c r="S37" i="121"/>
  <c r="O37" i="121"/>
  <c r="Q37" i="121" s="1"/>
  <c r="M23" i="121"/>
  <c r="S23" i="121" s="1"/>
  <c r="S35" i="121"/>
  <c r="O35" i="121"/>
  <c r="Q35" i="121" s="1"/>
  <c r="M16" i="121"/>
  <c r="S16" i="121" s="1"/>
  <c r="M21" i="121"/>
  <c r="S41" i="121"/>
  <c r="O41" i="121"/>
  <c r="Q41" i="121" s="1"/>
  <c r="S46" i="121"/>
  <c r="O46" i="121"/>
  <c r="Q46" i="121" s="1"/>
  <c r="S50" i="121"/>
  <c r="O50" i="121"/>
  <c r="Q50" i="121" s="1"/>
  <c r="S48" i="121"/>
  <c r="O48" i="121"/>
  <c r="Q48" i="121" s="1"/>
  <c r="M14" i="121"/>
  <c r="S14" i="121" s="1"/>
  <c r="M15" i="121"/>
  <c r="M18" i="121"/>
  <c r="S18" i="121" s="1"/>
  <c r="M27" i="121"/>
  <c r="S39" i="121"/>
  <c r="O39" i="121"/>
  <c r="Q39" i="121" s="1"/>
  <c r="K6" i="121"/>
  <c r="K4" i="121" s="1"/>
  <c r="M34" i="121"/>
  <c r="S34" i="121" s="1"/>
  <c r="M36" i="121"/>
  <c r="S36" i="121" s="1"/>
  <c r="M38" i="121"/>
  <c r="S38" i="121" s="1"/>
  <c r="M40" i="121"/>
  <c r="S40" i="121" s="1"/>
  <c r="O42" i="121"/>
  <c r="Q42" i="121" s="1"/>
  <c r="M45" i="121"/>
  <c r="S45" i="121" s="1"/>
  <c r="M47" i="121"/>
  <c r="S47" i="121" s="1"/>
  <c r="M49" i="121"/>
  <c r="S49" i="121" s="1"/>
  <c r="M33" i="121"/>
  <c r="M44" i="121"/>
  <c r="O10" i="121" l="1"/>
  <c r="Q10" i="121" s="1"/>
  <c r="O45" i="121"/>
  <c r="Q45" i="121" s="1"/>
  <c r="O23" i="121"/>
  <c r="Q23" i="121" s="1"/>
  <c r="P39" i="93"/>
  <c r="P33" i="93"/>
  <c r="S27" i="121"/>
  <c r="S15" i="121"/>
  <c r="O15" i="121"/>
  <c r="Q15" i="121" s="1"/>
  <c r="S21" i="121"/>
  <c r="O21" i="121"/>
  <c r="Q21" i="121" s="1"/>
  <c r="O27" i="121"/>
  <c r="Q27" i="121" s="1"/>
  <c r="Q8" i="121"/>
  <c r="O36" i="121"/>
  <c r="Q36" i="121" s="1"/>
  <c r="O34" i="121"/>
  <c r="Q34" i="121" s="1"/>
  <c r="O47" i="121"/>
  <c r="Q47" i="121" s="1"/>
  <c r="O16" i="121"/>
  <c r="Q16" i="121" s="1"/>
  <c r="S44" i="121"/>
  <c r="O44" i="121"/>
  <c r="Q44" i="121" s="1"/>
  <c r="O33" i="121"/>
  <c r="Q33" i="121" s="1"/>
  <c r="S33" i="121"/>
  <c r="O38" i="121"/>
  <c r="Q38" i="121" s="1"/>
  <c r="O18" i="121"/>
  <c r="Q18" i="121" s="1"/>
  <c r="O14" i="121"/>
  <c r="Q14" i="121" s="1"/>
  <c r="O40" i="121"/>
  <c r="Q40" i="121" s="1"/>
  <c r="O49" i="121"/>
  <c r="Q49" i="121" s="1"/>
  <c r="O20" i="121"/>
  <c r="Q20" i="121" s="1"/>
  <c r="M6" i="121"/>
  <c r="M4" i="121" s="1"/>
  <c r="O4" i="121" s="1"/>
  <c r="S8" i="121"/>
  <c r="O12" i="121"/>
  <c r="Q12" i="121" s="1"/>
  <c r="O6" i="121" l="1"/>
  <c r="S6" i="121"/>
  <c r="Q6" i="121"/>
  <c r="G45" i="85" l="1"/>
  <c r="D362" i="130" l="1"/>
  <c r="E362" i="130" s="1"/>
  <c r="D210" i="92"/>
  <c r="C155" i="130" l="1"/>
  <c r="E155" i="130" s="1"/>
  <c r="C339" i="130"/>
  <c r="E339" i="130" s="1"/>
  <c r="G68" i="85"/>
  <c r="G65" i="85"/>
  <c r="D211" i="130" l="1"/>
  <c r="E211" i="130" s="1"/>
  <c r="G208" i="129"/>
  <c r="H208" i="129" s="1"/>
  <c r="D212" i="130"/>
  <c r="E212" i="130" s="1"/>
  <c r="D326" i="130"/>
  <c r="E326" i="130" s="1"/>
  <c r="G321" i="129"/>
  <c r="H321" i="129" s="1"/>
  <c r="G209" i="129"/>
  <c r="H209" i="129" s="1"/>
  <c r="E17" i="115"/>
  <c r="E15" i="115"/>
  <c r="F711" i="91"/>
  <c r="E295" i="92"/>
  <c r="G58" i="94" s="1"/>
  <c r="K58" i="127" l="1"/>
  <c r="M58" i="127"/>
  <c r="G45" i="6"/>
  <c r="E6" i="130"/>
  <c r="D5" i="130" s="1"/>
  <c r="E33" i="93"/>
  <c r="E39" i="93"/>
  <c r="O39" i="93"/>
  <c r="E210" i="31"/>
  <c r="E661" i="91"/>
  <c r="E666" i="91" s="1"/>
  <c r="D13" i="115" l="1"/>
  <c r="D570" i="107" l="1"/>
  <c r="E570" i="107"/>
  <c r="E556" i="107" l="1"/>
  <c r="D556" i="107"/>
  <c r="E544" i="107"/>
  <c r="D544" i="107"/>
  <c r="D944" i="91" l="1"/>
  <c r="D360" i="92" s="1"/>
  <c r="F812" i="91"/>
  <c r="E812" i="91"/>
  <c r="C103" i="14" l="1"/>
  <c r="H885" i="107"/>
  <c r="H884" i="107"/>
  <c r="E886" i="107"/>
  <c r="F886" i="107"/>
  <c r="G886" i="107"/>
  <c r="D886" i="107"/>
  <c r="H886" i="107" l="1"/>
  <c r="R28" i="93" l="1"/>
  <c r="H28" i="93"/>
  <c r="E574" i="91"/>
  <c r="E560" i="91"/>
  <c r="H43" i="91"/>
  <c r="H90" i="91" s="1"/>
  <c r="F43" i="91"/>
  <c r="F90" i="91" s="1"/>
  <c r="O9" i="82" l="1"/>
  <c r="O8" i="82"/>
  <c r="N9" i="82"/>
  <c r="N8" i="82"/>
  <c r="F8" i="82"/>
  <c r="E9" i="82"/>
  <c r="E8" i="82"/>
  <c r="E166" i="6"/>
  <c r="C168" i="6"/>
  <c r="C167" i="6"/>
  <c r="C166" i="6"/>
  <c r="C165" i="6"/>
  <c r="C10" i="94"/>
  <c r="C13" i="106"/>
  <c r="R283" i="81"/>
  <c r="R284" i="81"/>
  <c r="R285" i="81"/>
  <c r="R286" i="81"/>
  <c r="R287" i="81"/>
  <c r="R288" i="81"/>
  <c r="R289" i="81"/>
  <c r="R290" i="81"/>
  <c r="R291" i="81"/>
  <c r="R292" i="81"/>
  <c r="R293" i="81"/>
  <c r="R294" i="81"/>
  <c r="R295" i="81"/>
  <c r="R296" i="81"/>
  <c r="R297" i="81"/>
  <c r="R298" i="81"/>
  <c r="S283" i="81"/>
  <c r="S284" i="81"/>
  <c r="S285" i="81"/>
  <c r="S286" i="81"/>
  <c r="S287" i="81"/>
  <c r="S288" i="81"/>
  <c r="S289" i="81"/>
  <c r="S290" i="81"/>
  <c r="S291" i="81"/>
  <c r="S292" i="81"/>
  <c r="S293" i="81"/>
  <c r="S294" i="81"/>
  <c r="S295" i="81"/>
  <c r="S296" i="81"/>
  <c r="S297" i="81"/>
  <c r="S298" i="81"/>
  <c r="T283" i="81"/>
  <c r="T284" i="81"/>
  <c r="T285" i="81"/>
  <c r="T286" i="81"/>
  <c r="T287" i="81"/>
  <c r="T288" i="81"/>
  <c r="T289" i="81"/>
  <c r="T290" i="81"/>
  <c r="T291" i="81"/>
  <c r="T292" i="81"/>
  <c r="T293" i="81"/>
  <c r="T294" i="81"/>
  <c r="T295" i="81"/>
  <c r="T296" i="81"/>
  <c r="T297" i="81"/>
  <c r="T298" i="81"/>
  <c r="W283" i="81"/>
  <c r="W284" i="81"/>
  <c r="W285" i="81"/>
  <c r="W286" i="81"/>
  <c r="W287" i="81"/>
  <c r="W288" i="81"/>
  <c r="W289" i="81"/>
  <c r="W290" i="81"/>
  <c r="W291" i="81"/>
  <c r="W292" i="81"/>
  <c r="W293" i="81"/>
  <c r="W294" i="81"/>
  <c r="W295" i="81"/>
  <c r="W296" i="81"/>
  <c r="W297" i="81"/>
  <c r="W298" i="81"/>
  <c r="H12" i="81"/>
  <c r="H13" i="81"/>
  <c r="H14" i="81"/>
  <c r="H15" i="81"/>
  <c r="H16" i="81"/>
  <c r="H17" i="81"/>
  <c r="H18" i="81"/>
  <c r="H19" i="81"/>
  <c r="H20" i="81"/>
  <c r="H21" i="81"/>
  <c r="H22" i="81"/>
  <c r="H23" i="81"/>
  <c r="H24" i="81"/>
  <c r="H25" i="81"/>
  <c r="H26" i="81"/>
  <c r="H27" i="81"/>
  <c r="H28" i="81"/>
  <c r="H29" i="81"/>
  <c r="H30" i="81"/>
  <c r="H31" i="81"/>
  <c r="H32" i="81"/>
  <c r="H33" i="81"/>
  <c r="H34" i="81"/>
  <c r="H35" i="81"/>
  <c r="H36" i="81"/>
  <c r="H37" i="81"/>
  <c r="H38" i="81"/>
  <c r="H39" i="81"/>
  <c r="H40" i="81"/>
  <c r="H41" i="81"/>
  <c r="H42" i="81"/>
  <c r="H43" i="81"/>
  <c r="H44" i="81"/>
  <c r="H45" i="81"/>
  <c r="H46" i="81"/>
  <c r="H47" i="81"/>
  <c r="H48" i="81"/>
  <c r="H49" i="81"/>
  <c r="H50" i="81"/>
  <c r="H51" i="81"/>
  <c r="H52" i="81"/>
  <c r="H53" i="81"/>
  <c r="H54" i="81"/>
  <c r="H55" i="81"/>
  <c r="H56" i="81"/>
  <c r="H57" i="81"/>
  <c r="H58" i="81"/>
  <c r="H59" i="81"/>
  <c r="H60" i="81"/>
  <c r="H61" i="81"/>
  <c r="H62" i="81"/>
  <c r="H63" i="81"/>
  <c r="H64" i="81"/>
  <c r="H65" i="81"/>
  <c r="H66" i="81"/>
  <c r="H67" i="81"/>
  <c r="H68" i="81"/>
  <c r="H69" i="81"/>
  <c r="H70" i="81"/>
  <c r="H83" i="81"/>
  <c r="I83" i="81" s="1"/>
  <c r="H84" i="81"/>
  <c r="H85" i="81"/>
  <c r="H86" i="81"/>
  <c r="H87" i="81"/>
  <c r="H88" i="81"/>
  <c r="H89" i="81"/>
  <c r="H90" i="81"/>
  <c r="H91" i="81"/>
  <c r="H92" i="81"/>
  <c r="H93" i="81"/>
  <c r="H94" i="81"/>
  <c r="H95" i="81"/>
  <c r="H96" i="81"/>
  <c r="H97" i="81"/>
  <c r="H98" i="81"/>
  <c r="H99" i="81"/>
  <c r="H100" i="81"/>
  <c r="H101" i="81"/>
  <c r="H102" i="81"/>
  <c r="H103" i="81"/>
  <c r="H104" i="81"/>
  <c r="H105" i="81"/>
  <c r="H106" i="81"/>
  <c r="H107" i="81"/>
  <c r="H108" i="81"/>
  <c r="H109" i="81"/>
  <c r="H110" i="81"/>
  <c r="H111" i="81"/>
  <c r="H112" i="81"/>
  <c r="H113" i="81"/>
  <c r="H114" i="81"/>
  <c r="H115" i="81"/>
  <c r="H116" i="81"/>
  <c r="H117" i="81"/>
  <c r="H118" i="81"/>
  <c r="H119" i="81"/>
  <c r="H120" i="81"/>
  <c r="H121" i="81"/>
  <c r="H122" i="81"/>
  <c r="H123" i="81"/>
  <c r="H124" i="81"/>
  <c r="H125" i="81"/>
  <c r="H126" i="81"/>
  <c r="H127" i="81"/>
  <c r="H128" i="81"/>
  <c r="H129" i="81"/>
  <c r="H130" i="81"/>
  <c r="H131" i="81"/>
  <c r="H132" i="81"/>
  <c r="H133" i="81"/>
  <c r="H134" i="81"/>
  <c r="H135" i="81"/>
  <c r="H136" i="81"/>
  <c r="H137" i="81"/>
  <c r="H138" i="81"/>
  <c r="H139" i="81"/>
  <c r="H140" i="81"/>
  <c r="H141" i="81"/>
  <c r="H142" i="81"/>
  <c r="H143" i="81"/>
  <c r="H144" i="81"/>
  <c r="H145" i="81"/>
  <c r="H146" i="81"/>
  <c r="H147" i="81"/>
  <c r="H148" i="81"/>
  <c r="H149" i="81"/>
  <c r="H150" i="81"/>
  <c r="H151" i="81"/>
  <c r="H152" i="81"/>
  <c r="H153" i="81"/>
  <c r="H154" i="81"/>
  <c r="H155" i="81"/>
  <c r="H156" i="81"/>
  <c r="H157" i="81"/>
  <c r="H158" i="81"/>
  <c r="H159" i="81"/>
  <c r="H160" i="81"/>
  <c r="H161" i="81"/>
  <c r="H162" i="81"/>
  <c r="H163" i="81"/>
  <c r="H164" i="81"/>
  <c r="H165" i="81"/>
  <c r="H166" i="81"/>
  <c r="H167" i="81"/>
  <c r="H168" i="81"/>
  <c r="H169" i="81"/>
  <c r="H170" i="81"/>
  <c r="H172" i="81"/>
  <c r="H173" i="81"/>
  <c r="H174" i="81"/>
  <c r="H175" i="81"/>
  <c r="H176" i="81"/>
  <c r="H177" i="81"/>
  <c r="H178" i="81"/>
  <c r="H179" i="81"/>
  <c r="H180" i="81"/>
  <c r="H181" i="81"/>
  <c r="H182" i="81"/>
  <c r="H183" i="81"/>
  <c r="H184" i="81"/>
  <c r="H185" i="81"/>
  <c r="H186" i="81"/>
  <c r="H187" i="81"/>
  <c r="H188" i="81"/>
  <c r="H189" i="81"/>
  <c r="H190" i="81"/>
  <c r="H191" i="81"/>
  <c r="H192" i="81"/>
  <c r="H193" i="81"/>
  <c r="H194" i="81"/>
  <c r="H195" i="81"/>
  <c r="H196" i="81"/>
  <c r="H197" i="81"/>
  <c r="H198" i="81"/>
  <c r="H199" i="81"/>
  <c r="H200" i="81"/>
  <c r="H201" i="81"/>
  <c r="H202" i="81"/>
  <c r="H203" i="81"/>
  <c r="H204" i="81"/>
  <c r="H205" i="81"/>
  <c r="I205" i="81" s="1"/>
  <c r="H206" i="81"/>
  <c r="I206" i="81" s="1"/>
  <c r="H207" i="81"/>
  <c r="H208" i="81"/>
  <c r="H209" i="81"/>
  <c r="I209" i="81" s="1"/>
  <c r="H210" i="81"/>
  <c r="H211" i="81"/>
  <c r="H212" i="81"/>
  <c r="H213" i="81"/>
  <c r="I213" i="81" s="1"/>
  <c r="H214" i="81"/>
  <c r="H215" i="81"/>
  <c r="I215" i="81" s="1"/>
  <c r="H216" i="81"/>
  <c r="H217" i="81"/>
  <c r="H218" i="81"/>
  <c r="H219" i="81"/>
  <c r="H220" i="81"/>
  <c r="H221" i="81"/>
  <c r="I221" i="81" s="1"/>
  <c r="H222" i="81"/>
  <c r="H223" i="81"/>
  <c r="H224" i="81"/>
  <c r="H225" i="81"/>
  <c r="H226" i="81"/>
  <c r="H227" i="81"/>
  <c r="H228" i="81"/>
  <c r="H229" i="81"/>
  <c r="I229" i="81" s="1"/>
  <c r="H230" i="81"/>
  <c r="H231" i="81"/>
  <c r="H232" i="81"/>
  <c r="H233" i="81"/>
  <c r="H234" i="81"/>
  <c r="H235" i="81"/>
  <c r="H236" i="81"/>
  <c r="H237" i="81"/>
  <c r="H238" i="81"/>
  <c r="H239" i="81"/>
  <c r="H240" i="81"/>
  <c r="H241" i="81"/>
  <c r="H242" i="81"/>
  <c r="H243" i="81"/>
  <c r="H244" i="81"/>
  <c r="H245" i="81"/>
  <c r="H246" i="81"/>
  <c r="H247" i="81"/>
  <c r="H248" i="81"/>
  <c r="H249" i="81"/>
  <c r="H250" i="81"/>
  <c r="H251" i="81"/>
  <c r="H252" i="81"/>
  <c r="H253" i="81"/>
  <c r="H254" i="81"/>
  <c r="H255" i="81"/>
  <c r="H256" i="81"/>
  <c r="H257" i="81"/>
  <c r="H258" i="81"/>
  <c r="H259" i="81"/>
  <c r="H260" i="81"/>
  <c r="H261" i="81"/>
  <c r="H262" i="81"/>
  <c r="H263" i="81"/>
  <c r="H264" i="81"/>
  <c r="H265" i="81"/>
  <c r="H266" i="81"/>
  <c r="H267" i="81"/>
  <c r="H268" i="81"/>
  <c r="H269" i="81"/>
  <c r="H270" i="81"/>
  <c r="H271" i="81"/>
  <c r="H272" i="81"/>
  <c r="H273" i="81"/>
  <c r="H274" i="81"/>
  <c r="H275" i="81"/>
  <c r="H276" i="81"/>
  <c r="H277" i="81"/>
  <c r="H278" i="81"/>
  <c r="H279" i="81"/>
  <c r="H280" i="81"/>
  <c r="H281" i="81"/>
  <c r="H282" i="81"/>
  <c r="H283" i="81"/>
  <c r="H284" i="81"/>
  <c r="H285" i="81"/>
  <c r="H286" i="81"/>
  <c r="H287" i="81"/>
  <c r="H288" i="81"/>
  <c r="H289" i="81"/>
  <c r="H290" i="81"/>
  <c r="H291" i="81"/>
  <c r="H292" i="81"/>
  <c r="H293" i="81"/>
  <c r="H294" i="81"/>
  <c r="H295" i="81"/>
  <c r="H296" i="81"/>
  <c r="H297" i="81"/>
  <c r="H298" i="81"/>
  <c r="R281" i="81"/>
  <c r="R282" i="81"/>
  <c r="S281" i="81"/>
  <c r="S282" i="81"/>
  <c r="T281" i="81"/>
  <c r="T282" i="81"/>
  <c r="W281" i="81"/>
  <c r="W282" i="81"/>
  <c r="R11" i="81"/>
  <c r="S11" i="81"/>
  <c r="T11" i="81"/>
  <c r="W11" i="81"/>
  <c r="R12" i="81"/>
  <c r="S12" i="81"/>
  <c r="T12" i="81"/>
  <c r="W12" i="81"/>
  <c r="R13" i="81"/>
  <c r="S13" i="81"/>
  <c r="T13" i="81"/>
  <c r="W13" i="81"/>
  <c r="R14" i="81"/>
  <c r="S14" i="81"/>
  <c r="T14" i="81"/>
  <c r="W14" i="81"/>
  <c r="R15" i="81"/>
  <c r="S15" i="81"/>
  <c r="T15" i="81"/>
  <c r="W15" i="81"/>
  <c r="R16" i="81"/>
  <c r="S16" i="81"/>
  <c r="T16" i="81"/>
  <c r="W16" i="81"/>
  <c r="R17" i="81"/>
  <c r="S17" i="81"/>
  <c r="T17" i="81"/>
  <c r="W17" i="81"/>
  <c r="R18" i="81"/>
  <c r="S18" i="81"/>
  <c r="T18" i="81"/>
  <c r="W18" i="81"/>
  <c r="R19" i="81"/>
  <c r="S19" i="81"/>
  <c r="T19" i="81"/>
  <c r="W19" i="81"/>
  <c r="R20" i="81"/>
  <c r="S20" i="81"/>
  <c r="T20" i="81"/>
  <c r="W20" i="81"/>
  <c r="R21" i="81"/>
  <c r="S21" i="81"/>
  <c r="T21" i="81"/>
  <c r="W21" i="81"/>
  <c r="R22" i="81"/>
  <c r="S22" i="81"/>
  <c r="T22" i="81"/>
  <c r="W22" i="81"/>
  <c r="R23" i="81"/>
  <c r="S23" i="81"/>
  <c r="T23" i="81"/>
  <c r="W23" i="81"/>
  <c r="R24" i="81"/>
  <c r="S24" i="81"/>
  <c r="T24" i="81"/>
  <c r="W24" i="81"/>
  <c r="R25" i="81"/>
  <c r="S25" i="81"/>
  <c r="T25" i="81"/>
  <c r="W25" i="81"/>
  <c r="R26" i="81"/>
  <c r="S26" i="81"/>
  <c r="T26" i="81"/>
  <c r="W26" i="81"/>
  <c r="R27" i="81"/>
  <c r="S27" i="81"/>
  <c r="T27" i="81"/>
  <c r="W27" i="81"/>
  <c r="R28" i="81"/>
  <c r="S28" i="81"/>
  <c r="T28" i="81"/>
  <c r="W28" i="81"/>
  <c r="R29" i="81"/>
  <c r="S29" i="81"/>
  <c r="T29" i="81"/>
  <c r="W29" i="81"/>
  <c r="R30" i="81"/>
  <c r="S30" i="81"/>
  <c r="T30" i="81"/>
  <c r="W30" i="81"/>
  <c r="R31" i="81"/>
  <c r="S31" i="81"/>
  <c r="T31" i="81"/>
  <c r="W31" i="81"/>
  <c r="R32" i="81"/>
  <c r="S32" i="81"/>
  <c r="T32" i="81"/>
  <c r="W32" i="81"/>
  <c r="R33" i="81"/>
  <c r="S33" i="81"/>
  <c r="T33" i="81"/>
  <c r="W33" i="81"/>
  <c r="R34" i="81"/>
  <c r="S34" i="81"/>
  <c r="T34" i="81"/>
  <c r="W34" i="81"/>
  <c r="R35" i="81"/>
  <c r="S35" i="81"/>
  <c r="T35" i="81"/>
  <c r="W35" i="81"/>
  <c r="R36" i="81"/>
  <c r="S36" i="81"/>
  <c r="T36" i="81"/>
  <c r="W36" i="81"/>
  <c r="R37" i="81"/>
  <c r="S37" i="81"/>
  <c r="T37" i="81"/>
  <c r="W37" i="81"/>
  <c r="R38" i="81"/>
  <c r="S38" i="81"/>
  <c r="T38" i="81"/>
  <c r="W38" i="81"/>
  <c r="R39" i="81"/>
  <c r="S39" i="81"/>
  <c r="T39" i="81"/>
  <c r="W39" i="81"/>
  <c r="R40" i="81"/>
  <c r="S40" i="81"/>
  <c r="T40" i="81"/>
  <c r="W40" i="81"/>
  <c r="R41" i="81"/>
  <c r="S41" i="81"/>
  <c r="T41" i="81"/>
  <c r="W41" i="81"/>
  <c r="R42" i="81"/>
  <c r="S42" i="81"/>
  <c r="T42" i="81"/>
  <c r="W42" i="81"/>
  <c r="R43" i="81"/>
  <c r="S43" i="81"/>
  <c r="T43" i="81"/>
  <c r="W43" i="81"/>
  <c r="R44" i="81"/>
  <c r="S44" i="81"/>
  <c r="T44" i="81"/>
  <c r="W44" i="81"/>
  <c r="R45" i="81"/>
  <c r="S45" i="81"/>
  <c r="T45" i="81"/>
  <c r="W45" i="81"/>
  <c r="R46" i="81"/>
  <c r="S46" i="81"/>
  <c r="T46" i="81"/>
  <c r="W46" i="81"/>
  <c r="R47" i="81"/>
  <c r="S47" i="81"/>
  <c r="T47" i="81"/>
  <c r="W47" i="81"/>
  <c r="R48" i="81"/>
  <c r="S48" i="81"/>
  <c r="T48" i="81"/>
  <c r="W48" i="81"/>
  <c r="R49" i="81"/>
  <c r="S49" i="81"/>
  <c r="T49" i="81"/>
  <c r="W49" i="81"/>
  <c r="R50" i="81"/>
  <c r="S50" i="81"/>
  <c r="T50" i="81"/>
  <c r="W50" i="81"/>
  <c r="R51" i="81"/>
  <c r="S51" i="81"/>
  <c r="T51" i="81"/>
  <c r="W51" i="81"/>
  <c r="R52" i="81"/>
  <c r="S52" i="81"/>
  <c r="T52" i="81"/>
  <c r="W52" i="81"/>
  <c r="R53" i="81"/>
  <c r="S53" i="81"/>
  <c r="T53" i="81"/>
  <c r="W53" i="81"/>
  <c r="R54" i="81"/>
  <c r="S54" i="81"/>
  <c r="T54" i="81"/>
  <c r="W54" i="81"/>
  <c r="R55" i="81"/>
  <c r="S55" i="81"/>
  <c r="T55" i="81"/>
  <c r="W55" i="81"/>
  <c r="R56" i="81"/>
  <c r="S56" i="81"/>
  <c r="T56" i="81"/>
  <c r="W56" i="81"/>
  <c r="R57" i="81"/>
  <c r="S57" i="81"/>
  <c r="T57" i="81"/>
  <c r="W57" i="81"/>
  <c r="R58" i="81"/>
  <c r="S58" i="81"/>
  <c r="T58" i="81"/>
  <c r="W58" i="81"/>
  <c r="R59" i="81"/>
  <c r="S59" i="81"/>
  <c r="T59" i="81"/>
  <c r="W59" i="81"/>
  <c r="R60" i="81"/>
  <c r="S60" i="81"/>
  <c r="T60" i="81"/>
  <c r="W60" i="81"/>
  <c r="R61" i="81"/>
  <c r="S61" i="81"/>
  <c r="T61" i="81"/>
  <c r="W61" i="81"/>
  <c r="R62" i="81"/>
  <c r="S62" i="81"/>
  <c r="T62" i="81"/>
  <c r="W62" i="81"/>
  <c r="R63" i="81"/>
  <c r="S63" i="81"/>
  <c r="T63" i="81"/>
  <c r="W63" i="81"/>
  <c r="R64" i="81"/>
  <c r="S64" i="81"/>
  <c r="T64" i="81"/>
  <c r="W64" i="81"/>
  <c r="R65" i="81"/>
  <c r="S65" i="81"/>
  <c r="T65" i="81"/>
  <c r="W65" i="81"/>
  <c r="R66" i="81"/>
  <c r="S66" i="81"/>
  <c r="T66" i="81"/>
  <c r="W66" i="81"/>
  <c r="R67" i="81"/>
  <c r="S67" i="81"/>
  <c r="T67" i="81"/>
  <c r="W67" i="81"/>
  <c r="R68" i="81"/>
  <c r="S68" i="81"/>
  <c r="T68" i="81"/>
  <c r="W68" i="81"/>
  <c r="R69" i="81"/>
  <c r="S69" i="81"/>
  <c r="T69" i="81"/>
  <c r="W69" i="81"/>
  <c r="R70" i="81"/>
  <c r="S70" i="81"/>
  <c r="T70" i="81"/>
  <c r="W70" i="81"/>
  <c r="W71" i="81"/>
  <c r="W72" i="81"/>
  <c r="W73" i="81"/>
  <c r="W74" i="81"/>
  <c r="W75" i="81"/>
  <c r="W76" i="81"/>
  <c r="W77" i="81"/>
  <c r="W78" i="81"/>
  <c r="W79" i="81"/>
  <c r="W80" i="81"/>
  <c r="W81" i="81"/>
  <c r="W82" i="81"/>
  <c r="R83" i="81"/>
  <c r="S83" i="81"/>
  <c r="T83" i="81"/>
  <c r="W83" i="81"/>
  <c r="R84" i="81"/>
  <c r="S84" i="81"/>
  <c r="T84" i="81"/>
  <c r="W84" i="81"/>
  <c r="R85" i="81"/>
  <c r="S85" i="81"/>
  <c r="T85" i="81"/>
  <c r="W85" i="81"/>
  <c r="R86" i="81"/>
  <c r="S86" i="81"/>
  <c r="T86" i="81"/>
  <c r="W86" i="81"/>
  <c r="R87" i="81"/>
  <c r="S87" i="81"/>
  <c r="T87" i="81"/>
  <c r="W87" i="81"/>
  <c r="R88" i="81"/>
  <c r="S88" i="81"/>
  <c r="T88" i="81"/>
  <c r="W88" i="81"/>
  <c r="R89" i="81"/>
  <c r="S89" i="81"/>
  <c r="T89" i="81"/>
  <c r="W89" i="81"/>
  <c r="R90" i="81"/>
  <c r="S90" i="81"/>
  <c r="T90" i="81"/>
  <c r="W90" i="81"/>
  <c r="R91" i="81"/>
  <c r="S91" i="81"/>
  <c r="T91" i="81"/>
  <c r="W91" i="81"/>
  <c r="R92" i="81"/>
  <c r="S92" i="81"/>
  <c r="T92" i="81"/>
  <c r="W92" i="81"/>
  <c r="R93" i="81"/>
  <c r="S93" i="81"/>
  <c r="T93" i="81"/>
  <c r="W93" i="81"/>
  <c r="R94" i="81"/>
  <c r="S94" i="81"/>
  <c r="T94" i="81"/>
  <c r="W94" i="81"/>
  <c r="R95" i="81"/>
  <c r="S95" i="81"/>
  <c r="T95" i="81"/>
  <c r="W95" i="81"/>
  <c r="R96" i="81"/>
  <c r="S96" i="81"/>
  <c r="T96" i="81"/>
  <c r="W96" i="81"/>
  <c r="R97" i="81"/>
  <c r="S97" i="81"/>
  <c r="T97" i="81"/>
  <c r="W97" i="81"/>
  <c r="R98" i="81"/>
  <c r="S98" i="81"/>
  <c r="T98" i="81"/>
  <c r="W98" i="81"/>
  <c r="R99" i="81"/>
  <c r="S99" i="81"/>
  <c r="T99" i="81"/>
  <c r="W99" i="81"/>
  <c r="R100" i="81"/>
  <c r="S100" i="81"/>
  <c r="T100" i="81"/>
  <c r="W100" i="81"/>
  <c r="R101" i="81"/>
  <c r="S101" i="81"/>
  <c r="T101" i="81"/>
  <c r="W101" i="81"/>
  <c r="R102" i="81"/>
  <c r="S102" i="81"/>
  <c r="T102" i="81"/>
  <c r="W102" i="81"/>
  <c r="R103" i="81"/>
  <c r="S103" i="81"/>
  <c r="T103" i="81"/>
  <c r="W103" i="81"/>
  <c r="R104" i="81"/>
  <c r="S104" i="81"/>
  <c r="T104" i="81"/>
  <c r="W104" i="81"/>
  <c r="R105" i="81"/>
  <c r="S105" i="81"/>
  <c r="T105" i="81"/>
  <c r="W105" i="81"/>
  <c r="R106" i="81"/>
  <c r="S106" i="81"/>
  <c r="T106" i="81"/>
  <c r="W106" i="81"/>
  <c r="R107" i="81"/>
  <c r="S107" i="81"/>
  <c r="T107" i="81"/>
  <c r="W107" i="81"/>
  <c r="R108" i="81"/>
  <c r="S108" i="81"/>
  <c r="T108" i="81"/>
  <c r="W108" i="81"/>
  <c r="R109" i="81"/>
  <c r="S109" i="81"/>
  <c r="T109" i="81"/>
  <c r="W109" i="81"/>
  <c r="R110" i="81"/>
  <c r="S110" i="81"/>
  <c r="T110" i="81"/>
  <c r="W110" i="81"/>
  <c r="R111" i="81"/>
  <c r="S111" i="81"/>
  <c r="T111" i="81"/>
  <c r="W111" i="81"/>
  <c r="R112" i="81"/>
  <c r="S112" i="81"/>
  <c r="T112" i="81"/>
  <c r="W112" i="81"/>
  <c r="R113" i="81"/>
  <c r="S113" i="81"/>
  <c r="T113" i="81"/>
  <c r="W113" i="81"/>
  <c r="R114" i="81"/>
  <c r="S114" i="81"/>
  <c r="T114" i="81"/>
  <c r="W114" i="81"/>
  <c r="R115" i="81"/>
  <c r="S115" i="81"/>
  <c r="T115" i="81"/>
  <c r="W115" i="81"/>
  <c r="R116" i="81"/>
  <c r="S116" i="81"/>
  <c r="T116" i="81"/>
  <c r="W116" i="81"/>
  <c r="R117" i="81"/>
  <c r="S117" i="81"/>
  <c r="T117" i="81"/>
  <c r="W117" i="81"/>
  <c r="R118" i="81"/>
  <c r="S118" i="81"/>
  <c r="T118" i="81"/>
  <c r="W118" i="81"/>
  <c r="R119" i="81"/>
  <c r="S119" i="81"/>
  <c r="T119" i="81"/>
  <c r="W119" i="81"/>
  <c r="R120" i="81"/>
  <c r="S120" i="81"/>
  <c r="T120" i="81"/>
  <c r="W120" i="81"/>
  <c r="R121" i="81"/>
  <c r="S121" i="81"/>
  <c r="T121" i="81"/>
  <c r="W121" i="81"/>
  <c r="R122" i="81"/>
  <c r="S122" i="81"/>
  <c r="T122" i="81"/>
  <c r="W122" i="81"/>
  <c r="R123" i="81"/>
  <c r="S123" i="81"/>
  <c r="T123" i="81"/>
  <c r="W123" i="81"/>
  <c r="R124" i="81"/>
  <c r="S124" i="81"/>
  <c r="T124" i="81"/>
  <c r="W124" i="81"/>
  <c r="R125" i="81"/>
  <c r="S125" i="81"/>
  <c r="T125" i="81"/>
  <c r="W125" i="81"/>
  <c r="R126" i="81"/>
  <c r="S126" i="81"/>
  <c r="T126" i="81"/>
  <c r="W126" i="81"/>
  <c r="R127" i="81"/>
  <c r="W127" i="81"/>
  <c r="R128" i="81"/>
  <c r="W128" i="81"/>
  <c r="R129" i="81"/>
  <c r="W129" i="81"/>
  <c r="R130" i="81"/>
  <c r="W130" i="81"/>
  <c r="R131" i="81"/>
  <c r="W131" i="81"/>
  <c r="R132" i="81"/>
  <c r="W132" i="81"/>
  <c r="R133" i="81"/>
  <c r="W133" i="81"/>
  <c r="R134" i="81"/>
  <c r="S134" i="81"/>
  <c r="T134" i="81"/>
  <c r="W134" i="81"/>
  <c r="R135" i="81"/>
  <c r="W135" i="81"/>
  <c r="R136" i="81"/>
  <c r="W136" i="81"/>
  <c r="R137" i="81"/>
  <c r="W137" i="81"/>
  <c r="R138" i="81"/>
  <c r="T138" i="81"/>
  <c r="W138" i="81"/>
  <c r="R139" i="81"/>
  <c r="S139" i="81"/>
  <c r="T139" i="81"/>
  <c r="W139" i="81"/>
  <c r="R140" i="81"/>
  <c r="S140" i="81"/>
  <c r="T140" i="81"/>
  <c r="W140" i="81"/>
  <c r="R141" i="81"/>
  <c r="S141" i="81"/>
  <c r="T141" i="81"/>
  <c r="W141" i="81"/>
  <c r="R142" i="81"/>
  <c r="S142" i="81"/>
  <c r="T142" i="81"/>
  <c r="W142" i="81"/>
  <c r="R143" i="81"/>
  <c r="S143" i="81"/>
  <c r="T143" i="81"/>
  <c r="W143" i="81"/>
  <c r="R144" i="81"/>
  <c r="S144" i="81"/>
  <c r="T144" i="81"/>
  <c r="W144" i="81"/>
  <c r="R145" i="81"/>
  <c r="S145" i="81"/>
  <c r="T145" i="81"/>
  <c r="W145" i="81"/>
  <c r="R146" i="81"/>
  <c r="S146" i="81"/>
  <c r="T146" i="81"/>
  <c r="W146" i="81"/>
  <c r="R147" i="81"/>
  <c r="S147" i="81"/>
  <c r="T147" i="81"/>
  <c r="W147" i="81"/>
  <c r="R148" i="81"/>
  <c r="S148" i="81"/>
  <c r="T148" i="81"/>
  <c r="W148" i="81"/>
  <c r="R149" i="81"/>
  <c r="S149" i="81"/>
  <c r="T149" i="81"/>
  <c r="W149" i="81"/>
  <c r="R150" i="81"/>
  <c r="S150" i="81"/>
  <c r="T150" i="81"/>
  <c r="W150" i="81"/>
  <c r="R151" i="81"/>
  <c r="S151" i="81"/>
  <c r="T151" i="81"/>
  <c r="W151" i="81"/>
  <c r="R152" i="81"/>
  <c r="S152" i="81"/>
  <c r="T152" i="81"/>
  <c r="W152" i="81"/>
  <c r="R153" i="81"/>
  <c r="S153" i="81"/>
  <c r="T153" i="81"/>
  <c r="W153" i="81"/>
  <c r="R154" i="81"/>
  <c r="S154" i="81"/>
  <c r="T154" i="81"/>
  <c r="W154" i="81"/>
  <c r="R155" i="81"/>
  <c r="S155" i="81"/>
  <c r="T155" i="81"/>
  <c r="W155" i="81"/>
  <c r="R156" i="81"/>
  <c r="S156" i="81"/>
  <c r="T156" i="81"/>
  <c r="W156" i="81"/>
  <c r="R157" i="81"/>
  <c r="S157" i="81"/>
  <c r="T157" i="81"/>
  <c r="W157" i="81"/>
  <c r="R158" i="81"/>
  <c r="S158" i="81"/>
  <c r="T158" i="81"/>
  <c r="W158" i="81"/>
  <c r="R159" i="81"/>
  <c r="S159" i="81"/>
  <c r="T159" i="81"/>
  <c r="W159" i="81"/>
  <c r="R160" i="81"/>
  <c r="S160" i="81"/>
  <c r="T160" i="81"/>
  <c r="W160" i="81"/>
  <c r="R161" i="81"/>
  <c r="S161" i="81"/>
  <c r="T161" i="81"/>
  <c r="W161" i="81"/>
  <c r="R162" i="81"/>
  <c r="S162" i="81"/>
  <c r="T162" i="81"/>
  <c r="W162" i="81"/>
  <c r="R163" i="81"/>
  <c r="S163" i="81"/>
  <c r="T163" i="81"/>
  <c r="W163" i="81"/>
  <c r="R164" i="81"/>
  <c r="S164" i="81"/>
  <c r="T164" i="81"/>
  <c r="W164" i="81"/>
  <c r="R165" i="81"/>
  <c r="S165" i="81"/>
  <c r="T165" i="81"/>
  <c r="W165" i="81"/>
  <c r="R166" i="81"/>
  <c r="S166" i="81"/>
  <c r="T166" i="81"/>
  <c r="W166" i="81"/>
  <c r="R167" i="81"/>
  <c r="S167" i="81"/>
  <c r="T167" i="81"/>
  <c r="W167" i="81"/>
  <c r="R168" i="81"/>
  <c r="S168" i="81"/>
  <c r="T168" i="81"/>
  <c r="W168" i="81"/>
  <c r="R169" i="81"/>
  <c r="S169" i="81"/>
  <c r="T169" i="81"/>
  <c r="W169" i="81"/>
  <c r="R170" i="81"/>
  <c r="S170" i="81"/>
  <c r="T170" i="81"/>
  <c r="W170" i="81"/>
  <c r="R171" i="81"/>
  <c r="S171" i="81"/>
  <c r="T171" i="81"/>
  <c r="W171" i="81"/>
  <c r="R172" i="81"/>
  <c r="S172" i="81"/>
  <c r="T172" i="81"/>
  <c r="W172" i="81"/>
  <c r="R173" i="81"/>
  <c r="S173" i="81"/>
  <c r="T173" i="81"/>
  <c r="W173" i="81"/>
  <c r="R174" i="81"/>
  <c r="S174" i="81"/>
  <c r="T174" i="81"/>
  <c r="W174" i="81"/>
  <c r="R175" i="81"/>
  <c r="S175" i="81"/>
  <c r="T175" i="81"/>
  <c r="W175" i="81"/>
  <c r="R176" i="81"/>
  <c r="S176" i="81"/>
  <c r="T176" i="81"/>
  <c r="W176" i="81"/>
  <c r="R177" i="81"/>
  <c r="S177" i="81"/>
  <c r="T177" i="81"/>
  <c r="W177" i="81"/>
  <c r="R178" i="81"/>
  <c r="S178" i="81"/>
  <c r="T178" i="81"/>
  <c r="W178" i="81"/>
  <c r="R179" i="81"/>
  <c r="S179" i="81"/>
  <c r="T179" i="81"/>
  <c r="W179" i="81"/>
  <c r="R180" i="81"/>
  <c r="S180" i="81"/>
  <c r="T180" i="81"/>
  <c r="W180" i="81"/>
  <c r="R181" i="81"/>
  <c r="S181" i="81"/>
  <c r="T181" i="81"/>
  <c r="W181" i="81"/>
  <c r="R182" i="81"/>
  <c r="S182" i="81"/>
  <c r="T182" i="81"/>
  <c r="W182" i="81"/>
  <c r="R183" i="81"/>
  <c r="S183" i="81"/>
  <c r="T183" i="81"/>
  <c r="W183" i="81"/>
  <c r="R184" i="81"/>
  <c r="S184" i="81"/>
  <c r="T184" i="81"/>
  <c r="W184" i="81"/>
  <c r="R185" i="81"/>
  <c r="S185" i="81"/>
  <c r="T185" i="81"/>
  <c r="W185" i="81"/>
  <c r="R186" i="81"/>
  <c r="S186" i="81"/>
  <c r="T186" i="81"/>
  <c r="W186" i="81"/>
  <c r="R187" i="81"/>
  <c r="S187" i="81"/>
  <c r="T187" i="81"/>
  <c r="W187" i="81"/>
  <c r="R188" i="81"/>
  <c r="S188" i="81"/>
  <c r="T188" i="81"/>
  <c r="W188" i="81"/>
  <c r="R189" i="81"/>
  <c r="S189" i="81"/>
  <c r="T189" i="81"/>
  <c r="W189" i="81"/>
  <c r="R190" i="81"/>
  <c r="S190" i="81"/>
  <c r="T190" i="81"/>
  <c r="W190" i="81"/>
  <c r="R191" i="81"/>
  <c r="S191" i="81"/>
  <c r="T191" i="81"/>
  <c r="W191" i="81"/>
  <c r="R192" i="81"/>
  <c r="S192" i="81"/>
  <c r="T192" i="81"/>
  <c r="W192" i="81"/>
  <c r="R193" i="81"/>
  <c r="S193" i="81"/>
  <c r="T193" i="81"/>
  <c r="W193" i="81"/>
  <c r="R194" i="81"/>
  <c r="S194" i="81"/>
  <c r="T194" i="81"/>
  <c r="W194" i="81"/>
  <c r="R195" i="81"/>
  <c r="S195" i="81"/>
  <c r="T195" i="81"/>
  <c r="W195" i="81"/>
  <c r="R196" i="81"/>
  <c r="S196" i="81"/>
  <c r="T196" i="81"/>
  <c r="W196" i="81"/>
  <c r="R197" i="81"/>
  <c r="S197" i="81"/>
  <c r="T197" i="81"/>
  <c r="W197" i="81"/>
  <c r="R198" i="81"/>
  <c r="S198" i="81"/>
  <c r="T198" i="81"/>
  <c r="W198" i="81"/>
  <c r="R199" i="81"/>
  <c r="S199" i="81"/>
  <c r="T199" i="81"/>
  <c r="W199" i="81"/>
  <c r="R200" i="81"/>
  <c r="S200" i="81"/>
  <c r="T200" i="81"/>
  <c r="W200" i="81"/>
  <c r="R201" i="81"/>
  <c r="S201" i="81"/>
  <c r="T201" i="81"/>
  <c r="W201" i="81"/>
  <c r="R202" i="81"/>
  <c r="S202" i="81"/>
  <c r="T202" i="81"/>
  <c r="W202" i="81"/>
  <c r="R203" i="81"/>
  <c r="S203" i="81"/>
  <c r="T203" i="81"/>
  <c r="W203" i="81"/>
  <c r="R204" i="81"/>
  <c r="S204" i="81"/>
  <c r="T204" i="81"/>
  <c r="W204" i="81"/>
  <c r="R205" i="81"/>
  <c r="S205" i="81"/>
  <c r="T205" i="81"/>
  <c r="W205" i="81"/>
  <c r="R206" i="81"/>
  <c r="S206" i="81"/>
  <c r="T206" i="81"/>
  <c r="W206" i="81"/>
  <c r="R207" i="81"/>
  <c r="S207" i="81"/>
  <c r="T207" i="81"/>
  <c r="W207" i="81"/>
  <c r="R208" i="81"/>
  <c r="S208" i="81"/>
  <c r="T208" i="81"/>
  <c r="W208" i="81"/>
  <c r="R209" i="81"/>
  <c r="S209" i="81"/>
  <c r="T209" i="81"/>
  <c r="W209" i="81"/>
  <c r="R210" i="81"/>
  <c r="S210" i="81"/>
  <c r="T210" i="81"/>
  <c r="W210" i="81"/>
  <c r="R211" i="81"/>
  <c r="S211" i="81"/>
  <c r="T211" i="81"/>
  <c r="W211" i="81"/>
  <c r="R212" i="81"/>
  <c r="S212" i="81"/>
  <c r="T212" i="81"/>
  <c r="W212" i="81"/>
  <c r="R213" i="81"/>
  <c r="S213" i="81"/>
  <c r="T213" i="81"/>
  <c r="W213" i="81"/>
  <c r="R214" i="81"/>
  <c r="S214" i="81"/>
  <c r="T214" i="81"/>
  <c r="W214" i="81"/>
  <c r="R215" i="81"/>
  <c r="S215" i="81"/>
  <c r="T215" i="81"/>
  <c r="W215" i="81"/>
  <c r="R216" i="81"/>
  <c r="S216" i="81"/>
  <c r="T216" i="81"/>
  <c r="W216" i="81"/>
  <c r="R217" i="81"/>
  <c r="S217" i="81"/>
  <c r="T217" i="81"/>
  <c r="W217" i="81"/>
  <c r="R218" i="81"/>
  <c r="S218" i="81"/>
  <c r="T218" i="81"/>
  <c r="W218" i="81"/>
  <c r="R219" i="81"/>
  <c r="S219" i="81"/>
  <c r="T219" i="81"/>
  <c r="W219" i="81"/>
  <c r="R220" i="81"/>
  <c r="S220" i="81"/>
  <c r="T220" i="81"/>
  <c r="W220" i="81"/>
  <c r="R221" i="81"/>
  <c r="S221" i="81"/>
  <c r="T221" i="81"/>
  <c r="W221" i="81"/>
  <c r="R222" i="81"/>
  <c r="S222" i="81"/>
  <c r="T222" i="81"/>
  <c r="W222" i="81"/>
  <c r="R223" i="81"/>
  <c r="S223" i="81"/>
  <c r="T223" i="81"/>
  <c r="W223" i="81"/>
  <c r="R224" i="81"/>
  <c r="S224" i="81"/>
  <c r="T224" i="81"/>
  <c r="W224" i="81"/>
  <c r="R225" i="81"/>
  <c r="S225" i="81"/>
  <c r="T225" i="81"/>
  <c r="W225" i="81"/>
  <c r="R226" i="81"/>
  <c r="S226" i="81"/>
  <c r="T226" i="81"/>
  <c r="W226" i="81"/>
  <c r="R227" i="81"/>
  <c r="S227" i="81"/>
  <c r="T227" i="81"/>
  <c r="W227" i="81"/>
  <c r="R228" i="81"/>
  <c r="S228" i="81"/>
  <c r="T228" i="81"/>
  <c r="W228" i="81"/>
  <c r="R229" i="81"/>
  <c r="S229" i="81"/>
  <c r="T229" i="81"/>
  <c r="W229" i="81"/>
  <c r="R230" i="81"/>
  <c r="S230" i="81"/>
  <c r="T230" i="81"/>
  <c r="W230" i="81"/>
  <c r="R231" i="81"/>
  <c r="S231" i="81"/>
  <c r="T231" i="81"/>
  <c r="W231" i="81"/>
  <c r="R232" i="81"/>
  <c r="S232" i="81"/>
  <c r="T232" i="81"/>
  <c r="W232" i="81"/>
  <c r="R233" i="81"/>
  <c r="S233" i="81"/>
  <c r="T233" i="81"/>
  <c r="W233" i="81"/>
  <c r="R234" i="81"/>
  <c r="S234" i="81"/>
  <c r="T234" i="81"/>
  <c r="W234" i="81"/>
  <c r="R235" i="81"/>
  <c r="S235" i="81"/>
  <c r="T235" i="81"/>
  <c r="W235" i="81"/>
  <c r="R236" i="81"/>
  <c r="S236" i="81"/>
  <c r="T236" i="81"/>
  <c r="W236" i="81"/>
  <c r="R237" i="81"/>
  <c r="S237" i="81"/>
  <c r="T237" i="81"/>
  <c r="W237" i="81"/>
  <c r="R238" i="81"/>
  <c r="S238" i="81"/>
  <c r="T238" i="81"/>
  <c r="W238" i="81"/>
  <c r="R239" i="81"/>
  <c r="S239" i="81"/>
  <c r="T239" i="81"/>
  <c r="W239" i="81"/>
  <c r="R240" i="81"/>
  <c r="S240" i="81"/>
  <c r="T240" i="81"/>
  <c r="W240" i="81"/>
  <c r="R241" i="81"/>
  <c r="S241" i="81"/>
  <c r="T241" i="81"/>
  <c r="W241" i="81"/>
  <c r="R242" i="81"/>
  <c r="S242" i="81"/>
  <c r="T242" i="81"/>
  <c r="W242" i="81"/>
  <c r="R243" i="81"/>
  <c r="S243" i="81"/>
  <c r="T243" i="81"/>
  <c r="W243" i="81"/>
  <c r="R244" i="81"/>
  <c r="S244" i="81"/>
  <c r="T244" i="81"/>
  <c r="W244" i="81"/>
  <c r="R245" i="81"/>
  <c r="S245" i="81"/>
  <c r="T245" i="81"/>
  <c r="W245" i="81"/>
  <c r="R246" i="81"/>
  <c r="S246" i="81"/>
  <c r="T246" i="81"/>
  <c r="W246" i="81"/>
  <c r="R247" i="81"/>
  <c r="S247" i="81"/>
  <c r="T247" i="81"/>
  <c r="W247" i="81"/>
  <c r="R248" i="81"/>
  <c r="S248" i="81"/>
  <c r="T248" i="81"/>
  <c r="W248" i="81"/>
  <c r="R249" i="81"/>
  <c r="S249" i="81"/>
  <c r="T249" i="81"/>
  <c r="W249" i="81"/>
  <c r="R250" i="81"/>
  <c r="S250" i="81"/>
  <c r="T250" i="81"/>
  <c r="W250" i="81"/>
  <c r="R251" i="81"/>
  <c r="S251" i="81"/>
  <c r="T251" i="81"/>
  <c r="W251" i="81"/>
  <c r="R252" i="81"/>
  <c r="S252" i="81"/>
  <c r="T252" i="81"/>
  <c r="W252" i="81"/>
  <c r="R253" i="81"/>
  <c r="S253" i="81"/>
  <c r="T253" i="81"/>
  <c r="W253" i="81"/>
  <c r="R254" i="81"/>
  <c r="S254" i="81"/>
  <c r="T254" i="81"/>
  <c r="W254" i="81"/>
  <c r="R255" i="81"/>
  <c r="S255" i="81"/>
  <c r="T255" i="81"/>
  <c r="W255" i="81"/>
  <c r="R256" i="81"/>
  <c r="S256" i="81"/>
  <c r="T256" i="81"/>
  <c r="W256" i="81"/>
  <c r="R257" i="81"/>
  <c r="S257" i="81"/>
  <c r="T257" i="81"/>
  <c r="W257" i="81"/>
  <c r="R258" i="81"/>
  <c r="S258" i="81"/>
  <c r="T258" i="81"/>
  <c r="W258" i="81"/>
  <c r="R259" i="81"/>
  <c r="S259" i="81"/>
  <c r="T259" i="81"/>
  <c r="W259" i="81"/>
  <c r="R260" i="81"/>
  <c r="S260" i="81"/>
  <c r="T260" i="81"/>
  <c r="W260" i="81"/>
  <c r="R261" i="81"/>
  <c r="S261" i="81"/>
  <c r="T261" i="81"/>
  <c r="W261" i="81"/>
  <c r="R262" i="81"/>
  <c r="S262" i="81"/>
  <c r="T262" i="81"/>
  <c r="W262" i="81"/>
  <c r="R263" i="81"/>
  <c r="S263" i="81"/>
  <c r="T263" i="81"/>
  <c r="W263" i="81"/>
  <c r="R264" i="81"/>
  <c r="S264" i="81"/>
  <c r="T264" i="81"/>
  <c r="W264" i="81"/>
  <c r="R265" i="81"/>
  <c r="S265" i="81"/>
  <c r="T265" i="81"/>
  <c r="W265" i="81"/>
  <c r="R266" i="81"/>
  <c r="S266" i="81"/>
  <c r="T266" i="81"/>
  <c r="W266" i="81"/>
  <c r="R267" i="81"/>
  <c r="S267" i="81"/>
  <c r="T267" i="81"/>
  <c r="W267" i="81"/>
  <c r="R268" i="81"/>
  <c r="S268" i="81"/>
  <c r="T268" i="81"/>
  <c r="W268" i="81"/>
  <c r="R269" i="81"/>
  <c r="S269" i="81"/>
  <c r="T269" i="81"/>
  <c r="W269" i="81"/>
  <c r="R270" i="81"/>
  <c r="S270" i="81"/>
  <c r="T270" i="81"/>
  <c r="W270" i="81"/>
  <c r="R271" i="81"/>
  <c r="S271" i="81"/>
  <c r="T271" i="81"/>
  <c r="W271" i="81"/>
  <c r="R272" i="81"/>
  <c r="S272" i="81"/>
  <c r="T272" i="81"/>
  <c r="W272" i="81"/>
  <c r="R273" i="81"/>
  <c r="S273" i="81"/>
  <c r="T273" i="81"/>
  <c r="W273" i="81"/>
  <c r="R274" i="81"/>
  <c r="S274" i="81"/>
  <c r="T274" i="81"/>
  <c r="W274" i="81"/>
  <c r="R275" i="81"/>
  <c r="S275" i="81"/>
  <c r="T275" i="81"/>
  <c r="W275" i="81"/>
  <c r="R276" i="81"/>
  <c r="S276" i="81"/>
  <c r="T276" i="81"/>
  <c r="W276" i="81"/>
  <c r="R277" i="81"/>
  <c r="S277" i="81"/>
  <c r="T277" i="81"/>
  <c r="W277" i="81"/>
  <c r="R278" i="81"/>
  <c r="S278" i="81"/>
  <c r="T278" i="81"/>
  <c r="W278" i="81"/>
  <c r="R279" i="81"/>
  <c r="S279" i="81"/>
  <c r="T279" i="81"/>
  <c r="W279" i="81"/>
  <c r="R280" i="81"/>
  <c r="S280" i="81"/>
  <c r="T280" i="81"/>
  <c r="W280" i="81"/>
  <c r="G42" i="83"/>
  <c r="G31" i="83"/>
  <c r="G32" i="83"/>
  <c r="G33" i="83"/>
  <c r="G34" i="83"/>
  <c r="G35" i="83"/>
  <c r="G36" i="83"/>
  <c r="G37" i="83"/>
  <c r="G38" i="83"/>
  <c r="G39" i="83"/>
  <c r="G40" i="83"/>
  <c r="G41" i="83"/>
  <c r="G30" i="83"/>
  <c r="P321" i="31"/>
  <c r="P322" i="31"/>
  <c r="P323" i="31"/>
  <c r="P324" i="31"/>
  <c r="P325" i="31"/>
  <c r="P326" i="31"/>
  <c r="P327" i="31"/>
  <c r="P328" i="31"/>
  <c r="P329" i="31"/>
  <c r="P330" i="31"/>
  <c r="P331" i="31"/>
  <c r="D82" i="81"/>
  <c r="D81" i="81"/>
  <c r="D80" i="81"/>
  <c r="D79" i="81"/>
  <c r="F79" i="81" s="1"/>
  <c r="D78" i="81"/>
  <c r="F78" i="81" s="1"/>
  <c r="D77" i="81"/>
  <c r="D76" i="81"/>
  <c r="D75" i="81"/>
  <c r="D74" i="81"/>
  <c r="D73" i="81"/>
  <c r="D72" i="81"/>
  <c r="D71" i="81"/>
  <c r="F71" i="81" s="1"/>
  <c r="P320" i="31"/>
  <c r="C672" i="14"/>
  <c r="T128" i="81" l="1"/>
  <c r="F72" i="81"/>
  <c r="S132" i="81"/>
  <c r="F76" i="81"/>
  <c r="S136" i="81"/>
  <c r="F80" i="81"/>
  <c r="S129" i="81"/>
  <c r="F73" i="81"/>
  <c r="S130" i="81"/>
  <c r="F74" i="81"/>
  <c r="S138" i="81"/>
  <c r="U138" i="81" s="1"/>
  <c r="V138" i="81" s="1"/>
  <c r="F82" i="81"/>
  <c r="S133" i="81"/>
  <c r="U133" i="81" s="1"/>
  <c r="V133" i="81" s="1"/>
  <c r="F77" i="81"/>
  <c r="T137" i="81"/>
  <c r="F81" i="81"/>
  <c r="H75" i="81"/>
  <c r="F75" i="81"/>
  <c r="I207" i="81"/>
  <c r="I223" i="81"/>
  <c r="I231" i="81"/>
  <c r="I211" i="81"/>
  <c r="I204" i="81"/>
  <c r="I220" i="81"/>
  <c r="I228" i="81"/>
  <c r="I222" i="81"/>
  <c r="I230" i="81"/>
  <c r="T130" i="81"/>
  <c r="U130" i="81" s="1"/>
  <c r="V130" i="81" s="1"/>
  <c r="T135" i="81"/>
  <c r="S137" i="81"/>
  <c r="S128" i="81"/>
  <c r="T136" i="81"/>
  <c r="U136" i="81" s="1"/>
  <c r="V136" i="81" s="1"/>
  <c r="T133" i="81"/>
  <c r="T132" i="81"/>
  <c r="T131" i="81"/>
  <c r="T129" i="81"/>
  <c r="T127" i="81"/>
  <c r="S135" i="81"/>
  <c r="S131" i="81"/>
  <c r="S127" i="81"/>
  <c r="U127" i="81" s="1"/>
  <c r="V127" i="81" s="1"/>
  <c r="C10" i="6"/>
  <c r="C10" i="122"/>
  <c r="G315" i="81"/>
  <c r="J315" i="81" s="1"/>
  <c r="D419" i="92" s="1"/>
  <c r="G314" i="81"/>
  <c r="J314" i="81" s="1"/>
  <c r="E695" i="14" s="1"/>
  <c r="G313" i="81"/>
  <c r="J313" i="81" s="1"/>
  <c r="E339" i="31" s="1"/>
  <c r="I339" i="31" s="1"/>
  <c r="G311" i="81"/>
  <c r="J311" i="81" s="1"/>
  <c r="E334" i="31" s="1"/>
  <c r="I334" i="31" s="1"/>
  <c r="G306" i="81"/>
  <c r="J306" i="81" s="1"/>
  <c r="E337" i="31" s="1"/>
  <c r="I337" i="31" s="1"/>
  <c r="G312" i="81"/>
  <c r="J312" i="81" s="1"/>
  <c r="E341" i="31" s="1"/>
  <c r="I341" i="31" s="1"/>
  <c r="G310" i="81"/>
  <c r="J310" i="81" s="1"/>
  <c r="E333" i="31" s="1"/>
  <c r="I333" i="31" s="1"/>
  <c r="G308" i="81"/>
  <c r="J308" i="81" s="1"/>
  <c r="E308" i="31" s="1"/>
  <c r="G309" i="81"/>
  <c r="J309" i="81" s="1"/>
  <c r="E335" i="31" s="1"/>
  <c r="I335" i="31" s="1"/>
  <c r="G307" i="81"/>
  <c r="J307" i="81" s="1"/>
  <c r="E299" i="31" s="1"/>
  <c r="G304" i="81"/>
  <c r="J304" i="81" s="1"/>
  <c r="E336" i="31" s="1"/>
  <c r="I336" i="31" s="1"/>
  <c r="G302" i="81"/>
  <c r="J302" i="81" s="1"/>
  <c r="E332" i="31" s="1"/>
  <c r="I332" i="31" s="1"/>
  <c r="G305" i="81"/>
  <c r="J305" i="81" s="1"/>
  <c r="E338" i="31" s="1"/>
  <c r="I338" i="31" s="1"/>
  <c r="G303" i="81"/>
  <c r="J303" i="81" s="1"/>
  <c r="E297" i="31" s="1"/>
  <c r="I297" i="31" s="1"/>
  <c r="G301" i="81"/>
  <c r="J301" i="81" s="1"/>
  <c r="E314" i="31" s="1"/>
  <c r="G300" i="81"/>
  <c r="J300" i="81" s="1"/>
  <c r="E121" i="31" s="1"/>
  <c r="F35" i="99" s="1"/>
  <c r="G35" i="99" s="1"/>
  <c r="G299" i="81"/>
  <c r="J299" i="81" s="1"/>
  <c r="E292" i="31" s="1"/>
  <c r="P71" i="81"/>
  <c r="R71" i="81" s="1"/>
  <c r="H72" i="81"/>
  <c r="P79" i="81"/>
  <c r="R79" i="81" s="1"/>
  <c r="P75" i="81"/>
  <c r="R75" i="81" s="1"/>
  <c r="U290" i="81"/>
  <c r="V290" i="81" s="1"/>
  <c r="P81" i="81"/>
  <c r="R81" i="81" s="1"/>
  <c r="P73" i="81"/>
  <c r="R73" i="81" s="1"/>
  <c r="U295" i="81"/>
  <c r="V295" i="81" s="1"/>
  <c r="P80" i="81"/>
  <c r="R80" i="81" s="1"/>
  <c r="P72" i="81"/>
  <c r="R72" i="81" s="1"/>
  <c r="P82" i="81"/>
  <c r="R82" i="81" s="1"/>
  <c r="P74" i="81"/>
  <c r="R74" i="81" s="1"/>
  <c r="P78" i="81"/>
  <c r="R78" i="81" s="1"/>
  <c r="U292" i="81"/>
  <c r="V292" i="81" s="1"/>
  <c r="P77" i="81"/>
  <c r="R77" i="81" s="1"/>
  <c r="C10" i="87"/>
  <c r="H80" i="81"/>
  <c r="U283" i="81"/>
  <c r="V283" i="81" s="1"/>
  <c r="P76" i="81"/>
  <c r="R76" i="81" s="1"/>
  <c r="U298" i="81"/>
  <c r="V298" i="81" s="1"/>
  <c r="U291" i="81"/>
  <c r="V291" i="81" s="1"/>
  <c r="U284" i="81"/>
  <c r="V284" i="81" s="1"/>
  <c r="U297" i="81"/>
  <c r="V297" i="81" s="1"/>
  <c r="U289" i="81"/>
  <c r="V289" i="81" s="1"/>
  <c r="U296" i="81"/>
  <c r="V296" i="81" s="1"/>
  <c r="U288" i="81"/>
  <c r="V288" i="81" s="1"/>
  <c r="U287" i="81"/>
  <c r="V287" i="81" s="1"/>
  <c r="U294" i="81"/>
  <c r="V294" i="81" s="1"/>
  <c r="U286" i="81"/>
  <c r="V286" i="81" s="1"/>
  <c r="U293" i="81"/>
  <c r="V293" i="81" s="1"/>
  <c r="U285" i="81"/>
  <c r="V285" i="81" s="1"/>
  <c r="H82" i="81"/>
  <c r="H78" i="81"/>
  <c r="I78" i="81" s="1"/>
  <c r="H74" i="81"/>
  <c r="H81" i="81"/>
  <c r="H77" i="81"/>
  <c r="H73" i="81"/>
  <c r="H76" i="81"/>
  <c r="H79" i="81"/>
  <c r="I79" i="81" s="1"/>
  <c r="H71" i="81"/>
  <c r="I71" i="81" s="1"/>
  <c r="U69" i="81"/>
  <c r="V69" i="81" s="1"/>
  <c r="U45" i="81"/>
  <c r="V45" i="81" s="1"/>
  <c r="U65" i="81"/>
  <c r="V65" i="81" s="1"/>
  <c r="F695" i="14" s="1"/>
  <c r="U61" i="81"/>
  <c r="V61" i="81" s="1"/>
  <c r="U55" i="81"/>
  <c r="V55" i="81" s="1"/>
  <c r="U51" i="81"/>
  <c r="V51" i="81" s="1"/>
  <c r="U49" i="81"/>
  <c r="V49" i="81" s="1"/>
  <c r="U47" i="81"/>
  <c r="V47" i="81" s="1"/>
  <c r="U43" i="81"/>
  <c r="V43" i="81" s="1"/>
  <c r="U39" i="81"/>
  <c r="V39" i="81" s="1"/>
  <c r="U35" i="81"/>
  <c r="V35" i="81" s="1"/>
  <c r="U33" i="81"/>
  <c r="V33" i="81" s="1"/>
  <c r="U31" i="81"/>
  <c r="V31" i="81" s="1"/>
  <c r="U29" i="81"/>
  <c r="V29" i="81" s="1"/>
  <c r="U27" i="81"/>
  <c r="V27" i="81" s="1"/>
  <c r="U25" i="81"/>
  <c r="V25" i="81" s="1"/>
  <c r="U23" i="81"/>
  <c r="V23" i="81" s="1"/>
  <c r="U21" i="81"/>
  <c r="V21" i="81" s="1"/>
  <c r="U19" i="81"/>
  <c r="V19" i="81" s="1"/>
  <c r="U17" i="81"/>
  <c r="V17" i="81" s="1"/>
  <c r="U15" i="81"/>
  <c r="V15" i="81" s="1"/>
  <c r="U13" i="81"/>
  <c r="V13" i="81" s="1"/>
  <c r="U67" i="81"/>
  <c r="V67" i="81" s="1"/>
  <c r="U59" i="81"/>
  <c r="V59" i="81" s="1"/>
  <c r="F306" i="31" s="1"/>
  <c r="U53" i="81"/>
  <c r="V53" i="81" s="1"/>
  <c r="U41" i="81"/>
  <c r="V41" i="81" s="1"/>
  <c r="U63" i="81"/>
  <c r="V63" i="81" s="1"/>
  <c r="U57" i="81"/>
  <c r="V57" i="81" s="1"/>
  <c r="U37" i="81"/>
  <c r="V37" i="81" s="1"/>
  <c r="U11" i="81"/>
  <c r="V11" i="81" s="1"/>
  <c r="U275" i="81"/>
  <c r="V275" i="81" s="1"/>
  <c r="U257" i="81"/>
  <c r="V257" i="81" s="1"/>
  <c r="U247" i="81"/>
  <c r="V247" i="81" s="1"/>
  <c r="U235" i="81"/>
  <c r="V235" i="81" s="1"/>
  <c r="U227" i="81"/>
  <c r="V227" i="81" s="1"/>
  <c r="U217" i="81"/>
  <c r="V217" i="81" s="1"/>
  <c r="U207" i="81"/>
  <c r="V207" i="81" s="1"/>
  <c r="U197" i="81"/>
  <c r="V197" i="81" s="1"/>
  <c r="U187" i="81"/>
  <c r="V187" i="81" s="1"/>
  <c r="U177" i="81"/>
  <c r="V177" i="81" s="1"/>
  <c r="U167" i="81"/>
  <c r="V167" i="81" s="1"/>
  <c r="U157" i="81"/>
  <c r="V157" i="81" s="1"/>
  <c r="U145" i="81"/>
  <c r="V145" i="81" s="1"/>
  <c r="U119" i="81"/>
  <c r="V119" i="81" s="1"/>
  <c r="U109" i="81"/>
  <c r="V109" i="81" s="1"/>
  <c r="U99" i="81"/>
  <c r="V99" i="81" s="1"/>
  <c r="U85" i="81"/>
  <c r="V85" i="81" s="1"/>
  <c r="U282" i="81"/>
  <c r="V282" i="81" s="1"/>
  <c r="U267" i="81"/>
  <c r="V267" i="81" s="1"/>
  <c r="U255" i="81"/>
  <c r="V255" i="81" s="1"/>
  <c r="U243" i="81"/>
  <c r="V243" i="81" s="1"/>
  <c r="U215" i="81"/>
  <c r="V215" i="81" s="1"/>
  <c r="U203" i="81"/>
  <c r="V203" i="81" s="1"/>
  <c r="U189" i="81"/>
  <c r="V189" i="81" s="1"/>
  <c r="U179" i="81"/>
  <c r="V179" i="81" s="1"/>
  <c r="U171" i="81"/>
  <c r="V171" i="81" s="1"/>
  <c r="U161" i="81"/>
  <c r="V161" i="81" s="1"/>
  <c r="U151" i="81"/>
  <c r="V151" i="81" s="1"/>
  <c r="U141" i="81"/>
  <c r="V141" i="81" s="1"/>
  <c r="U117" i="81"/>
  <c r="V117" i="81" s="1"/>
  <c r="U107" i="81"/>
  <c r="V107" i="81" s="1"/>
  <c r="U97" i="81"/>
  <c r="V97" i="81" s="1"/>
  <c r="U91" i="81"/>
  <c r="V91" i="81" s="1"/>
  <c r="U70" i="81"/>
  <c r="V70" i="81" s="1"/>
  <c r="U66" i="81"/>
  <c r="V66" i="81" s="1"/>
  <c r="U62" i="81"/>
  <c r="V62" i="81" s="1"/>
  <c r="U58" i="81"/>
  <c r="V58" i="81" s="1"/>
  <c r="F305" i="31" s="1"/>
  <c r="U54" i="81"/>
  <c r="V54" i="81" s="1"/>
  <c r="U50" i="81"/>
  <c r="V50" i="81" s="1"/>
  <c r="U48" i="81"/>
  <c r="V48" i="81" s="1"/>
  <c r="U44" i="81"/>
  <c r="V44" i="81" s="1"/>
  <c r="U42" i="81"/>
  <c r="V42" i="81" s="1"/>
  <c r="U40" i="81"/>
  <c r="V40" i="81" s="1"/>
  <c r="U38" i="81"/>
  <c r="V38" i="81" s="1"/>
  <c r="U36" i="81"/>
  <c r="V36" i="81" s="1"/>
  <c r="U34" i="81"/>
  <c r="V34" i="81" s="1"/>
  <c r="U32" i="81"/>
  <c r="V32" i="81" s="1"/>
  <c r="U30" i="81"/>
  <c r="V30" i="81" s="1"/>
  <c r="U28" i="81"/>
  <c r="V28" i="81" s="1"/>
  <c r="U26" i="81"/>
  <c r="V26" i="81" s="1"/>
  <c r="U24" i="81"/>
  <c r="V24" i="81" s="1"/>
  <c r="U22" i="81"/>
  <c r="V22" i="81" s="1"/>
  <c r="U20" i="81"/>
  <c r="V20" i="81" s="1"/>
  <c r="U18" i="81"/>
  <c r="V18" i="81" s="1"/>
  <c r="U14" i="81"/>
  <c r="V14" i="81" s="1"/>
  <c r="U12" i="81"/>
  <c r="V12" i="81" s="1"/>
  <c r="U281" i="81"/>
  <c r="V281" i="81" s="1"/>
  <c r="U271" i="81"/>
  <c r="V271" i="81" s="1"/>
  <c r="U259" i="81"/>
  <c r="V259" i="81" s="1"/>
  <c r="U249" i="81"/>
  <c r="V249" i="81" s="1"/>
  <c r="U239" i="81"/>
  <c r="V239" i="81" s="1"/>
  <c r="U223" i="81"/>
  <c r="V223" i="81" s="1"/>
  <c r="U213" i="81"/>
  <c r="V213" i="81" s="1"/>
  <c r="G148" i="92" s="1"/>
  <c r="U191" i="81"/>
  <c r="V191" i="81" s="1"/>
  <c r="U181" i="81"/>
  <c r="V181" i="81" s="1"/>
  <c r="U169" i="81"/>
  <c r="V169" i="81" s="1"/>
  <c r="U159" i="81"/>
  <c r="V159" i="81" s="1"/>
  <c r="U125" i="81"/>
  <c r="V125" i="81" s="1"/>
  <c r="U113" i="81"/>
  <c r="V113" i="81" s="1"/>
  <c r="U101" i="81"/>
  <c r="V101" i="81" s="1"/>
  <c r="U83" i="81"/>
  <c r="V83" i="81" s="1"/>
  <c r="F342" i="31" s="1"/>
  <c r="U68" i="81"/>
  <c r="V68" i="81" s="1"/>
  <c r="U64" i="81"/>
  <c r="V64" i="81" s="1"/>
  <c r="U60" i="81"/>
  <c r="V60" i="81" s="1"/>
  <c r="F307" i="31" s="1"/>
  <c r="U56" i="81"/>
  <c r="V56" i="81" s="1"/>
  <c r="U52" i="81"/>
  <c r="V52" i="81" s="1"/>
  <c r="U46" i="81"/>
  <c r="V46" i="81" s="1"/>
  <c r="U16" i="81"/>
  <c r="V16" i="81" s="1"/>
  <c r="U279" i="81"/>
  <c r="V279" i="81" s="1"/>
  <c r="U269" i="81"/>
  <c r="V269" i="81" s="1"/>
  <c r="U261" i="81"/>
  <c r="V261" i="81" s="1"/>
  <c r="U241" i="81"/>
  <c r="V241" i="81" s="1"/>
  <c r="U231" i="81"/>
  <c r="V231" i="81" s="1"/>
  <c r="U221" i="81"/>
  <c r="V221" i="81" s="1"/>
  <c r="U211" i="81"/>
  <c r="V211" i="81" s="1"/>
  <c r="U199" i="81"/>
  <c r="V199" i="81" s="1"/>
  <c r="U195" i="81"/>
  <c r="V195" i="81" s="1"/>
  <c r="U185" i="81"/>
  <c r="V185" i="81" s="1"/>
  <c r="U175" i="81"/>
  <c r="V175" i="81" s="1"/>
  <c r="U155" i="81"/>
  <c r="V155" i="81" s="1"/>
  <c r="U147" i="81"/>
  <c r="V147" i="81" s="1"/>
  <c r="U139" i="81"/>
  <c r="V139" i="81" s="1"/>
  <c r="G629" i="14" s="1"/>
  <c r="U121" i="81"/>
  <c r="V121" i="81" s="1"/>
  <c r="U111" i="81"/>
  <c r="V111" i="81" s="1"/>
  <c r="U103" i="81"/>
  <c r="V103" i="81" s="1"/>
  <c r="U93" i="81"/>
  <c r="V93" i="81" s="1"/>
  <c r="U89" i="81"/>
  <c r="V89" i="81" s="1"/>
  <c r="U280" i="81"/>
  <c r="V280" i="81" s="1"/>
  <c r="U268" i="81"/>
  <c r="V268" i="81" s="1"/>
  <c r="U260" i="81"/>
  <c r="V260" i="81" s="1"/>
  <c r="U252" i="81"/>
  <c r="V252" i="81" s="1"/>
  <c r="U248" i="81"/>
  <c r="V248" i="81" s="1"/>
  <c r="U242" i="81"/>
  <c r="V242" i="81" s="1"/>
  <c r="U238" i="81"/>
  <c r="V238" i="81" s="1"/>
  <c r="U234" i="81"/>
  <c r="V234" i="81" s="1"/>
  <c r="U230" i="81"/>
  <c r="V230" i="81" s="1"/>
  <c r="U226" i="81"/>
  <c r="V226" i="81" s="1"/>
  <c r="U222" i="81"/>
  <c r="V222" i="81" s="1"/>
  <c r="U218" i="81"/>
  <c r="V218" i="81" s="1"/>
  <c r="U214" i="81"/>
  <c r="V214" i="81" s="1"/>
  <c r="U210" i="81"/>
  <c r="V210" i="81" s="1"/>
  <c r="U206" i="81"/>
  <c r="V206" i="81" s="1"/>
  <c r="G139" i="92" s="1"/>
  <c r="U202" i="81"/>
  <c r="V202" i="81" s="1"/>
  <c r="U194" i="81"/>
  <c r="V194" i="81" s="1"/>
  <c r="U188" i="81"/>
  <c r="V188" i="81" s="1"/>
  <c r="U184" i="81"/>
  <c r="V184" i="81" s="1"/>
  <c r="U180" i="81"/>
  <c r="V180" i="81" s="1"/>
  <c r="U176" i="81"/>
  <c r="V176" i="81" s="1"/>
  <c r="U172" i="81"/>
  <c r="V172" i="81" s="1"/>
  <c r="U168" i="81"/>
  <c r="V168" i="81" s="1"/>
  <c r="U164" i="81"/>
  <c r="V164" i="81" s="1"/>
  <c r="U142" i="81"/>
  <c r="V142" i="81" s="1"/>
  <c r="U134" i="81"/>
  <c r="V134" i="81" s="1"/>
  <c r="U273" i="81"/>
  <c r="V273" i="81" s="1"/>
  <c r="U263" i="81"/>
  <c r="V263" i="81" s="1"/>
  <c r="U253" i="81"/>
  <c r="V253" i="81" s="1"/>
  <c r="U245" i="81"/>
  <c r="V245" i="81" s="1"/>
  <c r="U219" i="81"/>
  <c r="V219" i="81" s="1"/>
  <c r="U209" i="81"/>
  <c r="V209" i="81" s="1"/>
  <c r="U193" i="81"/>
  <c r="V193" i="81" s="1"/>
  <c r="U173" i="81"/>
  <c r="V173" i="81" s="1"/>
  <c r="U163" i="81"/>
  <c r="V163" i="81" s="1"/>
  <c r="U153" i="81"/>
  <c r="V153" i="81" s="1"/>
  <c r="U143" i="81"/>
  <c r="V143" i="81" s="1"/>
  <c r="U123" i="81"/>
  <c r="V123" i="81" s="1"/>
  <c r="U115" i="81"/>
  <c r="V115" i="81" s="1"/>
  <c r="U105" i="81"/>
  <c r="V105" i="81" s="1"/>
  <c r="U95" i="81"/>
  <c r="V95" i="81" s="1"/>
  <c r="U87" i="81"/>
  <c r="V87" i="81" s="1"/>
  <c r="U278" i="81"/>
  <c r="V278" i="81" s="1"/>
  <c r="U274" i="81"/>
  <c r="V274" i="81" s="1"/>
  <c r="U270" i="81"/>
  <c r="V270" i="81" s="1"/>
  <c r="U266" i="81"/>
  <c r="V266" i="81" s="1"/>
  <c r="U262" i="81"/>
  <c r="V262" i="81" s="1"/>
  <c r="U258" i="81"/>
  <c r="V258" i="81" s="1"/>
  <c r="U254" i="81"/>
  <c r="V254" i="81" s="1"/>
  <c r="U250" i="81"/>
  <c r="V250" i="81" s="1"/>
  <c r="U246" i="81"/>
  <c r="V246" i="81" s="1"/>
  <c r="U240" i="81"/>
  <c r="V240" i="81" s="1"/>
  <c r="U236" i="81"/>
  <c r="V236" i="81" s="1"/>
  <c r="U232" i="81"/>
  <c r="V232" i="81" s="1"/>
  <c r="U228" i="81"/>
  <c r="V228" i="81" s="1"/>
  <c r="G165" i="92" s="1"/>
  <c r="U224" i="81"/>
  <c r="V224" i="81" s="1"/>
  <c r="U220" i="81"/>
  <c r="V220" i="81" s="1"/>
  <c r="U216" i="81"/>
  <c r="V216" i="81" s="1"/>
  <c r="U212" i="81"/>
  <c r="V212" i="81" s="1"/>
  <c r="U208" i="81"/>
  <c r="V208" i="81" s="1"/>
  <c r="U204" i="81"/>
  <c r="V204" i="81" s="1"/>
  <c r="U200" i="81"/>
  <c r="V200" i="81" s="1"/>
  <c r="U196" i="81"/>
  <c r="V196" i="81" s="1"/>
  <c r="U166" i="81"/>
  <c r="V166" i="81" s="1"/>
  <c r="U154" i="81"/>
  <c r="V154" i="81" s="1"/>
  <c r="U146" i="81"/>
  <c r="V146" i="81" s="1"/>
  <c r="U126" i="81"/>
  <c r="V126" i="81" s="1"/>
  <c r="U122" i="81"/>
  <c r="V122" i="81" s="1"/>
  <c r="U116" i="81"/>
  <c r="V116" i="81" s="1"/>
  <c r="U114" i="81"/>
  <c r="V114" i="81" s="1"/>
  <c r="U110" i="81"/>
  <c r="V110" i="81" s="1"/>
  <c r="U106" i="81"/>
  <c r="V106" i="81" s="1"/>
  <c r="U104" i="81"/>
  <c r="V104" i="81" s="1"/>
  <c r="U102" i="81"/>
  <c r="V102" i="81" s="1"/>
  <c r="U100" i="81"/>
  <c r="V100" i="81" s="1"/>
  <c r="U98" i="81"/>
  <c r="V98" i="81" s="1"/>
  <c r="U94" i="81"/>
  <c r="V94" i="81" s="1"/>
  <c r="U84" i="81"/>
  <c r="V84" i="81" s="1"/>
  <c r="U149" i="81"/>
  <c r="V149" i="81" s="1"/>
  <c r="U277" i="81"/>
  <c r="V277" i="81" s="1"/>
  <c r="U276" i="81"/>
  <c r="V276" i="81" s="1"/>
  <c r="U265" i="81"/>
  <c r="V265" i="81" s="1"/>
  <c r="U264" i="81"/>
  <c r="V264" i="81" s="1"/>
  <c r="U233" i="81"/>
  <c r="V233" i="81" s="1"/>
  <c r="U201" i="81"/>
  <c r="V201" i="81" s="1"/>
  <c r="U192" i="81"/>
  <c r="V192" i="81" s="1"/>
  <c r="F130" i="92" s="1"/>
  <c r="U183" i="81"/>
  <c r="V183" i="81" s="1"/>
  <c r="S73" i="81"/>
  <c r="T73" i="81"/>
  <c r="S81" i="81"/>
  <c r="T81" i="81"/>
  <c r="U256" i="81"/>
  <c r="V256" i="81" s="1"/>
  <c r="U225" i="81"/>
  <c r="V225" i="81" s="1"/>
  <c r="S77" i="81"/>
  <c r="T77" i="81"/>
  <c r="T71" i="81"/>
  <c r="S71" i="81"/>
  <c r="T79" i="81"/>
  <c r="S79" i="81"/>
  <c r="S72" i="81"/>
  <c r="T72" i="81"/>
  <c r="T74" i="81"/>
  <c r="S74" i="81"/>
  <c r="U272" i="81"/>
  <c r="V272" i="81" s="1"/>
  <c r="U237" i="81"/>
  <c r="V237" i="81" s="1"/>
  <c r="U205" i="81"/>
  <c r="V205" i="81" s="1"/>
  <c r="S78" i="81"/>
  <c r="T78" i="81"/>
  <c r="S80" i="81"/>
  <c r="T80" i="81"/>
  <c r="T82" i="81"/>
  <c r="S82" i="81"/>
  <c r="S75" i="81"/>
  <c r="T75" i="81"/>
  <c r="S76" i="81"/>
  <c r="T76" i="81"/>
  <c r="U251" i="81"/>
  <c r="V251" i="81" s="1"/>
  <c r="U244" i="81"/>
  <c r="V244" i="81" s="1"/>
  <c r="U229" i="81"/>
  <c r="V229" i="81" s="1"/>
  <c r="G163" i="92" s="1"/>
  <c r="U178" i="81"/>
  <c r="V178" i="81" s="1"/>
  <c r="U150" i="81"/>
  <c r="V150" i="81" s="1"/>
  <c r="H630" i="14" s="1"/>
  <c r="U182" i="81"/>
  <c r="V182" i="81" s="1"/>
  <c r="U158" i="81"/>
  <c r="V158" i="81" s="1"/>
  <c r="U148" i="81"/>
  <c r="V148" i="81" s="1"/>
  <c r="U144" i="81"/>
  <c r="V144" i="81" s="1"/>
  <c r="U90" i="81"/>
  <c r="V90" i="81" s="1"/>
  <c r="U186" i="81"/>
  <c r="V186" i="81" s="1"/>
  <c r="U162" i="81"/>
  <c r="V162" i="81" s="1"/>
  <c r="U190" i="81"/>
  <c r="V190" i="81" s="1"/>
  <c r="U165" i="81"/>
  <c r="V165" i="81" s="1"/>
  <c r="U112" i="81"/>
  <c r="V112" i="81" s="1"/>
  <c r="U174" i="81"/>
  <c r="V174" i="81" s="1"/>
  <c r="U152" i="81"/>
  <c r="V152" i="81" s="1"/>
  <c r="U198" i="81"/>
  <c r="V198" i="81" s="1"/>
  <c r="G132" i="92" s="1"/>
  <c r="U170" i="81"/>
  <c r="V170" i="81" s="1"/>
  <c r="U140" i="81"/>
  <c r="V140" i="81" s="1"/>
  <c r="U108" i="81"/>
  <c r="V108" i="81" s="1"/>
  <c r="U160" i="81"/>
  <c r="V160" i="81" s="1"/>
  <c r="U96" i="81"/>
  <c r="V96" i="81" s="1"/>
  <c r="U156" i="81"/>
  <c r="V156" i="81" s="1"/>
  <c r="U124" i="81"/>
  <c r="V124" i="81" s="1"/>
  <c r="U92" i="81"/>
  <c r="V92" i="81" s="1"/>
  <c r="U120" i="81"/>
  <c r="V120" i="81" s="1"/>
  <c r="U118" i="81"/>
  <c r="V118" i="81" s="1"/>
  <c r="U88" i="81"/>
  <c r="V88" i="81" s="1"/>
  <c r="U86" i="81"/>
  <c r="V86" i="81" s="1"/>
  <c r="E709" i="91"/>
  <c r="M299" i="31" l="1"/>
  <c r="I299" i="31"/>
  <c r="M308" i="31"/>
  <c r="I308" i="31"/>
  <c r="U129" i="81"/>
  <c r="V129" i="81" s="1"/>
  <c r="I80" i="81"/>
  <c r="I75" i="81"/>
  <c r="U128" i="81"/>
  <c r="V128" i="81" s="1"/>
  <c r="I82" i="81"/>
  <c r="I72" i="81"/>
  <c r="I74" i="81"/>
  <c r="U132" i="81"/>
  <c r="V132" i="81" s="1"/>
  <c r="U137" i="81"/>
  <c r="V137" i="81" s="1"/>
  <c r="I73" i="81"/>
  <c r="I77" i="81"/>
  <c r="I76" i="81"/>
  <c r="I81" i="81"/>
  <c r="U131" i="81"/>
  <c r="V131" i="81" s="1"/>
  <c r="H629" i="14"/>
  <c r="G131" i="92"/>
  <c r="U135" i="81"/>
  <c r="V135" i="81" s="1"/>
  <c r="G141" i="92"/>
  <c r="G630" i="14"/>
  <c r="G137" i="92"/>
  <c r="G151" i="92"/>
  <c r="G138" i="92"/>
  <c r="G144" i="92"/>
  <c r="G164" i="92"/>
  <c r="G166" i="92"/>
  <c r="F127" i="92"/>
  <c r="G130" i="92"/>
  <c r="G134" i="92"/>
  <c r="G146" i="92"/>
  <c r="E895" i="91"/>
  <c r="E256" i="92"/>
  <c r="E885" i="91"/>
  <c r="E245" i="92"/>
  <c r="E886" i="91"/>
  <c r="E246" i="92"/>
  <c r="E883" i="91"/>
  <c r="E243" i="92"/>
  <c r="E876" i="91"/>
  <c r="E235" i="92"/>
  <c r="E897" i="91"/>
  <c r="E258" i="92"/>
  <c r="E899" i="91"/>
  <c r="E260" i="92"/>
  <c r="E894" i="91"/>
  <c r="E254" i="92"/>
  <c r="U77" i="81"/>
  <c r="V77" i="81" s="1"/>
  <c r="U73" i="81"/>
  <c r="V73" i="81" s="1"/>
  <c r="F322" i="31" s="1"/>
  <c r="U72" i="81"/>
  <c r="V72" i="81" s="1"/>
  <c r="U79" i="81"/>
  <c r="V79" i="81" s="1"/>
  <c r="F328" i="31" s="1"/>
  <c r="U71" i="81"/>
  <c r="V71" i="81" s="1"/>
  <c r="F320" i="31" s="1"/>
  <c r="F637" i="91" s="1"/>
  <c r="U81" i="81"/>
  <c r="V81" i="81" s="1"/>
  <c r="F330" i="31" s="1"/>
  <c r="U74" i="81"/>
  <c r="V74" i="81" s="1"/>
  <c r="U82" i="81"/>
  <c r="V82" i="81" s="1"/>
  <c r="F331" i="31" s="1"/>
  <c r="U80" i="81"/>
  <c r="V80" i="81" s="1"/>
  <c r="F329" i="31" s="1"/>
  <c r="U76" i="81"/>
  <c r="V76" i="81" s="1"/>
  <c r="F325" i="31" s="1"/>
  <c r="U78" i="81"/>
  <c r="V78" i="81" s="1"/>
  <c r="F327" i="31" s="1"/>
  <c r="U75" i="81"/>
  <c r="V75" i="81" s="1"/>
  <c r="F324" i="31" s="1"/>
  <c r="F712" i="91"/>
  <c r="X28" i="93"/>
  <c r="X39" i="93"/>
  <c r="X40" i="93"/>
  <c r="F323" i="31" l="1"/>
  <c r="F321" i="31"/>
  <c r="F326" i="31"/>
  <c r="E901" i="91"/>
  <c r="E706" i="91"/>
  <c r="F283" i="31" l="1"/>
  <c r="E283" i="31"/>
  <c r="D283" i="31"/>
  <c r="C283" i="31"/>
  <c r="F282" i="31"/>
  <c r="E282" i="31"/>
  <c r="D282" i="31"/>
  <c r="C282" i="31"/>
  <c r="F281" i="31"/>
  <c r="E281" i="31"/>
  <c r="D281" i="31"/>
  <c r="C281" i="31"/>
  <c r="F280" i="31"/>
  <c r="E280" i="31"/>
  <c r="D280" i="31"/>
  <c r="C280" i="31"/>
  <c r="F279" i="31"/>
  <c r="E279" i="31"/>
  <c r="D279" i="31"/>
  <c r="C279" i="31"/>
  <c r="F278" i="31"/>
  <c r="E278" i="31"/>
  <c r="D278" i="31"/>
  <c r="C278" i="31"/>
  <c r="F366" i="31"/>
  <c r="E366" i="31"/>
  <c r="D366" i="31"/>
  <c r="C366" i="31"/>
  <c r="F365" i="31"/>
  <c r="E365" i="31"/>
  <c r="D365" i="31"/>
  <c r="C365" i="31"/>
  <c r="F364" i="31"/>
  <c r="E364" i="31"/>
  <c r="D364" i="31"/>
  <c r="C364" i="31"/>
  <c r="F363" i="31"/>
  <c r="E363" i="31"/>
  <c r="D363" i="31"/>
  <c r="C363" i="31"/>
  <c r="F362" i="31"/>
  <c r="E362" i="31"/>
  <c r="D362" i="31"/>
  <c r="C362" i="31"/>
  <c r="F361" i="31"/>
  <c r="E361" i="31"/>
  <c r="D361" i="31"/>
  <c r="C361" i="31"/>
  <c r="F263" i="31"/>
  <c r="E263" i="31"/>
  <c r="D263" i="31"/>
  <c r="C263" i="31"/>
  <c r="F262" i="31"/>
  <c r="E262" i="31"/>
  <c r="D262" i="31"/>
  <c r="C262" i="31"/>
  <c r="F261" i="31"/>
  <c r="E261" i="31"/>
  <c r="D261" i="31"/>
  <c r="C261" i="31"/>
  <c r="F260" i="31"/>
  <c r="E260" i="31"/>
  <c r="D260" i="31"/>
  <c r="C260" i="31"/>
  <c r="F259" i="31"/>
  <c r="E259" i="31"/>
  <c r="D259" i="31"/>
  <c r="C259" i="31"/>
  <c r="F258" i="31"/>
  <c r="E258" i="31"/>
  <c r="D258" i="31"/>
  <c r="C258" i="31"/>
  <c r="F246" i="31"/>
  <c r="E246" i="31"/>
  <c r="D246" i="31"/>
  <c r="C246" i="31"/>
  <c r="F245" i="31"/>
  <c r="E245" i="31"/>
  <c r="D245" i="31"/>
  <c r="C245" i="31"/>
  <c r="F244" i="31"/>
  <c r="E244" i="31"/>
  <c r="D244" i="31"/>
  <c r="C244" i="31"/>
  <c r="F243" i="31"/>
  <c r="E243" i="31"/>
  <c r="D243" i="31"/>
  <c r="C243" i="31"/>
  <c r="F242" i="31"/>
  <c r="E242" i="31"/>
  <c r="D242" i="31"/>
  <c r="C242" i="31"/>
  <c r="F241" i="31"/>
  <c r="E241" i="31"/>
  <c r="D241" i="31"/>
  <c r="C241" i="31"/>
  <c r="F222" i="31"/>
  <c r="E222" i="31"/>
  <c r="D222" i="31"/>
  <c r="C222" i="31"/>
  <c r="F221" i="31"/>
  <c r="E221" i="31"/>
  <c r="D221" i="31"/>
  <c r="C221" i="31"/>
  <c r="F220" i="31"/>
  <c r="E220" i="31"/>
  <c r="D220" i="31"/>
  <c r="C220" i="31"/>
  <c r="F219" i="31"/>
  <c r="E219" i="31"/>
  <c r="D219" i="31"/>
  <c r="C219" i="31"/>
  <c r="F218" i="31"/>
  <c r="E218" i="31"/>
  <c r="D218" i="31"/>
  <c r="C218" i="31"/>
  <c r="F217" i="31"/>
  <c r="E217" i="31"/>
  <c r="D217" i="31"/>
  <c r="C217" i="31"/>
  <c r="F204" i="31"/>
  <c r="E204" i="31"/>
  <c r="D204" i="31"/>
  <c r="C204" i="31"/>
  <c r="F203" i="31"/>
  <c r="E203" i="31"/>
  <c r="D203" i="31"/>
  <c r="C203" i="31"/>
  <c r="F202" i="31"/>
  <c r="E202" i="31"/>
  <c r="D202" i="31"/>
  <c r="C202" i="31"/>
  <c r="F201" i="31"/>
  <c r="E201" i="31"/>
  <c r="D201" i="31"/>
  <c r="C201" i="31"/>
  <c r="F200" i="31"/>
  <c r="E200" i="31"/>
  <c r="D200" i="31"/>
  <c r="C200" i="31"/>
  <c r="F199" i="31"/>
  <c r="E199" i="31"/>
  <c r="D199" i="31"/>
  <c r="C199" i="31"/>
  <c r="F174" i="31"/>
  <c r="E174" i="31"/>
  <c r="D174" i="31"/>
  <c r="C174" i="31"/>
  <c r="F173" i="31"/>
  <c r="E173" i="31"/>
  <c r="D173" i="31"/>
  <c r="C173" i="31"/>
  <c r="F172" i="31"/>
  <c r="E172" i="31"/>
  <c r="D172" i="31"/>
  <c r="C172" i="31"/>
  <c r="F171" i="31"/>
  <c r="E171" i="31"/>
  <c r="D171" i="31"/>
  <c r="C171" i="31"/>
  <c r="F170" i="31"/>
  <c r="E170" i="31"/>
  <c r="D170" i="31"/>
  <c r="C170" i="31"/>
  <c r="F169" i="31"/>
  <c r="E169" i="31"/>
  <c r="D169" i="31"/>
  <c r="C169" i="31"/>
  <c r="F107" i="31"/>
  <c r="E107" i="31"/>
  <c r="D107" i="31"/>
  <c r="C107" i="31"/>
  <c r="F106" i="31"/>
  <c r="E106" i="31"/>
  <c r="D106" i="31"/>
  <c r="C106" i="31"/>
  <c r="F105" i="31"/>
  <c r="E105" i="31"/>
  <c r="D105" i="31"/>
  <c r="C105" i="31"/>
  <c r="F104" i="31"/>
  <c r="E104" i="31"/>
  <c r="D104" i="31"/>
  <c r="C104" i="31"/>
  <c r="F103" i="31"/>
  <c r="E103" i="31"/>
  <c r="D103" i="31"/>
  <c r="C103" i="31"/>
  <c r="F102" i="31"/>
  <c r="E102" i="31"/>
  <c r="D102" i="31"/>
  <c r="C102" i="31"/>
  <c r="F86" i="31"/>
  <c r="E86" i="31"/>
  <c r="D86" i="31"/>
  <c r="C86" i="31"/>
  <c r="F85" i="31"/>
  <c r="E85" i="31"/>
  <c r="D85" i="31"/>
  <c r="C85" i="31"/>
  <c r="F84" i="31"/>
  <c r="E84" i="31"/>
  <c r="D84" i="31"/>
  <c r="C84" i="31"/>
  <c r="F83" i="31"/>
  <c r="E83" i="31"/>
  <c r="D83" i="31"/>
  <c r="C83" i="31"/>
  <c r="F82" i="31"/>
  <c r="E82" i="31"/>
  <c r="D82" i="31"/>
  <c r="C82" i="31"/>
  <c r="F81" i="31"/>
  <c r="E81" i="31"/>
  <c r="D81" i="31"/>
  <c r="C81" i="31"/>
  <c r="I428" i="92"/>
  <c r="H428" i="92"/>
  <c r="G428" i="92"/>
  <c r="F428" i="92"/>
  <c r="E428" i="92"/>
  <c r="D428" i="92"/>
  <c r="C428" i="92"/>
  <c r="I427" i="92"/>
  <c r="H427" i="92"/>
  <c r="G427" i="92"/>
  <c r="F427" i="92"/>
  <c r="E427" i="92"/>
  <c r="D427" i="92"/>
  <c r="C427" i="92"/>
  <c r="I426" i="92"/>
  <c r="H426" i="92"/>
  <c r="G426" i="92"/>
  <c r="F426" i="92"/>
  <c r="E426" i="92"/>
  <c r="D426" i="92"/>
  <c r="C426" i="92"/>
  <c r="I425" i="92"/>
  <c r="H425" i="92"/>
  <c r="G425" i="92"/>
  <c r="F425" i="92"/>
  <c r="E425" i="92"/>
  <c r="D425" i="92"/>
  <c r="C425" i="92"/>
  <c r="I424" i="92"/>
  <c r="H424" i="92"/>
  <c r="G424" i="92"/>
  <c r="F424" i="92"/>
  <c r="E424" i="92"/>
  <c r="D424" i="92"/>
  <c r="C424" i="92"/>
  <c r="I423" i="92"/>
  <c r="H423" i="92"/>
  <c r="G423" i="92"/>
  <c r="F423" i="92"/>
  <c r="E423" i="92"/>
  <c r="D423" i="92"/>
  <c r="C423" i="92"/>
  <c r="I396" i="92"/>
  <c r="H396" i="92"/>
  <c r="G396" i="92"/>
  <c r="F396" i="92"/>
  <c r="E396" i="92"/>
  <c r="D396" i="92"/>
  <c r="C396" i="92"/>
  <c r="I395" i="92"/>
  <c r="H395" i="92"/>
  <c r="G395" i="92"/>
  <c r="F395" i="92"/>
  <c r="E395" i="92"/>
  <c r="D395" i="92"/>
  <c r="C395" i="92"/>
  <c r="I394" i="92"/>
  <c r="H394" i="92"/>
  <c r="G394" i="92"/>
  <c r="F394" i="92"/>
  <c r="E394" i="92"/>
  <c r="D394" i="92"/>
  <c r="C394" i="92"/>
  <c r="I393" i="92"/>
  <c r="H393" i="92"/>
  <c r="G393" i="92"/>
  <c r="F393" i="92"/>
  <c r="E393" i="92"/>
  <c r="D393" i="92"/>
  <c r="C393" i="92"/>
  <c r="I392" i="92"/>
  <c r="H392" i="92"/>
  <c r="G392" i="92"/>
  <c r="F392" i="92"/>
  <c r="E392" i="92"/>
  <c r="D392" i="92"/>
  <c r="C392" i="92"/>
  <c r="I370" i="92"/>
  <c r="H370" i="92"/>
  <c r="G370" i="92"/>
  <c r="F370" i="92"/>
  <c r="E370" i="92"/>
  <c r="D370" i="92"/>
  <c r="C370" i="92"/>
  <c r="I369" i="92"/>
  <c r="H369" i="92"/>
  <c r="G369" i="92"/>
  <c r="F369" i="92"/>
  <c r="E369" i="92"/>
  <c r="D369" i="92"/>
  <c r="C369" i="92"/>
  <c r="I368" i="92"/>
  <c r="H368" i="92"/>
  <c r="G368" i="92"/>
  <c r="F368" i="92"/>
  <c r="E368" i="92"/>
  <c r="D368" i="92"/>
  <c r="C368" i="92"/>
  <c r="I367" i="92"/>
  <c r="H367" i="92"/>
  <c r="G367" i="92"/>
  <c r="F367" i="92"/>
  <c r="E367" i="92"/>
  <c r="D367" i="92"/>
  <c r="C367" i="92"/>
  <c r="I366" i="92"/>
  <c r="H366" i="92"/>
  <c r="G366" i="92"/>
  <c r="F366" i="92"/>
  <c r="E366" i="92"/>
  <c r="D366" i="92"/>
  <c r="C366" i="92"/>
  <c r="I365" i="92"/>
  <c r="H365" i="92"/>
  <c r="G365" i="92"/>
  <c r="F365" i="92"/>
  <c r="E365" i="92"/>
  <c r="D365" i="92"/>
  <c r="C365" i="92"/>
  <c r="I329" i="92"/>
  <c r="H329" i="92"/>
  <c r="G329" i="92"/>
  <c r="F329" i="92"/>
  <c r="E329" i="92"/>
  <c r="D329" i="92"/>
  <c r="C329" i="92"/>
  <c r="I328" i="92"/>
  <c r="H328" i="92"/>
  <c r="G328" i="92"/>
  <c r="F328" i="92"/>
  <c r="E328" i="92"/>
  <c r="D328" i="92"/>
  <c r="C328" i="92"/>
  <c r="I327" i="92"/>
  <c r="H327" i="92"/>
  <c r="G327" i="92"/>
  <c r="F327" i="92"/>
  <c r="E327" i="92"/>
  <c r="D327" i="92"/>
  <c r="C327" i="92"/>
  <c r="I326" i="92"/>
  <c r="H326" i="92"/>
  <c r="G326" i="92"/>
  <c r="F326" i="92"/>
  <c r="E326" i="92"/>
  <c r="D326" i="92"/>
  <c r="C326" i="92"/>
  <c r="I325" i="92"/>
  <c r="H325" i="92"/>
  <c r="G325" i="92"/>
  <c r="F325" i="92"/>
  <c r="E325" i="92"/>
  <c r="D325" i="92"/>
  <c r="C325" i="92"/>
  <c r="I324" i="92"/>
  <c r="H324" i="92"/>
  <c r="G324" i="92"/>
  <c r="F324" i="92"/>
  <c r="E324" i="92"/>
  <c r="D324" i="92"/>
  <c r="C324" i="92"/>
  <c r="C280" i="92"/>
  <c r="C279" i="92"/>
  <c r="C278" i="92"/>
  <c r="C277" i="92"/>
  <c r="C276" i="92"/>
  <c r="I280" i="92"/>
  <c r="H280" i="92"/>
  <c r="G280" i="92"/>
  <c r="F280" i="92"/>
  <c r="E280" i="92"/>
  <c r="D280" i="92"/>
  <c r="I279" i="92"/>
  <c r="H279" i="92"/>
  <c r="G279" i="92"/>
  <c r="F279" i="92"/>
  <c r="E279" i="92"/>
  <c r="D279" i="92"/>
  <c r="I278" i="92"/>
  <c r="H278" i="92"/>
  <c r="G278" i="92"/>
  <c r="F278" i="92"/>
  <c r="E278" i="92"/>
  <c r="D278" i="92"/>
  <c r="I277" i="92"/>
  <c r="H277" i="92"/>
  <c r="G277" i="92"/>
  <c r="F277" i="92"/>
  <c r="E277" i="92"/>
  <c r="D277" i="92"/>
  <c r="I276" i="92"/>
  <c r="H276" i="92"/>
  <c r="G276" i="92"/>
  <c r="F276" i="92"/>
  <c r="E276" i="92"/>
  <c r="D276" i="92"/>
  <c r="I275" i="92"/>
  <c r="H275" i="92"/>
  <c r="G275" i="92"/>
  <c r="F275" i="92"/>
  <c r="E275" i="92"/>
  <c r="D275" i="92"/>
  <c r="C275" i="92"/>
  <c r="C221" i="92"/>
  <c r="C220" i="92"/>
  <c r="C219" i="92"/>
  <c r="C218" i="92"/>
  <c r="C217" i="92"/>
  <c r="C216" i="92"/>
  <c r="I221" i="92"/>
  <c r="H221" i="92"/>
  <c r="G221" i="92"/>
  <c r="F221" i="92"/>
  <c r="E221" i="92"/>
  <c r="D221" i="92"/>
  <c r="I220" i="92"/>
  <c r="H220" i="92"/>
  <c r="G220" i="92"/>
  <c r="F220" i="92"/>
  <c r="E220" i="92"/>
  <c r="D220" i="92"/>
  <c r="I219" i="92"/>
  <c r="H219" i="92"/>
  <c r="G219" i="92"/>
  <c r="F219" i="92"/>
  <c r="E219" i="92"/>
  <c r="D219" i="92"/>
  <c r="I218" i="92"/>
  <c r="H218" i="92"/>
  <c r="G218" i="92"/>
  <c r="F218" i="92"/>
  <c r="E218" i="92"/>
  <c r="D218" i="92"/>
  <c r="I217" i="92"/>
  <c r="H217" i="92"/>
  <c r="G217" i="92"/>
  <c r="F217" i="92"/>
  <c r="E217" i="92"/>
  <c r="D217" i="92"/>
  <c r="I216" i="92"/>
  <c r="H216" i="92"/>
  <c r="G216" i="92"/>
  <c r="F216" i="92"/>
  <c r="E216" i="92"/>
  <c r="D216" i="92"/>
  <c r="I215" i="92"/>
  <c r="H215" i="92"/>
  <c r="G215" i="92"/>
  <c r="F215" i="92"/>
  <c r="E215" i="92"/>
  <c r="D215" i="92"/>
  <c r="C215" i="92"/>
  <c r="I176" i="92"/>
  <c r="H176" i="92"/>
  <c r="G176" i="92"/>
  <c r="F176" i="92"/>
  <c r="E176" i="92"/>
  <c r="D176" i="92"/>
  <c r="C176" i="92"/>
  <c r="I175" i="92"/>
  <c r="H175" i="92"/>
  <c r="G175" i="92"/>
  <c r="F175" i="92"/>
  <c r="E175" i="92"/>
  <c r="D175" i="92"/>
  <c r="C175" i="92"/>
  <c r="I174" i="92"/>
  <c r="H174" i="92"/>
  <c r="G174" i="92"/>
  <c r="F174" i="92"/>
  <c r="E174" i="92"/>
  <c r="D174" i="92"/>
  <c r="C174" i="92"/>
  <c r="I173" i="92"/>
  <c r="H173" i="92"/>
  <c r="G173" i="92"/>
  <c r="F173" i="92"/>
  <c r="E173" i="92"/>
  <c r="D173" i="92"/>
  <c r="C173" i="92"/>
  <c r="I172" i="92"/>
  <c r="H172" i="92"/>
  <c r="G172" i="92"/>
  <c r="F172" i="92"/>
  <c r="E172" i="92"/>
  <c r="D172" i="92"/>
  <c r="C172" i="92"/>
  <c r="I171" i="92"/>
  <c r="H171" i="92"/>
  <c r="G171" i="92"/>
  <c r="F171" i="92"/>
  <c r="E171" i="92"/>
  <c r="D171" i="92"/>
  <c r="C171" i="92"/>
  <c r="I117" i="92"/>
  <c r="H117" i="92"/>
  <c r="G117" i="92"/>
  <c r="F117" i="92"/>
  <c r="E117" i="92"/>
  <c r="D117" i="92"/>
  <c r="C117" i="92"/>
  <c r="I116" i="92"/>
  <c r="H116" i="92"/>
  <c r="G116" i="92"/>
  <c r="F116" i="92"/>
  <c r="E116" i="92"/>
  <c r="D116" i="92"/>
  <c r="C116" i="92"/>
  <c r="I115" i="92"/>
  <c r="H115" i="92"/>
  <c r="G115" i="92"/>
  <c r="F115" i="92"/>
  <c r="E115" i="92"/>
  <c r="D115" i="92"/>
  <c r="C115" i="92"/>
  <c r="I114" i="92"/>
  <c r="H114" i="92"/>
  <c r="G114" i="92"/>
  <c r="F114" i="92"/>
  <c r="E114" i="92"/>
  <c r="D114" i="92"/>
  <c r="C114" i="92"/>
  <c r="I113" i="92"/>
  <c r="H113" i="92"/>
  <c r="G113" i="92"/>
  <c r="F113" i="92"/>
  <c r="E113" i="92"/>
  <c r="D113" i="92"/>
  <c r="C113" i="92"/>
  <c r="I112" i="92"/>
  <c r="H112" i="92"/>
  <c r="G112" i="92"/>
  <c r="F112" i="92"/>
  <c r="E112" i="92"/>
  <c r="D112" i="92"/>
  <c r="C112" i="92"/>
  <c r="I87" i="92"/>
  <c r="H87" i="92"/>
  <c r="G87" i="92"/>
  <c r="F87" i="92"/>
  <c r="E87" i="92"/>
  <c r="D87" i="92"/>
  <c r="C87" i="92"/>
  <c r="I86" i="92"/>
  <c r="H86" i="92"/>
  <c r="G86" i="92"/>
  <c r="F86" i="92"/>
  <c r="E86" i="92"/>
  <c r="D86" i="92"/>
  <c r="C86" i="92"/>
  <c r="I85" i="92"/>
  <c r="H85" i="92"/>
  <c r="G85" i="92"/>
  <c r="F85" i="92"/>
  <c r="E85" i="92"/>
  <c r="D85" i="92"/>
  <c r="C85" i="92"/>
  <c r="I84" i="92"/>
  <c r="H84" i="92"/>
  <c r="G84" i="92"/>
  <c r="F84" i="92"/>
  <c r="E84" i="92"/>
  <c r="D84" i="92"/>
  <c r="C84" i="92"/>
  <c r="I83" i="92"/>
  <c r="H83" i="92"/>
  <c r="G83" i="92"/>
  <c r="F83" i="92"/>
  <c r="E83" i="92"/>
  <c r="D83" i="92"/>
  <c r="C83" i="92"/>
  <c r="I82" i="92"/>
  <c r="H82" i="92"/>
  <c r="G82" i="92"/>
  <c r="F82" i="92"/>
  <c r="E82" i="92"/>
  <c r="D82" i="92"/>
  <c r="C82" i="92"/>
  <c r="I641" i="14"/>
  <c r="H641" i="14"/>
  <c r="G641" i="14"/>
  <c r="F641" i="14"/>
  <c r="E641" i="14"/>
  <c r="D641" i="14"/>
  <c r="C641" i="14"/>
  <c r="I640" i="14"/>
  <c r="H640" i="14"/>
  <c r="G640" i="14"/>
  <c r="F640" i="14"/>
  <c r="E640" i="14"/>
  <c r="D640" i="14"/>
  <c r="C640" i="14"/>
  <c r="I639" i="14"/>
  <c r="H639" i="14"/>
  <c r="G639" i="14"/>
  <c r="F639" i="14"/>
  <c r="E639" i="14"/>
  <c r="D639" i="14"/>
  <c r="C639" i="14"/>
  <c r="I638" i="14"/>
  <c r="H638" i="14"/>
  <c r="G638" i="14"/>
  <c r="F638" i="14"/>
  <c r="E638" i="14"/>
  <c r="D638" i="14"/>
  <c r="C638" i="14"/>
  <c r="I637" i="14"/>
  <c r="H637" i="14"/>
  <c r="G637" i="14"/>
  <c r="F637" i="14"/>
  <c r="E637" i="14"/>
  <c r="D637" i="14"/>
  <c r="C637" i="14"/>
  <c r="I636" i="14"/>
  <c r="H636" i="14"/>
  <c r="G636" i="14"/>
  <c r="F636" i="14"/>
  <c r="E636" i="14"/>
  <c r="D636" i="14"/>
  <c r="C636" i="14"/>
  <c r="I613" i="14"/>
  <c r="H613" i="14"/>
  <c r="G613" i="14"/>
  <c r="F613" i="14"/>
  <c r="E613" i="14"/>
  <c r="D613" i="14"/>
  <c r="C613" i="14"/>
  <c r="I612" i="14"/>
  <c r="H612" i="14"/>
  <c r="G612" i="14"/>
  <c r="F612" i="14"/>
  <c r="E612" i="14"/>
  <c r="D612" i="14"/>
  <c r="C612" i="14"/>
  <c r="I611" i="14"/>
  <c r="H611" i="14"/>
  <c r="G611" i="14"/>
  <c r="F611" i="14"/>
  <c r="E611" i="14"/>
  <c r="D611" i="14"/>
  <c r="C611" i="14"/>
  <c r="I610" i="14"/>
  <c r="H610" i="14"/>
  <c r="G610" i="14"/>
  <c r="F610" i="14"/>
  <c r="E610" i="14"/>
  <c r="D610" i="14"/>
  <c r="C610" i="14"/>
  <c r="I609" i="14"/>
  <c r="H609" i="14"/>
  <c r="G609" i="14"/>
  <c r="F609" i="14"/>
  <c r="E609" i="14"/>
  <c r="D609" i="14"/>
  <c r="C609" i="14"/>
  <c r="I608" i="14"/>
  <c r="H608" i="14"/>
  <c r="G608" i="14"/>
  <c r="F608" i="14"/>
  <c r="E608" i="14"/>
  <c r="D608" i="14"/>
  <c r="C608" i="14"/>
  <c r="I673" i="14"/>
  <c r="H673" i="14"/>
  <c r="G673" i="14"/>
  <c r="F673" i="14"/>
  <c r="E673" i="14"/>
  <c r="D673" i="14"/>
  <c r="C673" i="14"/>
  <c r="I672" i="14"/>
  <c r="H672" i="14"/>
  <c r="G672" i="14"/>
  <c r="F672" i="14"/>
  <c r="E672" i="14"/>
  <c r="D672" i="14"/>
  <c r="I671" i="14"/>
  <c r="H671" i="14"/>
  <c r="G671" i="14"/>
  <c r="F671" i="14"/>
  <c r="E671" i="14"/>
  <c r="D671" i="14"/>
  <c r="C671" i="14"/>
  <c r="I670" i="14"/>
  <c r="H670" i="14"/>
  <c r="G670" i="14"/>
  <c r="F670" i="14"/>
  <c r="E670" i="14"/>
  <c r="D670" i="14"/>
  <c r="C670" i="14"/>
  <c r="I669" i="14"/>
  <c r="H669" i="14"/>
  <c r="G669" i="14"/>
  <c r="F669" i="14"/>
  <c r="E669" i="14"/>
  <c r="D669" i="14"/>
  <c r="C669" i="14"/>
  <c r="I668" i="14"/>
  <c r="H668" i="14"/>
  <c r="G668" i="14"/>
  <c r="F668" i="14"/>
  <c r="E668" i="14"/>
  <c r="D668" i="14"/>
  <c r="C668" i="14"/>
  <c r="I707" i="14"/>
  <c r="H707" i="14"/>
  <c r="G707" i="14"/>
  <c r="F707" i="14"/>
  <c r="E707" i="14"/>
  <c r="D707" i="14"/>
  <c r="C707" i="14"/>
  <c r="I706" i="14"/>
  <c r="H706" i="14"/>
  <c r="G706" i="14"/>
  <c r="F706" i="14"/>
  <c r="E706" i="14"/>
  <c r="D706" i="14"/>
  <c r="C706" i="14"/>
  <c r="I705" i="14"/>
  <c r="H705" i="14"/>
  <c r="G705" i="14"/>
  <c r="F705" i="14"/>
  <c r="E705" i="14"/>
  <c r="D705" i="14"/>
  <c r="C705" i="14"/>
  <c r="I704" i="14"/>
  <c r="H704" i="14"/>
  <c r="G704" i="14"/>
  <c r="F704" i="14"/>
  <c r="E704" i="14"/>
  <c r="D704" i="14"/>
  <c r="C704" i="14"/>
  <c r="I703" i="14"/>
  <c r="H703" i="14"/>
  <c r="G703" i="14"/>
  <c r="F703" i="14"/>
  <c r="E703" i="14"/>
  <c r="D703" i="14"/>
  <c r="C703" i="14"/>
  <c r="I702" i="14"/>
  <c r="H702" i="14"/>
  <c r="G702" i="14"/>
  <c r="F702" i="14"/>
  <c r="E702" i="14"/>
  <c r="D702" i="14"/>
  <c r="C702" i="14"/>
  <c r="I464" i="14"/>
  <c r="H464" i="14"/>
  <c r="G464" i="14"/>
  <c r="F464" i="14"/>
  <c r="E464" i="14"/>
  <c r="D464" i="14"/>
  <c r="C464" i="14"/>
  <c r="I463" i="14"/>
  <c r="H463" i="14"/>
  <c r="G463" i="14"/>
  <c r="F463" i="14"/>
  <c r="E463" i="14"/>
  <c r="D463" i="14"/>
  <c r="C463" i="14"/>
  <c r="I462" i="14"/>
  <c r="H462" i="14"/>
  <c r="G462" i="14"/>
  <c r="F462" i="14"/>
  <c r="E462" i="14"/>
  <c r="D462" i="14"/>
  <c r="C462" i="14"/>
  <c r="I461" i="14"/>
  <c r="H461" i="14"/>
  <c r="G461" i="14"/>
  <c r="F461" i="14"/>
  <c r="E461" i="14"/>
  <c r="D461" i="14"/>
  <c r="C461" i="14"/>
  <c r="I460" i="14"/>
  <c r="H460" i="14"/>
  <c r="G460" i="14"/>
  <c r="F460" i="14"/>
  <c r="E460" i="14"/>
  <c r="D460" i="14"/>
  <c r="C460" i="14"/>
  <c r="I459" i="14"/>
  <c r="H459" i="14"/>
  <c r="G459" i="14"/>
  <c r="F459" i="14"/>
  <c r="E459" i="14"/>
  <c r="D459" i="14"/>
  <c r="C459" i="14"/>
  <c r="H351" i="14"/>
  <c r="G351" i="14"/>
  <c r="F351" i="14"/>
  <c r="E351" i="14"/>
  <c r="D351" i="14"/>
  <c r="H350" i="14"/>
  <c r="G350" i="14"/>
  <c r="F350" i="14"/>
  <c r="E350" i="14"/>
  <c r="D350" i="14"/>
  <c r="H349" i="14"/>
  <c r="G349" i="14"/>
  <c r="F349" i="14"/>
  <c r="E349" i="14"/>
  <c r="D349" i="14"/>
  <c r="H348" i="14"/>
  <c r="G348" i="14"/>
  <c r="F348" i="14"/>
  <c r="E348" i="14"/>
  <c r="D348" i="14"/>
  <c r="H347" i="14"/>
  <c r="G347" i="14"/>
  <c r="F347" i="14"/>
  <c r="E347" i="14"/>
  <c r="D347" i="14"/>
  <c r="H346" i="14"/>
  <c r="G346" i="14"/>
  <c r="F346" i="14"/>
  <c r="E346" i="14"/>
  <c r="D346" i="14"/>
  <c r="C351" i="14"/>
  <c r="C350" i="14"/>
  <c r="C349" i="14"/>
  <c r="C348" i="14"/>
  <c r="C347" i="14"/>
  <c r="C346" i="14"/>
  <c r="F473" i="14"/>
  <c r="E110" i="92"/>
  <c r="D110" i="92"/>
  <c r="E109" i="92"/>
  <c r="D109" i="92"/>
  <c r="D108" i="92"/>
  <c r="E107" i="92"/>
  <c r="D107" i="92"/>
  <c r="E106" i="92"/>
  <c r="D106" i="92"/>
  <c r="E105" i="92"/>
  <c r="D105" i="92"/>
  <c r="E104" i="92"/>
  <c r="D104" i="92"/>
  <c r="E103" i="92"/>
  <c r="D103" i="92"/>
  <c r="E102" i="92"/>
  <c r="D102" i="92"/>
  <c r="E101" i="92"/>
  <c r="D101" i="92"/>
  <c r="E100" i="92"/>
  <c r="D100" i="92"/>
  <c r="E99" i="92"/>
  <c r="D99" i="92"/>
  <c r="E98" i="92"/>
  <c r="D98" i="92"/>
  <c r="E97" i="92"/>
  <c r="D97" i="92"/>
  <c r="E96" i="92"/>
  <c r="D96" i="92"/>
  <c r="E95" i="92"/>
  <c r="D95" i="92"/>
  <c r="E94" i="92"/>
  <c r="D94" i="92"/>
  <c r="E93" i="92"/>
  <c r="D93" i="92"/>
  <c r="E92" i="92"/>
  <c r="D92" i="92"/>
  <c r="I280" i="31" l="1"/>
  <c r="M428" i="92"/>
  <c r="M669" i="14"/>
  <c r="I283" i="31"/>
  <c r="I282" i="31"/>
  <c r="I82" i="31"/>
  <c r="I84" i="31"/>
  <c r="I103" i="31"/>
  <c r="I107" i="31"/>
  <c r="I172" i="31"/>
  <c r="I204" i="31"/>
  <c r="I222" i="31"/>
  <c r="I242" i="31"/>
  <c r="I244" i="31"/>
  <c r="I246" i="31"/>
  <c r="I259" i="31"/>
  <c r="I261" i="31"/>
  <c r="I263" i="31"/>
  <c r="I362" i="31"/>
  <c r="I364" i="31"/>
  <c r="I279" i="31"/>
  <c r="I281" i="31"/>
  <c r="I86" i="31"/>
  <c r="I105" i="31"/>
  <c r="I170" i="31"/>
  <c r="I174" i="31"/>
  <c r="I200" i="31"/>
  <c r="I202" i="31"/>
  <c r="M702" i="14"/>
  <c r="M670" i="14"/>
  <c r="M668" i="14"/>
  <c r="M707" i="14"/>
  <c r="M276" i="92"/>
  <c r="M706" i="14"/>
  <c r="M673" i="14"/>
  <c r="M674" i="14" s="1"/>
  <c r="M277" i="92"/>
  <c r="M705" i="14"/>
  <c r="M278" i="92"/>
  <c r="M704" i="14"/>
  <c r="M672" i="14"/>
  <c r="M275" i="92"/>
  <c r="M279" i="92"/>
  <c r="M703" i="14"/>
  <c r="M671" i="14"/>
  <c r="M280" i="92"/>
  <c r="M639" i="14"/>
  <c r="I278" i="31"/>
  <c r="M640" i="14"/>
  <c r="M325" i="92"/>
  <c r="M369" i="92"/>
  <c r="M370" i="92"/>
  <c r="M423" i="92"/>
  <c r="M424" i="92"/>
  <c r="I83" i="31"/>
  <c r="I104" i="31"/>
  <c r="I106" i="31"/>
  <c r="I169" i="31"/>
  <c r="I173" i="31"/>
  <c r="I217" i="31"/>
  <c r="I216" i="31" s="1"/>
  <c r="I219" i="31"/>
  <c r="I241" i="31"/>
  <c r="I243" i="31"/>
  <c r="I258" i="31"/>
  <c r="I257" i="31" s="1"/>
  <c r="I262" i="31"/>
  <c r="I363" i="31"/>
  <c r="I365" i="31"/>
  <c r="I366" i="31"/>
  <c r="M427" i="92"/>
  <c r="I85" i="31"/>
  <c r="M327" i="92"/>
  <c r="M329" i="92"/>
  <c r="M328" i="92"/>
  <c r="M366" i="92"/>
  <c r="I171" i="31"/>
  <c r="I201" i="31"/>
  <c r="M610" i="14"/>
  <c r="M613" i="14"/>
  <c r="M392" i="92"/>
  <c r="M393" i="92"/>
  <c r="M394" i="92"/>
  <c r="M326" i="92"/>
  <c r="I361" i="31"/>
  <c r="M609" i="14"/>
  <c r="M612" i="14"/>
  <c r="M636" i="14"/>
  <c r="M637" i="14"/>
  <c r="M638" i="14"/>
  <c r="M368" i="92"/>
  <c r="M396" i="92"/>
  <c r="M324" i="92"/>
  <c r="I199" i="31"/>
  <c r="I198" i="31" s="1"/>
  <c r="M426" i="92"/>
  <c r="I81" i="31"/>
  <c r="I102" i="31"/>
  <c r="I203" i="31"/>
  <c r="I221" i="31"/>
  <c r="I245" i="31"/>
  <c r="I260" i="31"/>
  <c r="M611" i="14"/>
  <c r="M425" i="92"/>
  <c r="M641" i="14"/>
  <c r="M367" i="92"/>
  <c r="M395" i="92"/>
  <c r="I218" i="31"/>
  <c r="I220" i="31"/>
  <c r="M365" i="92"/>
  <c r="M116" i="92"/>
  <c r="M218" i="92"/>
  <c r="M174" i="92"/>
  <c r="M219" i="92"/>
  <c r="M117" i="92"/>
  <c r="M173" i="92"/>
  <c r="M83" i="92"/>
  <c r="M86" i="92"/>
  <c r="M221" i="92"/>
  <c r="M171" i="92"/>
  <c r="M172" i="92"/>
  <c r="M175" i="92"/>
  <c r="M216" i="92"/>
  <c r="M114" i="92"/>
  <c r="M217" i="92"/>
  <c r="M82" i="92"/>
  <c r="M84" i="92"/>
  <c r="M85" i="92"/>
  <c r="M113" i="92"/>
  <c r="M176" i="92"/>
  <c r="M220" i="92"/>
  <c r="M115" i="92"/>
  <c r="M87" i="92"/>
  <c r="M215" i="92"/>
  <c r="M214" i="92" s="1"/>
  <c r="M112" i="92"/>
  <c r="M608" i="14"/>
  <c r="M459" i="14"/>
  <c r="M460" i="14"/>
  <c r="M461" i="14"/>
  <c r="M351" i="14"/>
  <c r="M464" i="14"/>
  <c r="M463" i="14"/>
  <c r="M462" i="14"/>
  <c r="M350" i="14"/>
  <c r="M347" i="14"/>
  <c r="M348" i="14"/>
  <c r="M349" i="14"/>
  <c r="M346" i="14"/>
  <c r="M11" i="105"/>
  <c r="J116" i="105"/>
  <c r="C93" i="105"/>
  <c r="C56" i="105"/>
  <c r="L18" i="75"/>
  <c r="C102" i="105" s="1"/>
  <c r="L15" i="75"/>
  <c r="C72" i="105" s="1"/>
  <c r="T11" i="96"/>
  <c r="F50" i="96"/>
  <c r="F49" i="96"/>
  <c r="F48" i="96"/>
  <c r="F47" i="96"/>
  <c r="F46" i="96"/>
  <c r="F45" i="96"/>
  <c r="F44" i="96"/>
  <c r="F43" i="96"/>
  <c r="F42" i="96"/>
  <c r="F41" i="96"/>
  <c r="F40" i="96"/>
  <c r="F39" i="96"/>
  <c r="F38" i="96"/>
  <c r="E50" i="96"/>
  <c r="E49" i="96"/>
  <c r="E48" i="96"/>
  <c r="E47" i="96"/>
  <c r="E46" i="96"/>
  <c r="E45" i="96"/>
  <c r="E44" i="96"/>
  <c r="E43" i="96"/>
  <c r="E42" i="96"/>
  <c r="E41" i="96"/>
  <c r="E40" i="96"/>
  <c r="E39" i="96"/>
  <c r="E38" i="96"/>
  <c r="P100" i="105"/>
  <c r="O100" i="105"/>
  <c r="N100" i="105"/>
  <c r="M100" i="105"/>
  <c r="L100" i="105"/>
  <c r="K100" i="105"/>
  <c r="P99" i="105"/>
  <c r="G48" i="94" s="1"/>
  <c r="K48" i="127" s="1"/>
  <c r="O99" i="105"/>
  <c r="N99" i="105"/>
  <c r="M99" i="105"/>
  <c r="L99" i="105"/>
  <c r="K99" i="105"/>
  <c r="P98" i="105"/>
  <c r="O98" i="105"/>
  <c r="N98" i="105"/>
  <c r="M98" i="105"/>
  <c r="L98" i="105"/>
  <c r="K98" i="105"/>
  <c r="P97" i="105"/>
  <c r="O97" i="105"/>
  <c r="N97" i="105"/>
  <c r="M97" i="105"/>
  <c r="L97" i="105"/>
  <c r="K97" i="105"/>
  <c r="P96" i="105"/>
  <c r="O96" i="105"/>
  <c r="N96" i="105"/>
  <c r="M96" i="105"/>
  <c r="L96" i="105"/>
  <c r="K96" i="105"/>
  <c r="P95" i="105"/>
  <c r="O95" i="105"/>
  <c r="N95" i="105"/>
  <c r="M95" i="105"/>
  <c r="L95" i="105"/>
  <c r="K95" i="105"/>
  <c r="P94" i="105"/>
  <c r="P63" i="105"/>
  <c r="O63" i="105"/>
  <c r="N63" i="105"/>
  <c r="M63" i="105"/>
  <c r="L63" i="105"/>
  <c r="K63" i="105"/>
  <c r="P62" i="105"/>
  <c r="G47" i="94" s="1"/>
  <c r="K47" i="127" s="1"/>
  <c r="O62" i="105"/>
  <c r="N62" i="105"/>
  <c r="M62" i="105"/>
  <c r="L62" i="105"/>
  <c r="K62" i="105"/>
  <c r="O61" i="105"/>
  <c r="N61" i="105"/>
  <c r="M61" i="105"/>
  <c r="L61" i="105"/>
  <c r="K61" i="105"/>
  <c r="O60" i="105"/>
  <c r="N60" i="105"/>
  <c r="M60" i="105"/>
  <c r="L60" i="105"/>
  <c r="K60" i="105"/>
  <c r="P59" i="105"/>
  <c r="O59" i="105"/>
  <c r="N59" i="105"/>
  <c r="M59" i="105"/>
  <c r="L59" i="105"/>
  <c r="K59" i="105"/>
  <c r="P58" i="105"/>
  <c r="O58" i="105"/>
  <c r="N58" i="105"/>
  <c r="M58" i="105"/>
  <c r="L58" i="105"/>
  <c r="K58" i="105"/>
  <c r="P57" i="105"/>
  <c r="I62" i="105"/>
  <c r="F47" i="94" s="1"/>
  <c r="I947" i="91"/>
  <c r="I946" i="91"/>
  <c r="I945" i="91"/>
  <c r="I944" i="91"/>
  <c r="I360" i="92" s="1"/>
  <c r="I363" i="92"/>
  <c r="H363" i="92"/>
  <c r="G363" i="92"/>
  <c r="D363" i="92"/>
  <c r="C363" i="92"/>
  <c r="C947" i="91" s="1"/>
  <c r="I362" i="92"/>
  <c r="H362" i="92"/>
  <c r="G362" i="92"/>
  <c r="F362" i="92"/>
  <c r="E362" i="92"/>
  <c r="D362" i="92"/>
  <c r="C362" i="92"/>
  <c r="C946" i="91" s="1"/>
  <c r="I361" i="92"/>
  <c r="H361" i="92"/>
  <c r="G361" i="92"/>
  <c r="D361" i="92"/>
  <c r="C361" i="92"/>
  <c r="C945" i="91" s="1"/>
  <c r="H360" i="92"/>
  <c r="G360" i="92"/>
  <c r="F360" i="92"/>
  <c r="C360" i="92"/>
  <c r="C944" i="91" s="1"/>
  <c r="H213" i="92"/>
  <c r="G213" i="92"/>
  <c r="F213" i="92"/>
  <c r="E213" i="92"/>
  <c r="D213" i="92"/>
  <c r="H212" i="92"/>
  <c r="G212" i="92"/>
  <c r="F212" i="92"/>
  <c r="E212" i="92"/>
  <c r="D212" i="92"/>
  <c r="H211" i="92"/>
  <c r="G211" i="92"/>
  <c r="F211" i="92"/>
  <c r="E211" i="92"/>
  <c r="H210" i="92"/>
  <c r="G210" i="92"/>
  <c r="F210" i="92"/>
  <c r="C239" i="31"/>
  <c r="C238" i="31"/>
  <c r="C237" i="31"/>
  <c r="C236" i="31"/>
  <c r="C235" i="31"/>
  <c r="C234" i="31"/>
  <c r="C233" i="31"/>
  <c r="C232" i="31"/>
  <c r="C231" i="31"/>
  <c r="C230" i="31"/>
  <c r="C229" i="31"/>
  <c r="C228" i="31"/>
  <c r="C227" i="31"/>
  <c r="C215" i="31"/>
  <c r="C214" i="31"/>
  <c r="C213" i="31"/>
  <c r="C212" i="31"/>
  <c r="C211" i="31"/>
  <c r="C210" i="31"/>
  <c r="E186" i="31"/>
  <c r="C195" i="31"/>
  <c r="C194" i="31"/>
  <c r="C193" i="31"/>
  <c r="C192" i="31"/>
  <c r="C191" i="31"/>
  <c r="C190" i="31"/>
  <c r="C189" i="31"/>
  <c r="C188" i="31"/>
  <c r="C187" i="31"/>
  <c r="C186" i="31"/>
  <c r="P60" i="105" l="1"/>
  <c r="P61" i="105"/>
  <c r="P75" i="93"/>
  <c r="V40" i="93" l="1"/>
  <c r="X37" i="93"/>
  <c r="V36" i="93"/>
  <c r="V30" i="93"/>
  <c r="V25" i="93"/>
  <c r="V22" i="93"/>
  <c r="V19" i="93"/>
  <c r="C49" i="14"/>
  <c r="F31" i="31"/>
  <c r="E31" i="31"/>
  <c r="I86" i="87"/>
  <c r="I83" i="94"/>
  <c r="I82" i="94"/>
  <c r="I81" i="94"/>
  <c r="I80" i="94"/>
  <c r="I79" i="94"/>
  <c r="I78" i="94"/>
  <c r="I77" i="94"/>
  <c r="I76" i="94"/>
  <c r="I75" i="94"/>
  <c r="I74" i="94"/>
  <c r="I72" i="94"/>
  <c r="I71" i="94"/>
  <c r="I70" i="94"/>
  <c r="I69" i="94"/>
  <c r="I68" i="94"/>
  <c r="C75" i="87"/>
  <c r="C169" i="6" s="1"/>
  <c r="F147" i="31"/>
  <c r="E147" i="31"/>
  <c r="F146" i="31"/>
  <c r="E146" i="31"/>
  <c r="F145" i="31"/>
  <c r="E145" i="31"/>
  <c r="F144" i="31"/>
  <c r="E144" i="31"/>
  <c r="F143" i="31"/>
  <c r="E143" i="31"/>
  <c r="F142" i="31"/>
  <c r="E142" i="31"/>
  <c r="F141" i="31"/>
  <c r="E141" i="31"/>
  <c r="F140" i="31"/>
  <c r="E140" i="31"/>
  <c r="F139" i="31"/>
  <c r="E139" i="31"/>
  <c r="F138" i="31"/>
  <c r="E138" i="31"/>
  <c r="F137" i="31"/>
  <c r="E137" i="31"/>
  <c r="F136" i="31"/>
  <c r="E136" i="31"/>
  <c r="F135" i="31"/>
  <c r="E135" i="31"/>
  <c r="F134" i="31"/>
  <c r="E134" i="31"/>
  <c r="F133" i="31"/>
  <c r="E133" i="31"/>
  <c r="F132" i="31"/>
  <c r="E132" i="31"/>
  <c r="F131" i="31"/>
  <c r="E131" i="31"/>
  <c r="F130" i="31"/>
  <c r="E130" i="31"/>
  <c r="F167" i="31"/>
  <c r="E167" i="31"/>
  <c r="F166" i="31"/>
  <c r="E166" i="31"/>
  <c r="F165" i="31"/>
  <c r="E165" i="31"/>
  <c r="F164" i="31"/>
  <c r="E164" i="31"/>
  <c r="F163" i="31"/>
  <c r="E163" i="31"/>
  <c r="F162" i="31"/>
  <c r="E162" i="31"/>
  <c r="F161" i="31"/>
  <c r="E161" i="31"/>
  <c r="F160" i="31"/>
  <c r="E160" i="31"/>
  <c r="F159" i="31"/>
  <c r="E159" i="31"/>
  <c r="F158" i="31"/>
  <c r="E158" i="31"/>
  <c r="F157" i="31"/>
  <c r="E157" i="31"/>
  <c r="F156" i="31"/>
  <c r="E156" i="31"/>
  <c r="F155" i="31"/>
  <c r="E155" i="31"/>
  <c r="F154" i="31"/>
  <c r="E154" i="31"/>
  <c r="F153" i="31"/>
  <c r="E153" i="31"/>
  <c r="F152" i="31"/>
  <c r="E152" i="31"/>
  <c r="D33" i="106"/>
  <c r="D34" i="106"/>
  <c r="J26" i="91"/>
  <c r="J20" i="91"/>
  <c r="J14" i="91"/>
  <c r="I128" i="31" l="1"/>
  <c r="I129" i="31"/>
  <c r="E148" i="31"/>
  <c r="F148" i="31"/>
  <c r="H355" i="92"/>
  <c r="G355" i="92"/>
  <c r="F355" i="92"/>
  <c r="E355" i="92"/>
  <c r="D355" i="92"/>
  <c r="H354" i="92"/>
  <c r="G354" i="92"/>
  <c r="F354" i="92"/>
  <c r="E354" i="92"/>
  <c r="D354" i="92"/>
  <c r="H353" i="92"/>
  <c r="G353" i="92"/>
  <c r="F353" i="92"/>
  <c r="E353" i="92"/>
  <c r="D353" i="92"/>
  <c r="H352" i="92"/>
  <c r="G352" i="92"/>
  <c r="F352" i="92"/>
  <c r="E352" i="92"/>
  <c r="I939" i="91"/>
  <c r="I355" i="92" s="1"/>
  <c r="I938" i="91"/>
  <c r="I354" i="92" s="1"/>
  <c r="I937" i="91"/>
  <c r="I353" i="92" s="1"/>
  <c r="E321" i="92"/>
  <c r="D321" i="92"/>
  <c r="E320" i="92"/>
  <c r="D320" i="92"/>
  <c r="E319" i="92"/>
  <c r="D319" i="92"/>
  <c r="E318" i="92"/>
  <c r="D318" i="92"/>
  <c r="E317" i="92"/>
  <c r="D317" i="92"/>
  <c r="E316" i="92"/>
  <c r="D316" i="92"/>
  <c r="E315" i="92"/>
  <c r="D315" i="92"/>
  <c r="E314" i="92"/>
  <c r="D314" i="92"/>
  <c r="E313" i="92"/>
  <c r="D313" i="92"/>
  <c r="E312" i="92"/>
  <c r="D312" i="92"/>
  <c r="C322" i="92"/>
  <c r="C321" i="92"/>
  <c r="C320" i="92"/>
  <c r="C319" i="92"/>
  <c r="C318" i="92"/>
  <c r="C317" i="92"/>
  <c r="C316" i="92"/>
  <c r="C315" i="92"/>
  <c r="C314" i="92"/>
  <c r="C313" i="92"/>
  <c r="C312" i="92"/>
  <c r="E928" i="91"/>
  <c r="E322" i="92" s="1"/>
  <c r="D928" i="91"/>
  <c r="D322" i="92" s="1"/>
  <c r="C273" i="92"/>
  <c r="M273" i="92" s="1"/>
  <c r="C272" i="92"/>
  <c r="M272" i="92" s="1"/>
  <c r="C271" i="92"/>
  <c r="M271" i="92" s="1"/>
  <c r="C270" i="92"/>
  <c r="M270" i="92" s="1"/>
  <c r="C269" i="92"/>
  <c r="M269" i="92" s="1"/>
  <c r="C268" i="92"/>
  <c r="M268" i="92" s="1"/>
  <c r="I273" i="92"/>
  <c r="H273" i="92"/>
  <c r="G273" i="92"/>
  <c r="F273" i="92"/>
  <c r="E273" i="92"/>
  <c r="D273" i="92"/>
  <c r="I272" i="92"/>
  <c r="H272" i="92"/>
  <c r="G272" i="92"/>
  <c r="F272" i="92"/>
  <c r="E272" i="92"/>
  <c r="D272" i="92"/>
  <c r="I271" i="92"/>
  <c r="H271" i="92"/>
  <c r="G271" i="92"/>
  <c r="F271" i="92"/>
  <c r="E271" i="92"/>
  <c r="D271" i="92"/>
  <c r="I270" i="92"/>
  <c r="H270" i="92"/>
  <c r="G270" i="92"/>
  <c r="F270" i="92"/>
  <c r="E270" i="92"/>
  <c r="D270" i="92"/>
  <c r="I269" i="92"/>
  <c r="H269" i="92"/>
  <c r="G269" i="92"/>
  <c r="F269" i="92"/>
  <c r="E269" i="92"/>
  <c r="D269" i="92"/>
  <c r="I268" i="92"/>
  <c r="H268" i="92"/>
  <c r="G268" i="92"/>
  <c r="F268" i="92"/>
  <c r="E268" i="92"/>
  <c r="D268" i="92"/>
  <c r="E234" i="92"/>
  <c r="D234" i="92"/>
  <c r="E233" i="92"/>
  <c r="D233" i="92"/>
  <c r="E232" i="92"/>
  <c r="D232" i="92"/>
  <c r="E231" i="92"/>
  <c r="D231" i="92"/>
  <c r="E230" i="92"/>
  <c r="D230" i="92"/>
  <c r="E229" i="92"/>
  <c r="D229" i="92"/>
  <c r="C901" i="91"/>
  <c r="C868" i="91"/>
  <c r="E253" i="92"/>
  <c r="D253" i="92"/>
  <c r="E252" i="92"/>
  <c r="D252" i="92"/>
  <c r="E251" i="92"/>
  <c r="D251" i="92"/>
  <c r="E250" i="92"/>
  <c r="D250" i="92"/>
  <c r="E249" i="92"/>
  <c r="D249" i="92"/>
  <c r="E242" i="92"/>
  <c r="D242" i="92"/>
  <c r="E241" i="92"/>
  <c r="D241" i="92"/>
  <c r="E240" i="92"/>
  <c r="D240" i="92"/>
  <c r="E239" i="92"/>
  <c r="D239" i="92"/>
  <c r="E238" i="92"/>
  <c r="D238" i="92"/>
  <c r="I861" i="91"/>
  <c r="I860" i="91"/>
  <c r="I858" i="91"/>
  <c r="H666" i="14"/>
  <c r="G666" i="14"/>
  <c r="F666" i="14"/>
  <c r="E666" i="14"/>
  <c r="D666" i="14"/>
  <c r="H665" i="14"/>
  <c r="G665" i="14"/>
  <c r="F665" i="14"/>
  <c r="D665" i="14"/>
  <c r="H664" i="14"/>
  <c r="G664" i="14"/>
  <c r="F664" i="14"/>
  <c r="D664" i="14"/>
  <c r="H663" i="14"/>
  <c r="G663" i="14"/>
  <c r="F663" i="14"/>
  <c r="D663" i="14"/>
  <c r="H662" i="14"/>
  <c r="G662" i="14"/>
  <c r="F662" i="14"/>
  <c r="E662" i="14"/>
  <c r="I661" i="14"/>
  <c r="H661" i="14"/>
  <c r="G661" i="14"/>
  <c r="F661" i="14"/>
  <c r="E661" i="14"/>
  <c r="D661" i="14"/>
  <c r="C661" i="14"/>
  <c r="H658" i="14"/>
  <c r="G658" i="14"/>
  <c r="F658" i="14"/>
  <c r="E658" i="14"/>
  <c r="H657" i="14"/>
  <c r="G657" i="14"/>
  <c r="F657" i="14"/>
  <c r="E657" i="14"/>
  <c r="H656" i="14"/>
  <c r="G656" i="14"/>
  <c r="F656" i="14"/>
  <c r="H655" i="14"/>
  <c r="G655" i="14"/>
  <c r="F655" i="14"/>
  <c r="H654" i="14"/>
  <c r="G654" i="14"/>
  <c r="F654" i="14"/>
  <c r="E654" i="14"/>
  <c r="I653" i="14"/>
  <c r="H653" i="14"/>
  <c r="G653" i="14"/>
  <c r="F653" i="14"/>
  <c r="E653" i="14"/>
  <c r="D653" i="14"/>
  <c r="C653" i="14"/>
  <c r="I762" i="91"/>
  <c r="I658" i="14" s="1"/>
  <c r="I761" i="91"/>
  <c r="I657" i="14" s="1"/>
  <c r="C402" i="31"/>
  <c r="F401" i="31"/>
  <c r="E401" i="31"/>
  <c r="F400" i="31"/>
  <c r="E400" i="31"/>
  <c r="F399" i="31"/>
  <c r="E399" i="31"/>
  <c r="F398" i="31"/>
  <c r="E398" i="31"/>
  <c r="F397" i="31"/>
  <c r="E397" i="31"/>
  <c r="F396" i="31"/>
  <c r="E396" i="31"/>
  <c r="F395" i="31"/>
  <c r="E395" i="31"/>
  <c r="F394" i="31"/>
  <c r="E394" i="31"/>
  <c r="F393" i="31"/>
  <c r="E393" i="31"/>
  <c r="F392" i="31"/>
  <c r="E392" i="31"/>
  <c r="F391" i="31"/>
  <c r="E391" i="31"/>
  <c r="C401" i="31"/>
  <c r="C400" i="31"/>
  <c r="C399" i="31"/>
  <c r="C398" i="31"/>
  <c r="C397" i="31"/>
  <c r="C396" i="31"/>
  <c r="C395" i="31"/>
  <c r="C394" i="31"/>
  <c r="C393" i="31"/>
  <c r="C392" i="31"/>
  <c r="C391" i="31"/>
  <c r="F385" i="31"/>
  <c r="E385" i="31"/>
  <c r="F384" i="31"/>
  <c r="E384" i="31"/>
  <c r="F383" i="31"/>
  <c r="E383" i="31"/>
  <c r="F382" i="31"/>
  <c r="E382" i="31"/>
  <c r="F381" i="31"/>
  <c r="E381" i="31"/>
  <c r="F380" i="31"/>
  <c r="E380" i="31"/>
  <c r="F379" i="31"/>
  <c r="E379" i="31"/>
  <c r="F378" i="31"/>
  <c r="E378" i="31"/>
  <c r="F377" i="31"/>
  <c r="E377" i="31"/>
  <c r="F376" i="31"/>
  <c r="E376" i="31"/>
  <c r="F375" i="31"/>
  <c r="E375" i="31"/>
  <c r="F374" i="31"/>
  <c r="E374" i="31"/>
  <c r="F373" i="31"/>
  <c r="E373" i="31"/>
  <c r="F372" i="31"/>
  <c r="E372" i="31"/>
  <c r="C386" i="31"/>
  <c r="C385" i="31"/>
  <c r="C384" i="31"/>
  <c r="C383" i="31"/>
  <c r="C382" i="31"/>
  <c r="C381" i="31"/>
  <c r="C380" i="31"/>
  <c r="C379" i="31"/>
  <c r="C378" i="31"/>
  <c r="C377" i="31"/>
  <c r="C376" i="31"/>
  <c r="C375" i="31"/>
  <c r="C374" i="31"/>
  <c r="C373" i="31"/>
  <c r="C372" i="31"/>
  <c r="C370" i="31"/>
  <c r="F750" i="91"/>
  <c r="F402" i="31" s="1"/>
  <c r="E750" i="91"/>
  <c r="E402" i="31" s="1"/>
  <c r="F734" i="91"/>
  <c r="F386" i="31" s="1"/>
  <c r="E734" i="91"/>
  <c r="E386" i="31" s="1"/>
  <c r="F237" i="31"/>
  <c r="F236" i="31"/>
  <c r="F235" i="31"/>
  <c r="F234" i="31"/>
  <c r="F230" i="31"/>
  <c r="E230" i="31"/>
  <c r="F229" i="31"/>
  <c r="E229" i="31"/>
  <c r="F228" i="31"/>
  <c r="E228" i="31"/>
  <c r="C226" i="31"/>
  <c r="F213" i="31"/>
  <c r="E213" i="31"/>
  <c r="F212" i="31"/>
  <c r="E212" i="31"/>
  <c r="F211" i="31"/>
  <c r="E211" i="31"/>
  <c r="F210" i="31"/>
  <c r="C209" i="31"/>
  <c r="E711" i="91"/>
  <c r="E236" i="31" s="1"/>
  <c r="E710" i="91"/>
  <c r="F706" i="91"/>
  <c r="F714" i="91" s="1"/>
  <c r="F697" i="91"/>
  <c r="E697" i="91"/>
  <c r="F196" i="31"/>
  <c r="E196" i="31"/>
  <c r="F195" i="31"/>
  <c r="E195" i="31"/>
  <c r="F194" i="31"/>
  <c r="E194" i="31"/>
  <c r="F193" i="31"/>
  <c r="E193" i="31"/>
  <c r="F192" i="31"/>
  <c r="E192" i="31"/>
  <c r="F191" i="31"/>
  <c r="E191" i="31"/>
  <c r="F190" i="31"/>
  <c r="E190" i="31"/>
  <c r="F189" i="31"/>
  <c r="E189" i="31"/>
  <c r="F188" i="31"/>
  <c r="E188" i="31"/>
  <c r="F187" i="31"/>
  <c r="E187" i="31"/>
  <c r="F186" i="31"/>
  <c r="F360" i="31"/>
  <c r="E360" i="31"/>
  <c r="F359" i="31"/>
  <c r="E359" i="31"/>
  <c r="F358" i="31"/>
  <c r="E358" i="31"/>
  <c r="F357" i="31"/>
  <c r="E357" i="31"/>
  <c r="F356" i="31"/>
  <c r="E356" i="31"/>
  <c r="F355" i="31"/>
  <c r="E355" i="31"/>
  <c r="F354" i="31"/>
  <c r="E354" i="31"/>
  <c r="F353" i="31"/>
  <c r="E353" i="31"/>
  <c r="F352" i="31"/>
  <c r="E352" i="31"/>
  <c r="F351" i="31"/>
  <c r="E351" i="31"/>
  <c r="F350" i="31"/>
  <c r="E350" i="31"/>
  <c r="F349" i="31"/>
  <c r="E349" i="31"/>
  <c r="F348" i="31"/>
  <c r="E348" i="31"/>
  <c r="F347" i="31"/>
  <c r="E347" i="31"/>
  <c r="C660" i="91"/>
  <c r="C659" i="91"/>
  <c r="C658" i="91"/>
  <c r="C656" i="91"/>
  <c r="C655" i="91"/>
  <c r="C654" i="91"/>
  <c r="C653" i="91"/>
  <c r="D167" i="31"/>
  <c r="C167" i="31"/>
  <c r="D166" i="31"/>
  <c r="C166" i="31"/>
  <c r="D165" i="31"/>
  <c r="C165" i="31"/>
  <c r="D164" i="31"/>
  <c r="C164" i="31"/>
  <c r="D163" i="31"/>
  <c r="C163" i="31"/>
  <c r="D162" i="31"/>
  <c r="C162" i="31"/>
  <c r="D161" i="31"/>
  <c r="C161" i="31"/>
  <c r="D160" i="31"/>
  <c r="C160" i="31"/>
  <c r="D159" i="31"/>
  <c r="C159" i="31"/>
  <c r="D158" i="31"/>
  <c r="C158" i="31"/>
  <c r="D157" i="31"/>
  <c r="C157" i="31"/>
  <c r="D156" i="31"/>
  <c r="C156" i="31"/>
  <c r="D155" i="31"/>
  <c r="C155" i="31"/>
  <c r="D154" i="31"/>
  <c r="C154" i="31"/>
  <c r="D153" i="31"/>
  <c r="C153" i="31"/>
  <c r="D152" i="31"/>
  <c r="C152" i="31"/>
  <c r="D151" i="31"/>
  <c r="C151" i="31"/>
  <c r="D150" i="31"/>
  <c r="C150" i="31"/>
  <c r="D149" i="31"/>
  <c r="C149" i="31"/>
  <c r="D148" i="31"/>
  <c r="C148" i="31"/>
  <c r="D147" i="31"/>
  <c r="C147" i="31"/>
  <c r="D146" i="31"/>
  <c r="C146" i="31"/>
  <c r="D145" i="31"/>
  <c r="C145" i="31"/>
  <c r="D144" i="31"/>
  <c r="C144" i="31"/>
  <c r="D143" i="31"/>
  <c r="C143" i="31"/>
  <c r="D142" i="31"/>
  <c r="C142" i="31"/>
  <c r="D141" i="31"/>
  <c r="C141" i="31"/>
  <c r="D140" i="31"/>
  <c r="C140" i="31"/>
  <c r="D139" i="31"/>
  <c r="C139" i="31"/>
  <c r="D138" i="31"/>
  <c r="C138" i="31"/>
  <c r="D137" i="31"/>
  <c r="C137" i="31"/>
  <c r="D136" i="31"/>
  <c r="C136" i="31"/>
  <c r="D135" i="31"/>
  <c r="C135" i="31"/>
  <c r="D134" i="31"/>
  <c r="C134" i="31"/>
  <c r="D133" i="31"/>
  <c r="C133" i="31"/>
  <c r="D132" i="31"/>
  <c r="C132" i="31"/>
  <c r="D131" i="31"/>
  <c r="C131" i="31"/>
  <c r="D130" i="31"/>
  <c r="C130" i="31"/>
  <c r="D129" i="31"/>
  <c r="C129" i="31"/>
  <c r="D128" i="31"/>
  <c r="C128" i="31"/>
  <c r="D127" i="31"/>
  <c r="C127" i="31"/>
  <c r="C126" i="31"/>
  <c r="F79" i="31"/>
  <c r="E79" i="31"/>
  <c r="F78" i="31"/>
  <c r="E78" i="31"/>
  <c r="F77" i="31"/>
  <c r="E77" i="31"/>
  <c r="F76" i="31"/>
  <c r="E76" i="31"/>
  <c r="F75" i="31"/>
  <c r="E75" i="31"/>
  <c r="F74" i="31"/>
  <c r="E74" i="31"/>
  <c r="F73" i="31"/>
  <c r="E73" i="31"/>
  <c r="F72" i="31"/>
  <c r="E72" i="31"/>
  <c r="F71" i="31"/>
  <c r="E71" i="31"/>
  <c r="F70" i="31"/>
  <c r="E70" i="31"/>
  <c r="F69" i="31"/>
  <c r="E69" i="31"/>
  <c r="F68" i="31"/>
  <c r="E68" i="31"/>
  <c r="F67" i="31"/>
  <c r="E67" i="31"/>
  <c r="F66" i="31"/>
  <c r="E66" i="31"/>
  <c r="F65" i="31"/>
  <c r="E65" i="31"/>
  <c r="F64" i="31"/>
  <c r="E64" i="31"/>
  <c r="F63" i="31"/>
  <c r="E63" i="31"/>
  <c r="F62" i="31"/>
  <c r="E62" i="31"/>
  <c r="F61" i="31"/>
  <c r="E61" i="31"/>
  <c r="F60" i="31"/>
  <c r="E60" i="31"/>
  <c r="F59" i="31"/>
  <c r="E59" i="31"/>
  <c r="F58" i="31"/>
  <c r="E58" i="31"/>
  <c r="F57" i="31"/>
  <c r="E57" i="31"/>
  <c r="F56" i="31"/>
  <c r="E56" i="31"/>
  <c r="F55" i="31"/>
  <c r="E55" i="31"/>
  <c r="F54" i="31"/>
  <c r="E54" i="31"/>
  <c r="F53" i="31"/>
  <c r="E53" i="31"/>
  <c r="F52" i="31"/>
  <c r="E52" i="31"/>
  <c r="F51" i="31"/>
  <c r="E51" i="31"/>
  <c r="F50" i="31"/>
  <c r="E50" i="31"/>
  <c r="F49" i="31"/>
  <c r="E49" i="31"/>
  <c r="F48" i="31"/>
  <c r="E48" i="31"/>
  <c r="F47" i="31"/>
  <c r="E47" i="31"/>
  <c r="F46" i="31"/>
  <c r="E46" i="31"/>
  <c r="F45" i="31"/>
  <c r="E45" i="31"/>
  <c r="F44" i="31"/>
  <c r="E44" i="31"/>
  <c r="F43" i="31"/>
  <c r="E43" i="31"/>
  <c r="F42" i="31"/>
  <c r="E42" i="31"/>
  <c r="F41" i="31"/>
  <c r="E41" i="31"/>
  <c r="F40" i="31"/>
  <c r="E40" i="31"/>
  <c r="F39" i="31"/>
  <c r="E39" i="31"/>
  <c r="F38" i="31"/>
  <c r="E38" i="31"/>
  <c r="F37" i="31"/>
  <c r="E37" i="31"/>
  <c r="F36" i="31"/>
  <c r="E36" i="31"/>
  <c r="F35" i="31"/>
  <c r="E35" i="31"/>
  <c r="F34" i="31"/>
  <c r="E34" i="31"/>
  <c r="F33" i="31"/>
  <c r="E33" i="31"/>
  <c r="F32" i="31"/>
  <c r="E32"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G45" i="87"/>
  <c r="G43" i="87"/>
  <c r="G42" i="87"/>
  <c r="F42" i="87"/>
  <c r="G41" i="87"/>
  <c r="F41" i="87"/>
  <c r="F62" i="6" s="1"/>
  <c r="F117" i="6" s="1"/>
  <c r="F956" i="91"/>
  <c r="G44" i="87" s="1"/>
  <c r="E956" i="91"/>
  <c r="F44" i="87" s="1"/>
  <c r="H62" i="6" l="1"/>
  <c r="H117" i="6" s="1"/>
  <c r="I392" i="31"/>
  <c r="I396" i="31"/>
  <c r="I400" i="31"/>
  <c r="E235" i="31"/>
  <c r="E712" i="91"/>
  <c r="E714" i="91" s="1"/>
  <c r="E234" i="31"/>
  <c r="I350" i="31"/>
  <c r="I354" i="31"/>
  <c r="I394" i="31"/>
  <c r="I398" i="31"/>
  <c r="M319" i="92"/>
  <c r="I373" i="31"/>
  <c r="I377" i="31"/>
  <c r="I381" i="31"/>
  <c r="I385" i="31"/>
  <c r="I353" i="31"/>
  <c r="I391" i="31"/>
  <c r="I395" i="31"/>
  <c r="I399" i="31"/>
  <c r="I402" i="31"/>
  <c r="I389" i="31" s="1"/>
  <c r="I375" i="31"/>
  <c r="I379" i="31"/>
  <c r="I383" i="31"/>
  <c r="M317" i="92"/>
  <c r="M321" i="92"/>
  <c r="I393" i="31"/>
  <c r="I397" i="31"/>
  <c r="I401" i="31"/>
  <c r="I372" i="31"/>
  <c r="I376" i="31"/>
  <c r="I380" i="31"/>
  <c r="I384" i="31"/>
  <c r="M318" i="92"/>
  <c r="I351" i="31"/>
  <c r="I355" i="31"/>
  <c r="I386" i="31"/>
  <c r="I370" i="31" s="1"/>
  <c r="I374" i="31"/>
  <c r="I378" i="31"/>
  <c r="I382" i="31"/>
  <c r="M316" i="92"/>
  <c r="M320" i="92"/>
  <c r="I352" i="31"/>
  <c r="I356" i="31"/>
  <c r="I357" i="31" s="1"/>
  <c r="M322" i="92"/>
  <c r="D656" i="14"/>
  <c r="D657" i="14"/>
  <c r="D655" i="14"/>
  <c r="D658" i="14"/>
  <c r="I192" i="31"/>
  <c r="I190" i="31"/>
  <c r="I194" i="31"/>
  <c r="I191" i="31"/>
  <c r="I195" i="31"/>
  <c r="I193" i="31"/>
  <c r="E231" i="31"/>
  <c r="F231" i="31"/>
  <c r="F239" i="31" s="1"/>
  <c r="I38" i="31"/>
  <c r="I138" i="31"/>
  <c r="I142" i="31"/>
  <c r="I158" i="31"/>
  <c r="I165" i="31"/>
  <c r="I146" i="31"/>
  <c r="I50" i="31"/>
  <c r="I62" i="31"/>
  <c r="I66" i="31"/>
  <c r="I74" i="31"/>
  <c r="I78" i="31"/>
  <c r="I140" i="31"/>
  <c r="I159" i="31"/>
  <c r="I163" i="31"/>
  <c r="I40" i="31"/>
  <c r="I48" i="31"/>
  <c r="I52" i="31"/>
  <c r="I139" i="31"/>
  <c r="I63" i="31"/>
  <c r="I64" i="31"/>
  <c r="I72" i="31"/>
  <c r="I76" i="31"/>
  <c r="I147" i="31"/>
  <c r="I39" i="31"/>
  <c r="I157" i="31"/>
  <c r="I161" i="31"/>
  <c r="I166" i="31"/>
  <c r="I51" i="31"/>
  <c r="I75" i="31"/>
  <c r="I41" i="31"/>
  <c r="I49" i="31"/>
  <c r="I61" i="31"/>
  <c r="I65" i="31"/>
  <c r="I73" i="31"/>
  <c r="I77" i="31"/>
  <c r="I143" i="31"/>
  <c r="I162" i="31"/>
  <c r="I141" i="31"/>
  <c r="I145" i="31"/>
  <c r="I156" i="31"/>
  <c r="I160" i="31"/>
  <c r="I164" i="31"/>
  <c r="E958" i="91"/>
  <c r="F46" i="87" s="1"/>
  <c r="F958" i="91"/>
  <c r="G46" i="87" s="1"/>
  <c r="F43" i="99" l="1"/>
  <c r="G43" i="99" s="1"/>
  <c r="C6" i="133"/>
  <c r="E237" i="31"/>
  <c r="E239" i="31" s="1"/>
  <c r="F23" i="87" s="1"/>
  <c r="I390" i="31"/>
  <c r="I388" i="31"/>
  <c r="I349" i="31"/>
  <c r="E108" i="92"/>
  <c r="I19" i="94"/>
  <c r="D17" i="106"/>
  <c r="J24" i="91"/>
  <c r="J18" i="91"/>
  <c r="J12" i="91"/>
  <c r="F357" i="14"/>
  <c r="F358" i="14"/>
  <c r="F359" i="14"/>
  <c r="F363" i="14"/>
  <c r="F364" i="14"/>
  <c r="F365" i="14"/>
  <c r="F366" i="14"/>
  <c r="F367" i="14"/>
  <c r="F368" i="14"/>
  <c r="F371" i="14"/>
  <c r="F372" i="14"/>
  <c r="F373" i="14"/>
  <c r="F374" i="14"/>
  <c r="F375" i="14"/>
  <c r="F376" i="14"/>
  <c r="F377" i="14"/>
  <c r="F378" i="14"/>
  <c r="F379" i="14"/>
  <c r="F380" i="14"/>
  <c r="F383" i="14"/>
  <c r="F384" i="14"/>
  <c r="F385" i="14"/>
  <c r="F386" i="14"/>
  <c r="F387" i="14"/>
  <c r="F388" i="14"/>
  <c r="F391" i="14"/>
  <c r="F392" i="14"/>
  <c r="F393" i="14"/>
  <c r="F394" i="14"/>
  <c r="F397" i="14"/>
  <c r="F398" i="14"/>
  <c r="F399" i="14"/>
  <c r="F400" i="14"/>
  <c r="F401" i="14"/>
  <c r="F402" i="14"/>
  <c r="F403" i="14"/>
  <c r="F406" i="14"/>
  <c r="F407" i="14"/>
  <c r="F408" i="14"/>
  <c r="F409" i="14"/>
  <c r="F410" i="14"/>
  <c r="F411" i="14"/>
  <c r="F412" i="14"/>
  <c r="F416" i="14"/>
  <c r="F417" i="14"/>
  <c r="F418" i="14"/>
  <c r="F419" i="14"/>
  <c r="F422" i="14"/>
  <c r="F423" i="14"/>
  <c r="F424" i="14"/>
  <c r="F425" i="14"/>
  <c r="F428" i="14"/>
  <c r="F429" i="14"/>
  <c r="F430" i="14"/>
  <c r="F431" i="14"/>
  <c r="F434" i="14"/>
  <c r="F435" i="14"/>
  <c r="F436" i="14"/>
  <c r="F437" i="14"/>
  <c r="F440" i="14"/>
  <c r="F441" i="14"/>
  <c r="F443" i="14"/>
  <c r="F444" i="14"/>
  <c r="F445" i="14"/>
  <c r="F446" i="14"/>
  <c r="F447" i="14"/>
  <c r="F448" i="14"/>
  <c r="F449" i="14"/>
  <c r="F450" i="14"/>
  <c r="F451" i="14"/>
  <c r="F452" i="14"/>
  <c r="F453" i="14"/>
  <c r="F454" i="14"/>
  <c r="E454" i="14"/>
  <c r="E453" i="14"/>
  <c r="E452" i="14"/>
  <c r="E451" i="14"/>
  <c r="E450" i="14"/>
  <c r="E449" i="14"/>
  <c r="E448" i="14"/>
  <c r="E447" i="14"/>
  <c r="E446" i="14"/>
  <c r="E443" i="14"/>
  <c r="E436" i="14"/>
  <c r="E435" i="14"/>
  <c r="E434" i="14"/>
  <c r="E430" i="14"/>
  <c r="E429" i="14"/>
  <c r="E428" i="14"/>
  <c r="E424" i="14"/>
  <c r="E423" i="14"/>
  <c r="E422" i="14"/>
  <c r="E418" i="14"/>
  <c r="E417" i="14"/>
  <c r="E416" i="14"/>
  <c r="E412" i="14"/>
  <c r="E411" i="14"/>
  <c r="E410" i="14"/>
  <c r="E409" i="14"/>
  <c r="E408" i="14"/>
  <c r="E407" i="14"/>
  <c r="E402" i="14"/>
  <c r="E401" i="14"/>
  <c r="E400" i="14"/>
  <c r="E399" i="14"/>
  <c r="E398" i="14"/>
  <c r="E397" i="14"/>
  <c r="E393" i="14"/>
  <c r="E392" i="14"/>
  <c r="E391" i="14"/>
  <c r="E387" i="14"/>
  <c r="E386" i="14"/>
  <c r="E384" i="14"/>
  <c r="E383" i="14"/>
  <c r="E379" i="14"/>
  <c r="E378" i="14"/>
  <c r="E377" i="14"/>
  <c r="E376" i="14"/>
  <c r="E375" i="14"/>
  <c r="E374" i="14"/>
  <c r="E373" i="14"/>
  <c r="E372" i="14"/>
  <c r="E371" i="14"/>
  <c r="E367" i="14"/>
  <c r="E366" i="14"/>
  <c r="E364" i="14"/>
  <c r="E363" i="14"/>
  <c r="E359" i="14"/>
  <c r="E358" i="14"/>
  <c r="G401" i="91"/>
  <c r="F413" i="14" s="1"/>
  <c r="D66" i="87"/>
  <c r="F215" i="31"/>
  <c r="X76" i="93"/>
  <c r="U76" i="93"/>
  <c r="T76" i="93"/>
  <c r="S76" i="93"/>
  <c r="R76" i="93"/>
  <c r="Q76" i="93"/>
  <c r="P76" i="93"/>
  <c r="O76" i="93"/>
  <c r="M76" i="93"/>
  <c r="L76" i="93"/>
  <c r="K76" i="93"/>
  <c r="J76" i="93"/>
  <c r="I76" i="93"/>
  <c r="H76" i="93"/>
  <c r="G76" i="93"/>
  <c r="F76" i="93"/>
  <c r="E76" i="93"/>
  <c r="N40" i="93"/>
  <c r="W40" i="93" s="1"/>
  <c r="U28" i="93"/>
  <c r="T28" i="93"/>
  <c r="S28" i="93"/>
  <c r="L28" i="93"/>
  <c r="K28" i="93"/>
  <c r="J28" i="93"/>
  <c r="I28" i="93"/>
  <c r="W76" i="93" l="1"/>
  <c r="V28" i="93"/>
  <c r="V39" i="93"/>
  <c r="V33" i="93"/>
  <c r="D584" i="107"/>
  <c r="D36" i="106" s="1"/>
  <c r="F51" i="94" s="1"/>
  <c r="E584" i="107"/>
  <c r="E411" i="92"/>
  <c r="E418" i="92"/>
  <c r="F688" i="14"/>
  <c r="V76" i="93"/>
  <c r="N28" i="93"/>
  <c r="X33" i="93"/>
  <c r="H476" i="14" l="1"/>
  <c r="F151" i="92"/>
  <c r="G476" i="14"/>
  <c r="F684" i="14"/>
  <c r="F693" i="14"/>
  <c r="F137" i="92"/>
  <c r="E412" i="92"/>
  <c r="H631" i="14"/>
  <c r="G627" i="14"/>
  <c r="G631" i="14"/>
  <c r="F696" i="14"/>
  <c r="H477" i="14"/>
  <c r="F144" i="92"/>
  <c r="F686" i="14"/>
  <c r="F690" i="14"/>
  <c r="F678" i="14"/>
  <c r="H627" i="14"/>
  <c r="H620" i="14"/>
  <c r="F146" i="92"/>
  <c r="F682" i="14"/>
  <c r="F680" i="14"/>
  <c r="F691" i="14"/>
  <c r="F689" i="14"/>
  <c r="F647" i="14"/>
  <c r="E772" i="91" s="1"/>
  <c r="G477" i="14"/>
  <c r="F681" i="14"/>
  <c r="F694" i="14"/>
  <c r="F679" i="14"/>
  <c r="F692" i="14"/>
  <c r="H628" i="14"/>
  <c r="F683" i="14"/>
  <c r="F687" i="14"/>
  <c r="G628" i="14"/>
  <c r="F25" i="94"/>
  <c r="E406" i="14"/>
  <c r="F401" i="91"/>
  <c r="E413" i="14" s="1"/>
  <c r="F648" i="14"/>
  <c r="N39" i="93"/>
  <c r="W39" i="93" s="1"/>
  <c r="N33" i="93"/>
  <c r="W33" i="93" s="1"/>
  <c r="E773" i="91" l="1"/>
  <c r="E664" i="14" s="1"/>
  <c r="G34" i="94"/>
  <c r="K34" i="127" s="1"/>
  <c r="M34" i="127" s="1"/>
  <c r="E663" i="14"/>
  <c r="I779" i="91" s="1"/>
  <c r="I772" i="91"/>
  <c r="I663" i="14" s="1"/>
  <c r="G779" i="91"/>
  <c r="I774" i="91"/>
  <c r="F700" i="14"/>
  <c r="E262" i="92"/>
  <c r="G57" i="94" s="1"/>
  <c r="K57" i="127" s="1"/>
  <c r="M57" i="127" s="1"/>
  <c r="H779" i="91"/>
  <c r="H41" i="14"/>
  <c r="G41" i="14"/>
  <c r="H40" i="14"/>
  <c r="G40" i="14"/>
  <c r="H39" i="14"/>
  <c r="G39" i="14"/>
  <c r="H38" i="14"/>
  <c r="G38" i="14"/>
  <c r="H37" i="14"/>
  <c r="G37" i="14"/>
  <c r="H34" i="14"/>
  <c r="G34" i="14"/>
  <c r="H33" i="14"/>
  <c r="G33" i="14"/>
  <c r="H32" i="14"/>
  <c r="G32" i="14"/>
  <c r="H31" i="14"/>
  <c r="G31" i="14"/>
  <c r="H30" i="14"/>
  <c r="G30" i="14"/>
  <c r="H27" i="14"/>
  <c r="G27" i="14"/>
  <c r="H26" i="14"/>
  <c r="G26" i="14"/>
  <c r="H25" i="14"/>
  <c r="G25" i="14"/>
  <c r="H24" i="14"/>
  <c r="G24" i="14"/>
  <c r="H23" i="14"/>
  <c r="G23" i="14"/>
  <c r="H20" i="14"/>
  <c r="G20" i="14"/>
  <c r="H19" i="14"/>
  <c r="G19" i="14"/>
  <c r="H18" i="14"/>
  <c r="G18" i="14"/>
  <c r="H17" i="14"/>
  <c r="G17" i="14"/>
  <c r="H16" i="14"/>
  <c r="G16" i="14"/>
  <c r="I773" i="91" l="1"/>
  <c r="I664" i="14" s="1"/>
  <c r="I665" i="14"/>
  <c r="G778" i="91"/>
  <c r="G780" i="91" s="1"/>
  <c r="I775" i="91"/>
  <c r="I666" i="14" s="1"/>
  <c r="E665" i="14"/>
  <c r="G45" i="14"/>
  <c r="H45" i="14"/>
  <c r="E38" i="106"/>
  <c r="D38" i="106"/>
  <c r="C38" i="106"/>
  <c r="E37" i="106"/>
  <c r="D37" i="106"/>
  <c r="C37" i="106"/>
  <c r="E36" i="106"/>
  <c r="C36" i="106"/>
  <c r="E35" i="106"/>
  <c r="D35" i="106"/>
  <c r="C35" i="106"/>
  <c r="E34" i="106"/>
  <c r="C34" i="106"/>
  <c r="E33" i="106"/>
  <c r="C33" i="106"/>
  <c r="E32" i="106"/>
  <c r="C32" i="106"/>
  <c r="E31" i="106"/>
  <c r="C31" i="106"/>
  <c r="E30" i="106"/>
  <c r="D30" i="106"/>
  <c r="C30" i="106"/>
  <c r="E29" i="106"/>
  <c r="D29" i="106"/>
  <c r="C29" i="106"/>
  <c r="E28" i="106"/>
  <c r="D28" i="106"/>
  <c r="C28" i="106"/>
  <c r="E27" i="106"/>
  <c r="D27" i="106"/>
  <c r="C27" i="106"/>
  <c r="E26" i="106"/>
  <c r="D26" i="106"/>
  <c r="C26" i="106"/>
  <c r="D25" i="106"/>
  <c r="C25" i="106"/>
  <c r="E24" i="106"/>
  <c r="D24" i="106"/>
  <c r="C24" i="106"/>
  <c r="E23" i="106"/>
  <c r="D23" i="106"/>
  <c r="C23" i="106"/>
  <c r="E22" i="106"/>
  <c r="D22" i="106"/>
  <c r="C22" i="106"/>
  <c r="E21" i="106"/>
  <c r="D21" i="106"/>
  <c r="C21" i="106"/>
  <c r="E20" i="106"/>
  <c r="D20" i="106"/>
  <c r="C20" i="106"/>
  <c r="E19" i="106"/>
  <c r="C19" i="106"/>
  <c r="E18" i="106"/>
  <c r="C18" i="106"/>
  <c r="E17" i="106"/>
  <c r="C17" i="106"/>
  <c r="E16" i="106"/>
  <c r="D16" i="106"/>
  <c r="C16" i="106"/>
  <c r="G118" i="100"/>
  <c r="F118" i="100"/>
  <c r="E118" i="100"/>
  <c r="D118" i="100"/>
  <c r="C118" i="100"/>
  <c r="G117" i="100"/>
  <c r="F117" i="100"/>
  <c r="E117" i="100"/>
  <c r="D117" i="100"/>
  <c r="C117" i="100"/>
  <c r="G116" i="100"/>
  <c r="F116" i="100"/>
  <c r="E116" i="100"/>
  <c r="D116" i="100"/>
  <c r="C116" i="100"/>
  <c r="G115" i="100"/>
  <c r="F115" i="100"/>
  <c r="E115" i="100"/>
  <c r="D115" i="100"/>
  <c r="C115" i="100"/>
  <c r="G114" i="100"/>
  <c r="F114" i="100"/>
  <c r="E114" i="100"/>
  <c r="D114" i="100"/>
  <c r="C114" i="100"/>
  <c r="G113" i="100"/>
  <c r="F113" i="100"/>
  <c r="E113" i="100"/>
  <c r="D113" i="100"/>
  <c r="C113" i="100"/>
  <c r="G112" i="100"/>
  <c r="F112" i="100"/>
  <c r="E112" i="100"/>
  <c r="D112" i="100"/>
  <c r="C112" i="100"/>
  <c r="G111" i="100"/>
  <c r="F111" i="100"/>
  <c r="E111" i="100"/>
  <c r="D111" i="100"/>
  <c r="C111" i="100"/>
  <c r="G110" i="100"/>
  <c r="F110" i="100"/>
  <c r="E110" i="100"/>
  <c r="D110" i="100"/>
  <c r="C110" i="100"/>
  <c r="G109" i="100"/>
  <c r="F109" i="100"/>
  <c r="E109" i="100"/>
  <c r="D109" i="100"/>
  <c r="C109" i="100"/>
  <c r="G108" i="100"/>
  <c r="F108" i="100"/>
  <c r="E108" i="100"/>
  <c r="D108" i="100"/>
  <c r="C108" i="100"/>
  <c r="G107" i="100"/>
  <c r="F107" i="100"/>
  <c r="E107" i="100"/>
  <c r="D107" i="100"/>
  <c r="C107" i="100"/>
  <c r="G106" i="100"/>
  <c r="F106" i="100"/>
  <c r="E106" i="100"/>
  <c r="D106" i="100"/>
  <c r="C106" i="100"/>
  <c r="G85" i="100"/>
  <c r="F85" i="100"/>
  <c r="E85" i="100"/>
  <c r="D85" i="100"/>
  <c r="C85" i="100"/>
  <c r="G84" i="100"/>
  <c r="F84" i="100"/>
  <c r="E84" i="100"/>
  <c r="D84" i="100"/>
  <c r="C84" i="100"/>
  <c r="G83" i="100"/>
  <c r="F83" i="100"/>
  <c r="E83" i="100"/>
  <c r="D83" i="100"/>
  <c r="C83" i="100"/>
  <c r="G82" i="100"/>
  <c r="F82" i="100"/>
  <c r="E82" i="100"/>
  <c r="D82" i="100"/>
  <c r="C82" i="100"/>
  <c r="G81" i="100"/>
  <c r="F81" i="100"/>
  <c r="E81" i="100"/>
  <c r="D81" i="100"/>
  <c r="C81" i="100"/>
  <c r="G80" i="100"/>
  <c r="F80" i="100"/>
  <c r="E80" i="100"/>
  <c r="D80" i="100"/>
  <c r="C80" i="100"/>
  <c r="G79" i="100"/>
  <c r="F79" i="100"/>
  <c r="E79" i="100"/>
  <c r="D79" i="100"/>
  <c r="C79" i="100"/>
  <c r="G78" i="100"/>
  <c r="F78" i="100"/>
  <c r="E78" i="100"/>
  <c r="D78" i="100"/>
  <c r="C78" i="100"/>
  <c r="G77" i="100"/>
  <c r="F77" i="100"/>
  <c r="E77" i="100"/>
  <c r="D77" i="100"/>
  <c r="C77" i="100"/>
  <c r="G76" i="100"/>
  <c r="F76" i="100"/>
  <c r="E76" i="100"/>
  <c r="D76" i="100"/>
  <c r="C76" i="100"/>
  <c r="G75" i="100"/>
  <c r="F75" i="100"/>
  <c r="E75" i="100"/>
  <c r="D75" i="100"/>
  <c r="C75" i="100"/>
  <c r="G65" i="100"/>
  <c r="F65" i="100"/>
  <c r="E65" i="100"/>
  <c r="D65" i="100"/>
  <c r="C65" i="100"/>
  <c r="G64" i="100"/>
  <c r="F64" i="100"/>
  <c r="E64" i="100"/>
  <c r="D64" i="100"/>
  <c r="C64" i="100"/>
  <c r="G63" i="100"/>
  <c r="F63" i="100"/>
  <c r="E63" i="100"/>
  <c r="D63" i="100"/>
  <c r="C63" i="100"/>
  <c r="G62" i="100"/>
  <c r="F62" i="100"/>
  <c r="E62" i="100"/>
  <c r="D62" i="100"/>
  <c r="C62" i="100"/>
  <c r="G61" i="100"/>
  <c r="F61" i="100"/>
  <c r="E61" i="100"/>
  <c r="D61" i="100"/>
  <c r="C61" i="100"/>
  <c r="G60" i="100"/>
  <c r="F60" i="100"/>
  <c r="E60" i="100"/>
  <c r="D60" i="100"/>
  <c r="C60" i="100"/>
  <c r="G59" i="100"/>
  <c r="F59" i="100"/>
  <c r="E59" i="100"/>
  <c r="D59" i="100"/>
  <c r="C59" i="100"/>
  <c r="G58" i="100"/>
  <c r="F58" i="100"/>
  <c r="E58" i="100"/>
  <c r="D58" i="100"/>
  <c r="C58" i="100"/>
  <c r="G57" i="100"/>
  <c r="F57" i="100"/>
  <c r="E57" i="100"/>
  <c r="D57" i="100"/>
  <c r="C57" i="100"/>
  <c r="G56" i="100"/>
  <c r="F56" i="100"/>
  <c r="E56" i="100"/>
  <c r="D56" i="100"/>
  <c r="C56" i="100"/>
  <c r="G55" i="100"/>
  <c r="F55" i="100"/>
  <c r="E55" i="100"/>
  <c r="D55" i="100"/>
  <c r="C55" i="100"/>
  <c r="G48" i="100"/>
  <c r="F48" i="100"/>
  <c r="E48" i="100"/>
  <c r="D48" i="100"/>
  <c r="C48" i="100"/>
  <c r="G47" i="100"/>
  <c r="F47" i="100"/>
  <c r="E47" i="100"/>
  <c r="D47" i="100"/>
  <c r="C47" i="100"/>
  <c r="G46" i="100"/>
  <c r="F46" i="100"/>
  <c r="E46" i="100"/>
  <c r="D46" i="100"/>
  <c r="C46" i="100"/>
  <c r="G45" i="100"/>
  <c r="F45" i="100"/>
  <c r="E45" i="100"/>
  <c r="D45" i="100"/>
  <c r="C45" i="100"/>
  <c r="G44" i="100"/>
  <c r="F44" i="100"/>
  <c r="E44" i="100"/>
  <c r="D44" i="100"/>
  <c r="C44" i="100"/>
  <c r="G43" i="100"/>
  <c r="F43" i="100"/>
  <c r="E43" i="100"/>
  <c r="D43" i="100"/>
  <c r="C43" i="100"/>
  <c r="G42" i="100"/>
  <c r="F42" i="100"/>
  <c r="E42" i="100"/>
  <c r="D42" i="100"/>
  <c r="C42" i="100"/>
  <c r="G41" i="100"/>
  <c r="F41" i="100"/>
  <c r="E41" i="100"/>
  <c r="D41" i="100"/>
  <c r="C41" i="100"/>
  <c r="G40" i="100"/>
  <c r="F40" i="100"/>
  <c r="E40" i="100"/>
  <c r="D40" i="100"/>
  <c r="C40" i="100"/>
  <c r="C39" i="100"/>
  <c r="G38" i="100"/>
  <c r="F38" i="100"/>
  <c r="E38" i="100"/>
  <c r="D38" i="100"/>
  <c r="C38" i="100"/>
  <c r="E37" i="100"/>
  <c r="D37" i="100"/>
  <c r="C37" i="100"/>
  <c r="G36" i="100"/>
  <c r="G35" i="100"/>
  <c r="F35" i="100"/>
  <c r="E35" i="100"/>
  <c r="D35" i="100"/>
  <c r="C35" i="100"/>
  <c r="G34" i="100"/>
  <c r="F34" i="100"/>
  <c r="E34" i="100"/>
  <c r="D34" i="100"/>
  <c r="C34" i="100"/>
  <c r="G33" i="100"/>
  <c r="F33" i="100"/>
  <c r="E33" i="100"/>
  <c r="D33" i="100"/>
  <c r="C33" i="100"/>
  <c r="G31" i="100"/>
  <c r="F31" i="100"/>
  <c r="E31" i="100"/>
  <c r="D31" i="100"/>
  <c r="C31" i="100"/>
  <c r="G30" i="100"/>
  <c r="F30" i="100"/>
  <c r="E30" i="100"/>
  <c r="D30" i="100"/>
  <c r="C30" i="100"/>
  <c r="G29" i="100"/>
  <c r="F29" i="100"/>
  <c r="E29" i="100"/>
  <c r="D29" i="100"/>
  <c r="C29" i="100"/>
  <c r="G28" i="100"/>
  <c r="F28" i="100"/>
  <c r="E28" i="100"/>
  <c r="D28" i="100"/>
  <c r="C28" i="100"/>
  <c r="G27" i="100"/>
  <c r="F27" i="100"/>
  <c r="E27" i="100"/>
  <c r="C27" i="100"/>
  <c r="G21" i="100"/>
  <c r="F21" i="100"/>
  <c r="E21" i="100"/>
  <c r="D21" i="100"/>
  <c r="C21" i="100"/>
  <c r="G20" i="100"/>
  <c r="F20" i="100"/>
  <c r="E20" i="100"/>
  <c r="D20" i="100"/>
  <c r="C20" i="100"/>
  <c r="G19" i="100"/>
  <c r="F19" i="100"/>
  <c r="E19" i="100"/>
  <c r="D19" i="100"/>
  <c r="C19" i="100"/>
  <c r="G18" i="100"/>
  <c r="D18" i="100"/>
  <c r="C18" i="100"/>
  <c r="G17" i="100"/>
  <c r="F17" i="100"/>
  <c r="E17" i="100"/>
  <c r="D17" i="100"/>
  <c r="C17" i="100"/>
  <c r="G16" i="100"/>
  <c r="F16" i="100"/>
  <c r="E16" i="100"/>
  <c r="D16" i="100"/>
  <c r="C16" i="100"/>
  <c r="G15" i="100"/>
  <c r="F15" i="100"/>
  <c r="E15" i="100"/>
  <c r="D15" i="100"/>
  <c r="C15" i="100"/>
  <c r="G120" i="99"/>
  <c r="F120" i="99"/>
  <c r="E120" i="99"/>
  <c r="D120" i="99"/>
  <c r="C120" i="99"/>
  <c r="G119" i="99"/>
  <c r="F119" i="99"/>
  <c r="E119" i="99"/>
  <c r="D119" i="99"/>
  <c r="C119" i="99"/>
  <c r="G118" i="99"/>
  <c r="F118" i="99"/>
  <c r="E118" i="99"/>
  <c r="D118" i="99"/>
  <c r="C118" i="99"/>
  <c r="F92" i="99"/>
  <c r="E92" i="99"/>
  <c r="D92" i="99"/>
  <c r="C92" i="99"/>
  <c r="C91" i="99"/>
  <c r="C89" i="99"/>
  <c r="F89" i="99"/>
  <c r="E89" i="99"/>
  <c r="D89" i="99"/>
  <c r="G85" i="99"/>
  <c r="F85" i="99"/>
  <c r="E85" i="99"/>
  <c r="D85" i="99"/>
  <c r="C85" i="99"/>
  <c r="G84" i="99"/>
  <c r="F84" i="99"/>
  <c r="E84" i="99"/>
  <c r="D84" i="99"/>
  <c r="C84" i="99"/>
  <c r="G83" i="99"/>
  <c r="F83" i="99"/>
  <c r="E83" i="99"/>
  <c r="D83" i="99"/>
  <c r="C83" i="99"/>
  <c r="G82" i="99"/>
  <c r="F82" i="99"/>
  <c r="E82" i="99"/>
  <c r="D82" i="99"/>
  <c r="C82" i="99"/>
  <c r="G81" i="99"/>
  <c r="F81" i="99"/>
  <c r="E81" i="99"/>
  <c r="D81" i="99"/>
  <c r="C81" i="99"/>
  <c r="G80" i="99"/>
  <c r="F80" i="99"/>
  <c r="E80" i="99"/>
  <c r="D80" i="99"/>
  <c r="C80" i="99"/>
  <c r="G79" i="99"/>
  <c r="F79" i="99"/>
  <c r="E79" i="99"/>
  <c r="D79" i="99"/>
  <c r="C79" i="99"/>
  <c r="G78" i="99"/>
  <c r="F78" i="99"/>
  <c r="E78" i="99"/>
  <c r="D78" i="99"/>
  <c r="C78" i="99"/>
  <c r="G77" i="99"/>
  <c r="F77" i="99"/>
  <c r="E77" i="99"/>
  <c r="D77" i="99"/>
  <c r="C77" i="99"/>
  <c r="G76" i="99"/>
  <c r="F76" i="99"/>
  <c r="E76" i="99"/>
  <c r="D76" i="99"/>
  <c r="C76" i="99"/>
  <c r="G75" i="99"/>
  <c r="F75" i="99"/>
  <c r="E75" i="99"/>
  <c r="D75" i="99"/>
  <c r="C75" i="99"/>
  <c r="G74" i="99"/>
  <c r="F74" i="99"/>
  <c r="E74" i="99"/>
  <c r="D74" i="99"/>
  <c r="C74" i="99"/>
  <c r="G73" i="99"/>
  <c r="F73" i="99"/>
  <c r="E73" i="99"/>
  <c r="D73" i="99"/>
  <c r="C73" i="99"/>
  <c r="G72" i="99"/>
  <c r="F72" i="99"/>
  <c r="E72" i="99"/>
  <c r="D72" i="99"/>
  <c r="C72" i="99"/>
  <c r="G71" i="99"/>
  <c r="F71" i="99"/>
  <c r="E71" i="99"/>
  <c r="D71" i="99"/>
  <c r="C71" i="99"/>
  <c r="G70" i="99"/>
  <c r="F70" i="99"/>
  <c r="E70" i="99"/>
  <c r="D70" i="99"/>
  <c r="C70" i="99"/>
  <c r="C69" i="99"/>
  <c r="E69" i="99"/>
  <c r="C66" i="99"/>
  <c r="G65" i="99"/>
  <c r="F65" i="99"/>
  <c r="E65" i="99"/>
  <c r="D65" i="99"/>
  <c r="G64" i="99"/>
  <c r="F64" i="99"/>
  <c r="E64" i="99"/>
  <c r="D64" i="99"/>
  <c r="G63" i="99"/>
  <c r="F63" i="99"/>
  <c r="E63" i="99"/>
  <c r="D63" i="99"/>
  <c r="C63" i="99"/>
  <c r="C62" i="99"/>
  <c r="E61" i="99"/>
  <c r="F61" i="99"/>
  <c r="C61" i="99"/>
  <c r="E60" i="99"/>
  <c r="F60" i="99"/>
  <c r="G60" i="99" s="1"/>
  <c r="C60" i="99"/>
  <c r="G55" i="99"/>
  <c r="F55" i="99"/>
  <c r="E55" i="99"/>
  <c r="D55" i="99"/>
  <c r="C55" i="99"/>
  <c r="G54" i="99"/>
  <c r="F54" i="99"/>
  <c r="E54" i="99"/>
  <c r="D54" i="99"/>
  <c r="C54" i="99"/>
  <c r="G53" i="99"/>
  <c r="F53" i="99"/>
  <c r="E53" i="99"/>
  <c r="D53" i="99"/>
  <c r="C53" i="99"/>
  <c r="G52" i="99"/>
  <c r="F52" i="99"/>
  <c r="E52" i="99"/>
  <c r="D52" i="99"/>
  <c r="C52" i="99"/>
  <c r="G51" i="99"/>
  <c r="F51" i="99"/>
  <c r="E51" i="99"/>
  <c r="D51" i="99"/>
  <c r="C51" i="99"/>
  <c r="G50" i="99"/>
  <c r="F50" i="99"/>
  <c r="E50" i="99"/>
  <c r="D50" i="99"/>
  <c r="C50" i="99"/>
  <c r="G49" i="99"/>
  <c r="F49" i="99"/>
  <c r="E49" i="99"/>
  <c r="D49" i="99"/>
  <c r="C49" i="99"/>
  <c r="G48" i="99"/>
  <c r="F48" i="99"/>
  <c r="E48" i="99"/>
  <c r="D48" i="99"/>
  <c r="C48" i="99"/>
  <c r="G47" i="99"/>
  <c r="F47" i="99"/>
  <c r="E47" i="99"/>
  <c r="D47" i="99"/>
  <c r="C47" i="99"/>
  <c r="G46" i="99"/>
  <c r="F46" i="99"/>
  <c r="E46" i="99"/>
  <c r="D46" i="99"/>
  <c r="C46" i="99"/>
  <c r="G45" i="99"/>
  <c r="F45" i="99"/>
  <c r="E45" i="99"/>
  <c r="D45" i="99"/>
  <c r="C45" i="99"/>
  <c r="G44" i="99"/>
  <c r="F44" i="99"/>
  <c r="E44" i="99"/>
  <c r="D44" i="99"/>
  <c r="C44" i="99"/>
  <c r="G39" i="99"/>
  <c r="F39" i="99"/>
  <c r="E39" i="99"/>
  <c r="D39" i="99"/>
  <c r="C39" i="99"/>
  <c r="G32" i="99"/>
  <c r="F32" i="99"/>
  <c r="E32" i="99"/>
  <c r="D32" i="99"/>
  <c r="C32" i="99"/>
  <c r="G31" i="99"/>
  <c r="F31" i="99"/>
  <c r="E31" i="99"/>
  <c r="D31" i="99"/>
  <c r="C31" i="99"/>
  <c r="C29" i="99"/>
  <c r="C27" i="99"/>
  <c r="C26" i="99"/>
  <c r="C24" i="99"/>
  <c r="C23" i="99"/>
  <c r="E21" i="99"/>
  <c r="G19" i="99"/>
  <c r="D19" i="99"/>
  <c r="G21" i="99"/>
  <c r="F21" i="99"/>
  <c r="D21" i="99"/>
  <c r="C21" i="99"/>
  <c r="G20" i="99"/>
  <c r="F20" i="99"/>
  <c r="C20" i="99"/>
  <c r="E19" i="99"/>
  <c r="C19" i="99"/>
  <c r="C18" i="99"/>
  <c r="I143" i="98"/>
  <c r="H143" i="98"/>
  <c r="G143" i="98"/>
  <c r="F143" i="98"/>
  <c r="E143" i="98"/>
  <c r="D143" i="98"/>
  <c r="C143" i="98"/>
  <c r="C140" i="98"/>
  <c r="I140" i="98"/>
  <c r="H140" i="98"/>
  <c r="G140" i="98"/>
  <c r="F140" i="98"/>
  <c r="E140" i="98"/>
  <c r="D140" i="98"/>
  <c r="C138" i="98"/>
  <c r="I138" i="98"/>
  <c r="H138" i="98"/>
  <c r="G138" i="98"/>
  <c r="F138" i="98"/>
  <c r="E138" i="98"/>
  <c r="D138" i="98"/>
  <c r="I137" i="98"/>
  <c r="H137" i="98"/>
  <c r="G137" i="98"/>
  <c r="F137" i="98"/>
  <c r="E137" i="98"/>
  <c r="D137" i="98"/>
  <c r="C137" i="98"/>
  <c r="I136" i="98"/>
  <c r="H136" i="98"/>
  <c r="G136" i="98"/>
  <c r="F136" i="98"/>
  <c r="E136" i="98"/>
  <c r="D136" i="98"/>
  <c r="C136" i="98"/>
  <c r="I135" i="98"/>
  <c r="H135" i="98"/>
  <c r="G135" i="98"/>
  <c r="F135" i="98"/>
  <c r="E135" i="98"/>
  <c r="D135" i="98"/>
  <c r="C135" i="98"/>
  <c r="I134" i="98"/>
  <c r="H134" i="98"/>
  <c r="G134" i="98"/>
  <c r="F134" i="98"/>
  <c r="E134" i="98"/>
  <c r="D134" i="98"/>
  <c r="C134" i="98"/>
  <c r="I133" i="98"/>
  <c r="H133" i="98"/>
  <c r="G133" i="98"/>
  <c r="F133" i="98"/>
  <c r="E133" i="98"/>
  <c r="D133" i="98"/>
  <c r="C133" i="98"/>
  <c r="I132" i="98"/>
  <c r="H132" i="98"/>
  <c r="G132" i="98"/>
  <c r="F132" i="98"/>
  <c r="E132" i="98"/>
  <c r="D132" i="98"/>
  <c r="C132" i="98"/>
  <c r="I131" i="98"/>
  <c r="H131" i="98"/>
  <c r="G131" i="98"/>
  <c r="F131" i="98"/>
  <c r="E131" i="98"/>
  <c r="D131" i="98"/>
  <c r="C131" i="98"/>
  <c r="I130" i="98"/>
  <c r="H130" i="98"/>
  <c r="G130" i="98"/>
  <c r="F130" i="98"/>
  <c r="E130" i="98"/>
  <c r="D130" i="98"/>
  <c r="C130" i="98"/>
  <c r="H128" i="98"/>
  <c r="G128" i="98"/>
  <c r="F128" i="98"/>
  <c r="E128" i="98"/>
  <c r="D128" i="98"/>
  <c r="C128" i="98"/>
  <c r="H127" i="98"/>
  <c r="G127" i="98"/>
  <c r="F127" i="98"/>
  <c r="E127" i="98"/>
  <c r="D127" i="98"/>
  <c r="C127" i="98"/>
  <c r="H126" i="98"/>
  <c r="G126" i="98"/>
  <c r="F126" i="98"/>
  <c r="E126" i="98"/>
  <c r="D126" i="98"/>
  <c r="C126" i="98"/>
  <c r="H125" i="98"/>
  <c r="G125" i="98"/>
  <c r="F125" i="98"/>
  <c r="E125" i="98"/>
  <c r="D125" i="98"/>
  <c r="C125" i="98"/>
  <c r="H124" i="98"/>
  <c r="G124" i="98"/>
  <c r="F124" i="98"/>
  <c r="E124" i="98"/>
  <c r="D124" i="98"/>
  <c r="C124" i="98"/>
  <c r="H123" i="98"/>
  <c r="G123" i="98"/>
  <c r="F123" i="98"/>
  <c r="E123" i="98"/>
  <c r="D123" i="98"/>
  <c r="C123" i="98"/>
  <c r="H122" i="98"/>
  <c r="G122" i="98"/>
  <c r="F122" i="98"/>
  <c r="E122" i="98"/>
  <c r="D122" i="98"/>
  <c r="C122" i="98"/>
  <c r="H121" i="98"/>
  <c r="G121" i="98"/>
  <c r="F121" i="98"/>
  <c r="E121" i="98"/>
  <c r="D121" i="98"/>
  <c r="C121" i="98"/>
  <c r="H120" i="98"/>
  <c r="G120" i="98"/>
  <c r="F120" i="98"/>
  <c r="E120" i="98"/>
  <c r="D120" i="98"/>
  <c r="C120" i="98"/>
  <c r="H119" i="98"/>
  <c r="G119" i="98"/>
  <c r="F119" i="98"/>
  <c r="E119" i="98"/>
  <c r="D119" i="98"/>
  <c r="C119" i="98"/>
  <c r="H118" i="98"/>
  <c r="G118" i="98"/>
  <c r="F118" i="98"/>
  <c r="E118" i="98"/>
  <c r="D118" i="98"/>
  <c r="C118" i="98"/>
  <c r="H117" i="98"/>
  <c r="G117" i="98"/>
  <c r="F117" i="98"/>
  <c r="E117" i="98"/>
  <c r="D117" i="98"/>
  <c r="C117" i="98"/>
  <c r="H116" i="98"/>
  <c r="F116" i="98"/>
  <c r="E116" i="98"/>
  <c r="D116" i="98"/>
  <c r="C116" i="98"/>
  <c r="H115" i="98"/>
  <c r="F115" i="98"/>
  <c r="E115" i="98"/>
  <c r="D115" i="98"/>
  <c r="C115" i="98"/>
  <c r="H114" i="98"/>
  <c r="F114" i="98"/>
  <c r="E114" i="98"/>
  <c r="D114" i="98"/>
  <c r="C114" i="98"/>
  <c r="H113" i="98"/>
  <c r="F113" i="98"/>
  <c r="E113" i="98"/>
  <c r="D113" i="98"/>
  <c r="C113" i="98"/>
  <c r="F112" i="98"/>
  <c r="E112" i="98"/>
  <c r="D112" i="98"/>
  <c r="C112" i="98"/>
  <c r="H111" i="98"/>
  <c r="G111" i="98"/>
  <c r="F111" i="98"/>
  <c r="E111" i="98"/>
  <c r="D111" i="98"/>
  <c r="C111" i="98"/>
  <c r="H110" i="98"/>
  <c r="F110" i="98"/>
  <c r="E110" i="98"/>
  <c r="D110" i="98"/>
  <c r="C110" i="98"/>
  <c r="C109" i="98"/>
  <c r="G107" i="98"/>
  <c r="F107" i="98"/>
  <c r="E107" i="98"/>
  <c r="D107" i="98"/>
  <c r="C107" i="98"/>
  <c r="G106" i="98"/>
  <c r="F106" i="98"/>
  <c r="E106" i="98"/>
  <c r="D106" i="98"/>
  <c r="C106" i="98"/>
  <c r="G104" i="98"/>
  <c r="F104" i="98"/>
  <c r="E104" i="98"/>
  <c r="D104" i="98"/>
  <c r="C103" i="98"/>
  <c r="I101" i="98"/>
  <c r="H101" i="98"/>
  <c r="G101" i="98"/>
  <c r="F101" i="98"/>
  <c r="E101" i="98"/>
  <c r="D101" i="98"/>
  <c r="C101" i="98"/>
  <c r="C100" i="98"/>
  <c r="I100" i="98"/>
  <c r="H100" i="98"/>
  <c r="G100" i="98"/>
  <c r="F100" i="98"/>
  <c r="E100" i="98"/>
  <c r="D100" i="98"/>
  <c r="I94" i="98"/>
  <c r="H94" i="98"/>
  <c r="G94" i="98"/>
  <c r="F94" i="98"/>
  <c r="E94" i="98"/>
  <c r="D94" i="98"/>
  <c r="C94" i="98"/>
  <c r="I93" i="98"/>
  <c r="H93" i="98"/>
  <c r="G93" i="98"/>
  <c r="F93" i="98"/>
  <c r="E93" i="98"/>
  <c r="D93" i="98"/>
  <c r="C93" i="98"/>
  <c r="I92" i="98"/>
  <c r="H92" i="98"/>
  <c r="G92" i="98"/>
  <c r="F92" i="98"/>
  <c r="E92" i="98"/>
  <c r="D92" i="98"/>
  <c r="C92" i="98"/>
  <c r="I91" i="98"/>
  <c r="H91" i="98"/>
  <c r="G91" i="98"/>
  <c r="F91" i="98"/>
  <c r="E91" i="98"/>
  <c r="D91" i="98"/>
  <c r="C91" i="98"/>
  <c r="I90" i="98"/>
  <c r="H90" i="98"/>
  <c r="G90" i="98"/>
  <c r="F90" i="98"/>
  <c r="E90" i="98"/>
  <c r="D90" i="98"/>
  <c r="C90" i="98"/>
  <c r="I89" i="98"/>
  <c r="H89" i="98"/>
  <c r="G89" i="98"/>
  <c r="F89" i="98"/>
  <c r="E89" i="98"/>
  <c r="D89" i="98"/>
  <c r="C89" i="98"/>
  <c r="I88" i="98"/>
  <c r="H88" i="98"/>
  <c r="G88" i="98"/>
  <c r="F88" i="98"/>
  <c r="E88" i="98"/>
  <c r="D88" i="98"/>
  <c r="C88" i="98"/>
  <c r="I87" i="98"/>
  <c r="H87" i="98"/>
  <c r="G87" i="98"/>
  <c r="F87" i="98"/>
  <c r="E87" i="98"/>
  <c r="D87" i="98"/>
  <c r="C87" i="98"/>
  <c r="I86" i="98"/>
  <c r="H86" i="98"/>
  <c r="G86" i="98"/>
  <c r="F86" i="98"/>
  <c r="E86" i="98"/>
  <c r="D86" i="98"/>
  <c r="C86" i="98"/>
  <c r="I85" i="98"/>
  <c r="H85" i="98"/>
  <c r="G85" i="98"/>
  <c r="F85" i="98"/>
  <c r="E85" i="98"/>
  <c r="D85" i="98"/>
  <c r="C85" i="98"/>
  <c r="I83" i="98"/>
  <c r="H83" i="98"/>
  <c r="G83" i="98"/>
  <c r="G84" i="98" s="1"/>
  <c r="F83" i="98"/>
  <c r="F84" i="98" s="1"/>
  <c r="E83" i="98"/>
  <c r="E84" i="98" s="1"/>
  <c r="D83" i="98"/>
  <c r="D84" i="98" s="1"/>
  <c r="C83" i="98"/>
  <c r="I82" i="98"/>
  <c r="H82" i="98"/>
  <c r="G82" i="98"/>
  <c r="F82" i="98"/>
  <c r="E82" i="98"/>
  <c r="D82" i="98"/>
  <c r="C82" i="98"/>
  <c r="I81" i="98"/>
  <c r="H81" i="98"/>
  <c r="G81" i="98"/>
  <c r="F81" i="98"/>
  <c r="E81" i="98"/>
  <c r="D81" i="98"/>
  <c r="C81" i="98"/>
  <c r="I80" i="98"/>
  <c r="H80" i="98"/>
  <c r="G80" i="98"/>
  <c r="F80" i="98"/>
  <c r="E80" i="98"/>
  <c r="D80" i="98"/>
  <c r="C80" i="98"/>
  <c r="I79" i="98"/>
  <c r="H79" i="98"/>
  <c r="G79" i="98"/>
  <c r="F79" i="98"/>
  <c r="E79" i="98"/>
  <c r="D79" i="98"/>
  <c r="C79" i="98"/>
  <c r="I78" i="98"/>
  <c r="H78" i="98"/>
  <c r="G78" i="98"/>
  <c r="F78" i="98"/>
  <c r="E78" i="98"/>
  <c r="D78" i="98"/>
  <c r="C78" i="98"/>
  <c r="I77" i="98"/>
  <c r="H77" i="98"/>
  <c r="G77" i="98"/>
  <c r="F77" i="98"/>
  <c r="E77" i="98"/>
  <c r="D77" i="98"/>
  <c r="C77" i="98"/>
  <c r="I76" i="98"/>
  <c r="H76" i="98"/>
  <c r="G76" i="98"/>
  <c r="F76" i="98"/>
  <c r="E76" i="98"/>
  <c r="D76" i="98"/>
  <c r="C76" i="98"/>
  <c r="I75" i="98"/>
  <c r="H75" i="98"/>
  <c r="G75" i="98"/>
  <c r="F75" i="98"/>
  <c r="E75" i="98"/>
  <c r="D75" i="98"/>
  <c r="C75" i="98"/>
  <c r="I74" i="98"/>
  <c r="H74" i="98"/>
  <c r="G74" i="98"/>
  <c r="F74" i="98"/>
  <c r="E74" i="98"/>
  <c r="D74" i="98"/>
  <c r="C74" i="98"/>
  <c r="I73" i="98"/>
  <c r="H73" i="98"/>
  <c r="G73" i="98"/>
  <c r="F73" i="98"/>
  <c r="E73" i="98"/>
  <c r="D73" i="98"/>
  <c r="C73" i="98"/>
  <c r="I72" i="98"/>
  <c r="H72" i="98"/>
  <c r="G72" i="98"/>
  <c r="F72" i="98"/>
  <c r="E72" i="98"/>
  <c r="D72" i="98"/>
  <c r="C72" i="98"/>
  <c r="I71" i="98"/>
  <c r="H71" i="98"/>
  <c r="G71" i="98"/>
  <c r="F71" i="98"/>
  <c r="E71" i="98"/>
  <c r="D71" i="98"/>
  <c r="C71" i="98"/>
  <c r="I70" i="98"/>
  <c r="H70" i="98"/>
  <c r="G70" i="98"/>
  <c r="F70" i="98"/>
  <c r="E70" i="98"/>
  <c r="D70" i="98"/>
  <c r="C70" i="98"/>
  <c r="I69" i="98"/>
  <c r="H69" i="98"/>
  <c r="G69" i="98"/>
  <c r="F69" i="98"/>
  <c r="E69" i="98"/>
  <c r="D69" i="98"/>
  <c r="C69" i="98"/>
  <c r="I68" i="98"/>
  <c r="H68" i="98"/>
  <c r="G68" i="98"/>
  <c r="F68" i="98"/>
  <c r="E68" i="98"/>
  <c r="D68" i="98"/>
  <c r="C68" i="98"/>
  <c r="I67" i="98"/>
  <c r="H67" i="98"/>
  <c r="G67" i="98"/>
  <c r="F67" i="98"/>
  <c r="E67" i="98"/>
  <c r="D67" i="98"/>
  <c r="C67" i="98"/>
  <c r="I66" i="98"/>
  <c r="H66" i="98"/>
  <c r="G66" i="98"/>
  <c r="F66" i="98"/>
  <c r="E66" i="98"/>
  <c r="D66" i="98"/>
  <c r="C66" i="98"/>
  <c r="I65" i="98"/>
  <c r="H65" i="98"/>
  <c r="G65" i="98"/>
  <c r="F65" i="98"/>
  <c r="E65" i="98"/>
  <c r="D65" i="98"/>
  <c r="C65" i="98"/>
  <c r="I64" i="98"/>
  <c r="H64" i="98"/>
  <c r="G64" i="98"/>
  <c r="F64" i="98"/>
  <c r="E64" i="98"/>
  <c r="D64" i="98"/>
  <c r="C64" i="98"/>
  <c r="I63" i="98"/>
  <c r="H63" i="98"/>
  <c r="G63" i="98"/>
  <c r="F63" i="98"/>
  <c r="E63" i="98"/>
  <c r="D63" i="98"/>
  <c r="C63" i="98"/>
  <c r="I62" i="98"/>
  <c r="H62" i="98"/>
  <c r="G62" i="98"/>
  <c r="F62" i="98"/>
  <c r="E62" i="98"/>
  <c r="D62" i="98"/>
  <c r="C62" i="98"/>
  <c r="I61" i="98"/>
  <c r="H61" i="98"/>
  <c r="G61" i="98"/>
  <c r="F61" i="98"/>
  <c r="E61" i="98"/>
  <c r="D61" i="98"/>
  <c r="C61" i="98"/>
  <c r="I60" i="98"/>
  <c r="H60" i="98"/>
  <c r="G60" i="98"/>
  <c r="F60" i="98"/>
  <c r="E60" i="98"/>
  <c r="D60" i="98"/>
  <c r="C60" i="98"/>
  <c r="I59" i="98"/>
  <c r="H59" i="98"/>
  <c r="G59" i="98"/>
  <c r="F59" i="98"/>
  <c r="E59" i="98"/>
  <c r="D59" i="98"/>
  <c r="C59" i="98"/>
  <c r="I58" i="98"/>
  <c r="H58" i="98"/>
  <c r="G58" i="98"/>
  <c r="F58" i="98"/>
  <c r="E58" i="98"/>
  <c r="D58" i="98"/>
  <c r="C58" i="98"/>
  <c r="I57" i="98"/>
  <c r="H57" i="98"/>
  <c r="G57" i="98"/>
  <c r="F57" i="98"/>
  <c r="E57" i="98"/>
  <c r="D57" i="98"/>
  <c r="C57" i="98"/>
  <c r="I56" i="98"/>
  <c r="H56" i="98"/>
  <c r="G56" i="98"/>
  <c r="F56" i="98"/>
  <c r="E56" i="98"/>
  <c r="D56" i="98"/>
  <c r="C56" i="98"/>
  <c r="I55" i="98"/>
  <c r="H55" i="98"/>
  <c r="G55" i="98"/>
  <c r="F55" i="98"/>
  <c r="E55" i="98"/>
  <c r="D55" i="98"/>
  <c r="C55" i="98"/>
  <c r="I53" i="98"/>
  <c r="H53" i="98"/>
  <c r="G53" i="98"/>
  <c r="F53" i="98"/>
  <c r="E53" i="98"/>
  <c r="D53" i="98"/>
  <c r="I52" i="98"/>
  <c r="H52" i="98"/>
  <c r="G52" i="98"/>
  <c r="F52" i="98"/>
  <c r="E52" i="98"/>
  <c r="D52" i="98"/>
  <c r="C52" i="98"/>
  <c r="C53" i="98"/>
  <c r="I48" i="98"/>
  <c r="H48" i="98"/>
  <c r="G48" i="98"/>
  <c r="F48" i="98"/>
  <c r="E48" i="98"/>
  <c r="D48" i="98"/>
  <c r="C48" i="98"/>
  <c r="I47" i="98"/>
  <c r="H47" i="98"/>
  <c r="G47" i="98"/>
  <c r="F47" i="98"/>
  <c r="E47" i="98"/>
  <c r="D47" i="98"/>
  <c r="C47" i="98"/>
  <c r="I46" i="98"/>
  <c r="H46" i="98"/>
  <c r="G46" i="98"/>
  <c r="F46" i="98"/>
  <c r="E46" i="98"/>
  <c r="D46" i="98"/>
  <c r="C46" i="98"/>
  <c r="I45" i="98"/>
  <c r="H45" i="98"/>
  <c r="G45" i="98"/>
  <c r="F45" i="98"/>
  <c r="E45" i="98"/>
  <c r="D45" i="98"/>
  <c r="C45" i="98"/>
  <c r="I44" i="98"/>
  <c r="H44" i="98"/>
  <c r="G44" i="98"/>
  <c r="F44" i="98"/>
  <c r="E44" i="98"/>
  <c r="D44" i="98"/>
  <c r="C44" i="98"/>
  <c r="I43" i="98"/>
  <c r="H43" i="98"/>
  <c r="G43" i="98"/>
  <c r="F43" i="98"/>
  <c r="E43" i="98"/>
  <c r="D43" i="98"/>
  <c r="C43" i="98"/>
  <c r="I42" i="98"/>
  <c r="H42" i="98"/>
  <c r="G42" i="98"/>
  <c r="F42" i="98"/>
  <c r="E42" i="98"/>
  <c r="D42" i="98"/>
  <c r="C42" i="98"/>
  <c r="I41" i="98"/>
  <c r="H41" i="98"/>
  <c r="G41" i="98"/>
  <c r="F41" i="98"/>
  <c r="E41" i="98"/>
  <c r="D41" i="98"/>
  <c r="C41" i="98"/>
  <c r="I40" i="98"/>
  <c r="H40" i="98"/>
  <c r="G40" i="98"/>
  <c r="F40" i="98"/>
  <c r="E40" i="98"/>
  <c r="D40" i="98"/>
  <c r="C40" i="98"/>
  <c r="I39" i="98"/>
  <c r="H39" i="98"/>
  <c r="G39" i="98"/>
  <c r="F39" i="98"/>
  <c r="E39" i="98"/>
  <c r="D39" i="98"/>
  <c r="C39" i="98"/>
  <c r="I38" i="98"/>
  <c r="H38" i="98"/>
  <c r="G38" i="98"/>
  <c r="F38" i="98"/>
  <c r="E38" i="98"/>
  <c r="D38" i="98"/>
  <c r="C38" i="98"/>
  <c r="I37" i="98"/>
  <c r="H37" i="98"/>
  <c r="G37" i="98"/>
  <c r="F37" i="98"/>
  <c r="E37" i="98"/>
  <c r="D37" i="98"/>
  <c r="C37" i="98"/>
  <c r="I36" i="98"/>
  <c r="H36" i="98"/>
  <c r="G36" i="98"/>
  <c r="F36" i="98"/>
  <c r="E36" i="98"/>
  <c r="D36" i="98"/>
  <c r="C36" i="98"/>
  <c r="I35" i="98"/>
  <c r="H35" i="98"/>
  <c r="G35" i="98"/>
  <c r="F35" i="98"/>
  <c r="E35" i="98"/>
  <c r="D35" i="98"/>
  <c r="C35" i="98"/>
  <c r="I34" i="98"/>
  <c r="H34" i="98"/>
  <c r="G34" i="98"/>
  <c r="F34" i="98"/>
  <c r="E34" i="98"/>
  <c r="D34" i="98"/>
  <c r="C34" i="98"/>
  <c r="I33" i="98"/>
  <c r="H33" i="98"/>
  <c r="G33" i="98"/>
  <c r="F33" i="98"/>
  <c r="E33" i="98"/>
  <c r="D33" i="98"/>
  <c r="C33" i="98"/>
  <c r="I32" i="98"/>
  <c r="H32" i="98"/>
  <c r="G32" i="98"/>
  <c r="F32" i="98"/>
  <c r="E32" i="98"/>
  <c r="D32" i="98"/>
  <c r="C32" i="98"/>
  <c r="I31" i="98"/>
  <c r="H31" i="98"/>
  <c r="G31" i="98"/>
  <c r="F31" i="98"/>
  <c r="E31" i="98"/>
  <c r="D31" i="98"/>
  <c r="C31" i="98"/>
  <c r="I30" i="98"/>
  <c r="H30" i="98"/>
  <c r="G30" i="98"/>
  <c r="F30" i="98"/>
  <c r="E30" i="98"/>
  <c r="D30" i="98"/>
  <c r="C30" i="98"/>
  <c r="I29" i="98"/>
  <c r="H29" i="98"/>
  <c r="G29" i="98"/>
  <c r="F29" i="98"/>
  <c r="E29" i="98"/>
  <c r="D29" i="98"/>
  <c r="C29" i="98"/>
  <c r="I28" i="98"/>
  <c r="H28" i="98"/>
  <c r="G28" i="98"/>
  <c r="F28" i="98"/>
  <c r="E28" i="98"/>
  <c r="D28" i="98"/>
  <c r="C28" i="98"/>
  <c r="I27" i="98"/>
  <c r="H27" i="98"/>
  <c r="G27" i="98"/>
  <c r="F27" i="98"/>
  <c r="E27" i="98"/>
  <c r="D27" i="98"/>
  <c r="C27" i="98"/>
  <c r="I24" i="98"/>
  <c r="H24" i="98"/>
  <c r="G24" i="98"/>
  <c r="F24" i="98"/>
  <c r="E24" i="98"/>
  <c r="D24" i="98"/>
  <c r="C24" i="98"/>
  <c r="I23" i="98"/>
  <c r="H23" i="98"/>
  <c r="G23" i="98"/>
  <c r="F23" i="98"/>
  <c r="E23" i="98"/>
  <c r="D23" i="98"/>
  <c r="C23" i="98"/>
  <c r="I22" i="98"/>
  <c r="H22" i="98"/>
  <c r="G22" i="98"/>
  <c r="F22" i="98"/>
  <c r="E22" i="98"/>
  <c r="D22" i="98"/>
  <c r="C22" i="98"/>
  <c r="I21" i="98"/>
  <c r="H21" i="98"/>
  <c r="G21" i="98"/>
  <c r="F21" i="98"/>
  <c r="E21" i="98"/>
  <c r="D21" i="98"/>
  <c r="I20" i="98"/>
  <c r="H20" i="98"/>
  <c r="G20" i="98"/>
  <c r="F20" i="98"/>
  <c r="E20" i="98"/>
  <c r="D20" i="98"/>
  <c r="I19" i="98"/>
  <c r="H19" i="98"/>
  <c r="G19" i="98"/>
  <c r="F19" i="98"/>
  <c r="E19" i="98"/>
  <c r="D19" i="98"/>
  <c r="C19" i="98"/>
  <c r="I17" i="98"/>
  <c r="H17" i="98"/>
  <c r="G17" i="98"/>
  <c r="F17" i="98"/>
  <c r="E17" i="98"/>
  <c r="D17" i="98"/>
  <c r="C17" i="98"/>
  <c r="I16" i="98"/>
  <c r="H16" i="98"/>
  <c r="G16" i="98"/>
  <c r="F16" i="98"/>
  <c r="E16" i="98"/>
  <c r="D16" i="98"/>
  <c r="C16" i="98"/>
  <c r="I15" i="98"/>
  <c r="H15" i="98"/>
  <c r="G15" i="98"/>
  <c r="F15" i="98"/>
  <c r="E15" i="98"/>
  <c r="D15" i="98"/>
  <c r="C15" i="98"/>
  <c r="I14" i="98"/>
  <c r="H14" i="98"/>
  <c r="F14" i="98"/>
  <c r="E14" i="98"/>
  <c r="D14" i="98"/>
  <c r="C14" i="98"/>
  <c r="I13" i="98"/>
  <c r="H13" i="98"/>
  <c r="G13" i="98"/>
  <c r="F13" i="98"/>
  <c r="E13" i="98"/>
  <c r="D13" i="98"/>
  <c r="C13" i="98"/>
  <c r="I293" i="97"/>
  <c r="H293" i="97"/>
  <c r="G293" i="97"/>
  <c r="F293" i="97"/>
  <c r="I292" i="97"/>
  <c r="H292" i="97"/>
  <c r="G292" i="97"/>
  <c r="F292" i="97"/>
  <c r="I291" i="97"/>
  <c r="H291" i="97"/>
  <c r="G291" i="97"/>
  <c r="F291" i="97"/>
  <c r="I290" i="97"/>
  <c r="H290" i="97"/>
  <c r="G290" i="97"/>
  <c r="F290" i="97"/>
  <c r="I289" i="97"/>
  <c r="H289" i="97"/>
  <c r="G289" i="97"/>
  <c r="F289" i="97"/>
  <c r="I288" i="97"/>
  <c r="H288" i="97"/>
  <c r="G288" i="97"/>
  <c r="F288" i="97"/>
  <c r="I287" i="97"/>
  <c r="H287" i="97"/>
  <c r="G287" i="97"/>
  <c r="F287" i="97"/>
  <c r="I286" i="97"/>
  <c r="H286" i="97"/>
  <c r="G286" i="97"/>
  <c r="F286" i="97"/>
  <c r="I285" i="97"/>
  <c r="H285" i="97"/>
  <c r="G285" i="97"/>
  <c r="F285" i="97"/>
  <c r="I284" i="97"/>
  <c r="H284" i="97"/>
  <c r="G284" i="97"/>
  <c r="F284" i="97"/>
  <c r="I283" i="97"/>
  <c r="H283" i="97"/>
  <c r="G283" i="97"/>
  <c r="F283" i="97"/>
  <c r="I282" i="97"/>
  <c r="H282" i="97"/>
  <c r="G282" i="97"/>
  <c r="F282" i="97"/>
  <c r="E293" i="97"/>
  <c r="D293" i="97"/>
  <c r="C293" i="97"/>
  <c r="E292" i="97"/>
  <c r="D292" i="97"/>
  <c r="C292" i="97"/>
  <c r="E291" i="97"/>
  <c r="D291" i="97"/>
  <c r="C291" i="97"/>
  <c r="E290" i="97"/>
  <c r="D290" i="97"/>
  <c r="C290" i="97"/>
  <c r="E289" i="97"/>
  <c r="D289" i="97"/>
  <c r="C289" i="97"/>
  <c r="E288" i="97"/>
  <c r="D288" i="97"/>
  <c r="C288" i="97"/>
  <c r="E287" i="97"/>
  <c r="D287" i="97"/>
  <c r="C287" i="97"/>
  <c r="E286" i="97"/>
  <c r="D286" i="97"/>
  <c r="C286" i="97"/>
  <c r="E285" i="97"/>
  <c r="D285" i="97"/>
  <c r="C285" i="97"/>
  <c r="E284" i="97"/>
  <c r="D284" i="97"/>
  <c r="C284" i="97"/>
  <c r="E283" i="97"/>
  <c r="D283" i="97"/>
  <c r="C283" i="97"/>
  <c r="E282" i="97"/>
  <c r="D282" i="97"/>
  <c r="C282" i="97"/>
  <c r="E280" i="97"/>
  <c r="D280" i="97"/>
  <c r="C280" i="97"/>
  <c r="E279" i="97"/>
  <c r="D279" i="97"/>
  <c r="C279" i="97"/>
  <c r="E278" i="97"/>
  <c r="D278" i="97"/>
  <c r="C278" i="97"/>
  <c r="E277" i="97"/>
  <c r="D277" i="97"/>
  <c r="C277" i="97"/>
  <c r="E276" i="97"/>
  <c r="D276" i="97"/>
  <c r="C276" i="97"/>
  <c r="E275" i="97"/>
  <c r="D275" i="97"/>
  <c r="C275" i="97"/>
  <c r="E274" i="97"/>
  <c r="D274" i="97"/>
  <c r="C274" i="97"/>
  <c r="E273" i="97"/>
  <c r="D273" i="97"/>
  <c r="C273" i="97"/>
  <c r="E272" i="97"/>
  <c r="D272" i="97"/>
  <c r="C272" i="97"/>
  <c r="C271" i="97"/>
  <c r="C269" i="97"/>
  <c r="H256" i="97"/>
  <c r="G256" i="97"/>
  <c r="F256" i="97"/>
  <c r="E267" i="97"/>
  <c r="D267" i="97"/>
  <c r="C267" i="97"/>
  <c r="E266" i="97"/>
  <c r="D266" i="97"/>
  <c r="C266" i="97"/>
  <c r="E265" i="97"/>
  <c r="D265" i="97"/>
  <c r="C265" i="97"/>
  <c r="E264" i="97"/>
  <c r="D264" i="97"/>
  <c r="C264" i="97"/>
  <c r="E263" i="97"/>
  <c r="D263" i="97"/>
  <c r="C263" i="97"/>
  <c r="E262" i="97"/>
  <c r="D262" i="97"/>
  <c r="C262" i="97"/>
  <c r="E261" i="97"/>
  <c r="D261" i="97"/>
  <c r="C261" i="97"/>
  <c r="E260" i="97"/>
  <c r="D260" i="97"/>
  <c r="C260" i="97"/>
  <c r="E259" i="97"/>
  <c r="D259" i="97"/>
  <c r="C259" i="97"/>
  <c r="E258" i="97"/>
  <c r="D258" i="97"/>
  <c r="C258" i="97"/>
  <c r="E257" i="97"/>
  <c r="D257" i="97"/>
  <c r="C257" i="97"/>
  <c r="E256" i="97"/>
  <c r="D256" i="97"/>
  <c r="C256" i="97"/>
  <c r="E255" i="97"/>
  <c r="D255" i="97"/>
  <c r="C255" i="97"/>
  <c r="E254" i="97"/>
  <c r="D254" i="97"/>
  <c r="C254" i="97"/>
  <c r="E253" i="97"/>
  <c r="D253" i="97"/>
  <c r="C253" i="97"/>
  <c r="E252" i="97"/>
  <c r="D252" i="97"/>
  <c r="C252" i="97"/>
  <c r="E251" i="97"/>
  <c r="D251" i="97"/>
  <c r="C251" i="97"/>
  <c r="E250" i="97"/>
  <c r="D250" i="97"/>
  <c r="C250" i="97"/>
  <c r="E249" i="97"/>
  <c r="D249" i="97"/>
  <c r="C249" i="97"/>
  <c r="E248" i="97"/>
  <c r="D248" i="97"/>
  <c r="C248" i="97"/>
  <c r="E247" i="97"/>
  <c r="D247" i="97"/>
  <c r="C247" i="97"/>
  <c r="E246" i="97"/>
  <c r="D246" i="97"/>
  <c r="C246" i="97"/>
  <c r="E245" i="97"/>
  <c r="D245" i="97"/>
  <c r="C245" i="97"/>
  <c r="E244" i="97"/>
  <c r="D244" i="97"/>
  <c r="C244" i="97"/>
  <c r="E243" i="97"/>
  <c r="D243" i="97"/>
  <c r="C243" i="97"/>
  <c r="E242" i="97"/>
  <c r="D242" i="97"/>
  <c r="C242" i="97"/>
  <c r="E241" i="97"/>
  <c r="G57" i="87" s="1"/>
  <c r="D241" i="97"/>
  <c r="F57" i="87" s="1"/>
  <c r="C241" i="97"/>
  <c r="E240" i="97"/>
  <c r="G56" i="87" s="1"/>
  <c r="D240" i="97"/>
  <c r="F56" i="87" s="1"/>
  <c r="C240" i="97"/>
  <c r="E239" i="97"/>
  <c r="D239" i="97"/>
  <c r="C239" i="97"/>
  <c r="E238" i="97"/>
  <c r="D238" i="97"/>
  <c r="C238" i="97"/>
  <c r="E237" i="97"/>
  <c r="G53" i="87" s="1"/>
  <c r="D237" i="97"/>
  <c r="F53" i="87" s="1"/>
  <c r="C237" i="97"/>
  <c r="E236" i="97"/>
  <c r="G52" i="87" s="1"/>
  <c r="D236" i="97"/>
  <c r="F52" i="87" s="1"/>
  <c r="C236" i="97"/>
  <c r="E235" i="97"/>
  <c r="D235" i="97"/>
  <c r="C235" i="97"/>
  <c r="E234" i="97"/>
  <c r="D234" i="97"/>
  <c r="C234" i="97"/>
  <c r="E233" i="97"/>
  <c r="D233" i="97"/>
  <c r="C233" i="97"/>
  <c r="E232" i="97"/>
  <c r="D232" i="97"/>
  <c r="C232" i="97"/>
  <c r="E231" i="97"/>
  <c r="D231" i="97"/>
  <c r="C231" i="97"/>
  <c r="E230" i="97"/>
  <c r="D230" i="97"/>
  <c r="C230" i="97"/>
  <c r="E229" i="97"/>
  <c r="D229" i="97"/>
  <c r="C229" i="97"/>
  <c r="E228" i="97"/>
  <c r="D228" i="97"/>
  <c r="C228" i="97"/>
  <c r="E227" i="97"/>
  <c r="D227" i="97"/>
  <c r="C227" i="97"/>
  <c r="E226" i="97"/>
  <c r="D226" i="97"/>
  <c r="C226" i="97"/>
  <c r="E225" i="97"/>
  <c r="D225" i="97"/>
  <c r="C225" i="97"/>
  <c r="E224" i="97"/>
  <c r="D224" i="97"/>
  <c r="C224" i="97"/>
  <c r="E223" i="97"/>
  <c r="D223" i="97"/>
  <c r="C223" i="97"/>
  <c r="E222" i="97"/>
  <c r="D222" i="97"/>
  <c r="C222" i="97"/>
  <c r="E221" i="97"/>
  <c r="D221" i="97"/>
  <c r="C221" i="97"/>
  <c r="E220" i="97"/>
  <c r="D220" i="97"/>
  <c r="C220" i="97"/>
  <c r="C219" i="97"/>
  <c r="E217" i="97"/>
  <c r="D217" i="97"/>
  <c r="C217" i="97"/>
  <c r="C213" i="97"/>
  <c r="C212" i="97"/>
  <c r="C211" i="97"/>
  <c r="E210" i="97"/>
  <c r="D210" i="97"/>
  <c r="C210" i="97"/>
  <c r="E209" i="97"/>
  <c r="D209" i="97"/>
  <c r="C209" i="97"/>
  <c r="C208" i="97"/>
  <c r="E207" i="97"/>
  <c r="D207" i="97"/>
  <c r="C207" i="97"/>
  <c r="C206" i="97"/>
  <c r="E205" i="97"/>
  <c r="D205" i="97"/>
  <c r="C205" i="97"/>
  <c r="C204" i="97"/>
  <c r="E203" i="97"/>
  <c r="D203" i="97"/>
  <c r="C203" i="97"/>
  <c r="E202" i="97"/>
  <c r="D202" i="97"/>
  <c r="C202" i="97"/>
  <c r="C201" i="97"/>
  <c r="E200" i="97"/>
  <c r="E212" i="97" s="1"/>
  <c r="C200" i="97"/>
  <c r="C199" i="97"/>
  <c r="C198" i="97"/>
  <c r="C197" i="97"/>
  <c r="C196" i="97"/>
  <c r="E195" i="97"/>
  <c r="D195" i="97"/>
  <c r="C195" i="97"/>
  <c r="C194" i="97"/>
  <c r="I189" i="97"/>
  <c r="H189" i="97"/>
  <c r="G189" i="97"/>
  <c r="F189" i="97"/>
  <c r="E189" i="97"/>
  <c r="D189" i="97"/>
  <c r="C189" i="97"/>
  <c r="I188" i="97"/>
  <c r="H188" i="97"/>
  <c r="G188" i="97"/>
  <c r="F188" i="97"/>
  <c r="E188" i="97"/>
  <c r="D188" i="97"/>
  <c r="C188" i="97"/>
  <c r="I187" i="97"/>
  <c r="H187" i="97"/>
  <c r="G187" i="97"/>
  <c r="F187" i="97"/>
  <c r="E187" i="97"/>
  <c r="D187" i="97"/>
  <c r="C187" i="97"/>
  <c r="I186" i="97"/>
  <c r="H186" i="97"/>
  <c r="G186" i="97"/>
  <c r="F186" i="97"/>
  <c r="E186" i="97"/>
  <c r="D186" i="97"/>
  <c r="C186" i="97"/>
  <c r="I185" i="97"/>
  <c r="H185" i="97"/>
  <c r="G185" i="97"/>
  <c r="F185" i="97"/>
  <c r="E185" i="97"/>
  <c r="D185" i="97"/>
  <c r="C185" i="97"/>
  <c r="I184" i="97"/>
  <c r="H184" i="97"/>
  <c r="G184" i="97"/>
  <c r="F184" i="97"/>
  <c r="E184" i="97"/>
  <c r="D184" i="97"/>
  <c r="C184" i="97"/>
  <c r="I183" i="97"/>
  <c r="H183" i="97"/>
  <c r="G183" i="97"/>
  <c r="F183" i="97"/>
  <c r="E183" i="97"/>
  <c r="D183" i="97"/>
  <c r="C183" i="97"/>
  <c r="I182" i="97"/>
  <c r="H182" i="97"/>
  <c r="G182" i="97"/>
  <c r="F182" i="97"/>
  <c r="E182" i="97"/>
  <c r="D182" i="97"/>
  <c r="C182" i="97"/>
  <c r="I181" i="97"/>
  <c r="H181" i="97"/>
  <c r="G181" i="97"/>
  <c r="F181" i="97"/>
  <c r="E181" i="97"/>
  <c r="D181" i="97"/>
  <c r="C181" i="97"/>
  <c r="I180" i="97"/>
  <c r="H180" i="97"/>
  <c r="G180" i="97"/>
  <c r="F180" i="97"/>
  <c r="E180" i="97"/>
  <c r="D180" i="97"/>
  <c r="C180" i="97"/>
  <c r="I179" i="97"/>
  <c r="H179" i="97"/>
  <c r="G179" i="97"/>
  <c r="F179" i="97"/>
  <c r="E179" i="97"/>
  <c r="D179" i="97"/>
  <c r="C179" i="97"/>
  <c r="I178" i="97"/>
  <c r="H178" i="97"/>
  <c r="G178" i="97"/>
  <c r="F178" i="97"/>
  <c r="E178" i="97"/>
  <c r="D178" i="97"/>
  <c r="C178" i="97"/>
  <c r="E177" i="97"/>
  <c r="D177" i="97"/>
  <c r="C177" i="97"/>
  <c r="E176" i="97"/>
  <c r="D176" i="97"/>
  <c r="C176" i="97"/>
  <c r="E175" i="97"/>
  <c r="D175" i="97"/>
  <c r="C175" i="97"/>
  <c r="E174" i="97"/>
  <c r="D174" i="97"/>
  <c r="C174" i="97"/>
  <c r="E173" i="97"/>
  <c r="D173" i="97"/>
  <c r="C173" i="97"/>
  <c r="E172" i="97"/>
  <c r="D172" i="97"/>
  <c r="C172" i="97"/>
  <c r="E171" i="97"/>
  <c r="D171" i="97"/>
  <c r="C171" i="97"/>
  <c r="E170" i="97"/>
  <c r="D170" i="97"/>
  <c r="C170" i="97"/>
  <c r="E169" i="97"/>
  <c r="D169" i="97"/>
  <c r="C169" i="97"/>
  <c r="E168" i="97"/>
  <c r="D168" i="97"/>
  <c r="C168" i="97"/>
  <c r="E167" i="97"/>
  <c r="D167" i="97"/>
  <c r="C167" i="97"/>
  <c r="E166" i="97"/>
  <c r="D166" i="97"/>
  <c r="C166" i="97"/>
  <c r="E165" i="97"/>
  <c r="D165" i="97"/>
  <c r="C165" i="97"/>
  <c r="E164" i="97"/>
  <c r="D164" i="97"/>
  <c r="C164" i="97"/>
  <c r="E163" i="97"/>
  <c r="D163" i="97"/>
  <c r="C163" i="97"/>
  <c r="E162" i="97"/>
  <c r="D162" i="97"/>
  <c r="C162" i="97"/>
  <c r="E161" i="97"/>
  <c r="D161" i="97"/>
  <c r="C161" i="97"/>
  <c r="E160" i="97"/>
  <c r="D160" i="97"/>
  <c r="C160" i="97"/>
  <c r="E159" i="97"/>
  <c r="D159" i="97"/>
  <c r="C159" i="97"/>
  <c r="E158" i="97"/>
  <c r="D158" i="97"/>
  <c r="C158" i="97"/>
  <c r="E157" i="97"/>
  <c r="D157" i="97"/>
  <c r="C157" i="97"/>
  <c r="E156" i="97"/>
  <c r="D156" i="97"/>
  <c r="C156" i="97"/>
  <c r="E155" i="97"/>
  <c r="D155" i="97"/>
  <c r="C155" i="97"/>
  <c r="E154" i="97"/>
  <c r="D154" i="97"/>
  <c r="C154" i="97"/>
  <c r="E153" i="97"/>
  <c r="D153" i="97"/>
  <c r="C153" i="97"/>
  <c r="E152" i="97"/>
  <c r="D152" i="97"/>
  <c r="C152" i="97"/>
  <c r="E151" i="97"/>
  <c r="D151" i="97"/>
  <c r="C151" i="97"/>
  <c r="E150" i="97"/>
  <c r="D150" i="97"/>
  <c r="C150" i="97"/>
  <c r="E149" i="97"/>
  <c r="D149" i="97"/>
  <c r="C149" i="97"/>
  <c r="E148" i="97"/>
  <c r="D148" i="97"/>
  <c r="C148" i="97"/>
  <c r="E147" i="97"/>
  <c r="D147" i="97"/>
  <c r="C147" i="97"/>
  <c r="E146" i="97"/>
  <c r="D146" i="97"/>
  <c r="C146" i="97"/>
  <c r="E145" i="97"/>
  <c r="D145" i="97"/>
  <c r="C145" i="97"/>
  <c r="E144" i="97"/>
  <c r="D144" i="97"/>
  <c r="C144" i="97"/>
  <c r="E143" i="97"/>
  <c r="D143" i="97"/>
  <c r="C143" i="97"/>
  <c r="E142" i="97"/>
  <c r="D142" i="97"/>
  <c r="C142" i="97"/>
  <c r="E141" i="97"/>
  <c r="D141" i="97"/>
  <c r="C141" i="97"/>
  <c r="E140" i="97"/>
  <c r="D140" i="97"/>
  <c r="C140" i="97"/>
  <c r="E139" i="97"/>
  <c r="D139" i="97"/>
  <c r="C139" i="97"/>
  <c r="E138" i="97"/>
  <c r="D138" i="97"/>
  <c r="C138" i="97"/>
  <c r="E137" i="97"/>
  <c r="D137" i="97"/>
  <c r="C137" i="97"/>
  <c r="E136" i="97"/>
  <c r="D136" i="97"/>
  <c r="C136" i="97"/>
  <c r="E135" i="97"/>
  <c r="D135" i="97"/>
  <c r="C135" i="97"/>
  <c r="E134" i="97"/>
  <c r="D134" i="97"/>
  <c r="C134" i="97"/>
  <c r="E133" i="97"/>
  <c r="D133" i="97"/>
  <c r="C133" i="97"/>
  <c r="E132" i="97"/>
  <c r="D132" i="97"/>
  <c r="C132" i="97"/>
  <c r="E131" i="97"/>
  <c r="D131" i="97"/>
  <c r="C131" i="97"/>
  <c r="E130" i="97"/>
  <c r="D130" i="97"/>
  <c r="C130" i="97"/>
  <c r="E129" i="97"/>
  <c r="D129" i="97"/>
  <c r="C129" i="97"/>
  <c r="E128" i="97"/>
  <c r="D128" i="97"/>
  <c r="C128" i="97"/>
  <c r="E127" i="97"/>
  <c r="D127" i="97"/>
  <c r="C127" i="97"/>
  <c r="E126" i="97"/>
  <c r="D126" i="97"/>
  <c r="C126" i="97"/>
  <c r="E125" i="97"/>
  <c r="D125" i="97"/>
  <c r="C125" i="97"/>
  <c r="E124" i="97"/>
  <c r="D124" i="97"/>
  <c r="C124" i="97"/>
  <c r="E123" i="97"/>
  <c r="D123" i="97"/>
  <c r="C123" i="97"/>
  <c r="E122" i="97"/>
  <c r="D122" i="97"/>
  <c r="C122" i="97"/>
  <c r="E121" i="97"/>
  <c r="D121" i="97"/>
  <c r="C121" i="97"/>
  <c r="E120" i="97"/>
  <c r="D120" i="97"/>
  <c r="C120" i="97"/>
  <c r="E119" i="97"/>
  <c r="D119" i="97"/>
  <c r="C119" i="97"/>
  <c r="E118" i="97"/>
  <c r="D118" i="97"/>
  <c r="C118" i="97"/>
  <c r="E117" i="97"/>
  <c r="D117" i="97"/>
  <c r="C117" i="97"/>
  <c r="E116" i="97"/>
  <c r="D116" i="97"/>
  <c r="C116" i="97"/>
  <c r="E115" i="97"/>
  <c r="D115" i="97"/>
  <c r="C115" i="97"/>
  <c r="C114" i="97"/>
  <c r="C112" i="97"/>
  <c r="I110" i="97"/>
  <c r="H110" i="97"/>
  <c r="G110" i="97"/>
  <c r="F110" i="97"/>
  <c r="E110" i="97"/>
  <c r="D110" i="97"/>
  <c r="C110" i="97"/>
  <c r="I109" i="97"/>
  <c r="H109" i="97"/>
  <c r="G109" i="97"/>
  <c r="F109" i="97"/>
  <c r="E109" i="97"/>
  <c r="D109" i="97"/>
  <c r="C109" i="97"/>
  <c r="I108" i="97"/>
  <c r="H108" i="97"/>
  <c r="G108" i="97"/>
  <c r="F108" i="97"/>
  <c r="E108" i="97"/>
  <c r="D108" i="97"/>
  <c r="C108" i="97"/>
  <c r="I107" i="97"/>
  <c r="H107" i="97"/>
  <c r="G107" i="97"/>
  <c r="F107" i="97"/>
  <c r="E107" i="97"/>
  <c r="D107" i="97"/>
  <c r="C107" i="97"/>
  <c r="I106" i="97"/>
  <c r="H106" i="97"/>
  <c r="G106" i="97"/>
  <c r="F106" i="97"/>
  <c r="E106" i="97"/>
  <c r="D106" i="97"/>
  <c r="C106" i="97"/>
  <c r="I105" i="97"/>
  <c r="H105" i="97"/>
  <c r="G105" i="97"/>
  <c r="F105" i="97"/>
  <c r="E105" i="97"/>
  <c r="D105" i="97"/>
  <c r="C105" i="97"/>
  <c r="I104" i="97"/>
  <c r="H104" i="97"/>
  <c r="G104" i="97"/>
  <c r="F104" i="97"/>
  <c r="E104" i="97"/>
  <c r="D104" i="97"/>
  <c r="C104" i="97"/>
  <c r="I103" i="97"/>
  <c r="H103" i="97"/>
  <c r="G103" i="97"/>
  <c r="F103" i="97"/>
  <c r="E103" i="97"/>
  <c r="D103" i="97"/>
  <c r="C103" i="97"/>
  <c r="I102" i="97"/>
  <c r="H102" i="97"/>
  <c r="G102" i="97"/>
  <c r="F102" i="97"/>
  <c r="E102" i="97"/>
  <c r="D102" i="97"/>
  <c r="C102" i="97"/>
  <c r="I101" i="97"/>
  <c r="H101" i="97"/>
  <c r="G101" i="97"/>
  <c r="F101" i="97"/>
  <c r="E101" i="97"/>
  <c r="D101" i="97"/>
  <c r="C101" i="97"/>
  <c r="I100" i="97"/>
  <c r="H100" i="97"/>
  <c r="G100" i="97"/>
  <c r="F100" i="97"/>
  <c r="E100" i="97"/>
  <c r="D100" i="97"/>
  <c r="C100" i="97"/>
  <c r="I99" i="97"/>
  <c r="H99" i="97"/>
  <c r="G99" i="97"/>
  <c r="F99" i="97"/>
  <c r="E99" i="97"/>
  <c r="D99" i="97"/>
  <c r="C99" i="97"/>
  <c r="E97" i="97"/>
  <c r="D97" i="97"/>
  <c r="C97" i="97"/>
  <c r="E96" i="97"/>
  <c r="D96" i="97"/>
  <c r="C96" i="97"/>
  <c r="E95" i="97"/>
  <c r="D95" i="97"/>
  <c r="C95" i="97"/>
  <c r="C94" i="97"/>
  <c r="C92" i="97"/>
  <c r="E90" i="97"/>
  <c r="D90" i="97"/>
  <c r="C90" i="97"/>
  <c r="E89" i="97"/>
  <c r="D89" i="97"/>
  <c r="C89" i="97"/>
  <c r="E88" i="97"/>
  <c r="D88" i="97"/>
  <c r="C88" i="97"/>
  <c r="E87" i="97"/>
  <c r="D87" i="97"/>
  <c r="C87" i="97"/>
  <c r="E86" i="97"/>
  <c r="D86" i="97"/>
  <c r="C86" i="97"/>
  <c r="E85" i="97"/>
  <c r="D85" i="97"/>
  <c r="C85" i="97"/>
  <c r="E84" i="97"/>
  <c r="D84" i="97"/>
  <c r="C84" i="97"/>
  <c r="E83" i="97"/>
  <c r="D83" i="97"/>
  <c r="C83" i="97"/>
  <c r="E82" i="97"/>
  <c r="D82" i="97"/>
  <c r="C82" i="97"/>
  <c r="E81" i="97"/>
  <c r="D81" i="97"/>
  <c r="C81" i="97"/>
  <c r="E80" i="97"/>
  <c r="D80" i="97"/>
  <c r="C80" i="97"/>
  <c r="E79" i="97"/>
  <c r="D79" i="97"/>
  <c r="C79" i="97"/>
  <c r="E78" i="97"/>
  <c r="D78" i="97"/>
  <c r="C78" i="97"/>
  <c r="E77" i="97"/>
  <c r="D77" i="97"/>
  <c r="C77" i="97"/>
  <c r="E76" i="97"/>
  <c r="D76" i="97"/>
  <c r="C76" i="97"/>
  <c r="E75" i="97"/>
  <c r="D75" i="97"/>
  <c r="C75" i="97"/>
  <c r="E74" i="97"/>
  <c r="D74" i="97"/>
  <c r="C74" i="97"/>
  <c r="E73" i="97"/>
  <c r="D73" i="97"/>
  <c r="C73" i="97"/>
  <c r="E72" i="97"/>
  <c r="D72" i="97"/>
  <c r="C72" i="97"/>
  <c r="E71" i="97"/>
  <c r="D71" i="97"/>
  <c r="C71" i="97"/>
  <c r="E70" i="97"/>
  <c r="D70" i="97"/>
  <c r="C70" i="97"/>
  <c r="E69" i="97"/>
  <c r="D69" i="97"/>
  <c r="C69" i="97"/>
  <c r="E68" i="97"/>
  <c r="D68" i="97"/>
  <c r="C68" i="97"/>
  <c r="E67" i="97"/>
  <c r="D67" i="97"/>
  <c r="C67" i="97"/>
  <c r="E66" i="97"/>
  <c r="C66" i="97"/>
  <c r="E65" i="97"/>
  <c r="D65" i="97"/>
  <c r="C65" i="97"/>
  <c r="E64" i="97"/>
  <c r="D64" i="97"/>
  <c r="C64" i="97"/>
  <c r="E63" i="97"/>
  <c r="D63" i="97"/>
  <c r="C63" i="97"/>
  <c r="C61" i="97"/>
  <c r="M109" i="14"/>
  <c r="C226" i="96"/>
  <c r="F235" i="96"/>
  <c r="E235" i="96"/>
  <c r="D235" i="96"/>
  <c r="C235" i="96"/>
  <c r="F234" i="96"/>
  <c r="E234" i="96"/>
  <c r="D234" i="96"/>
  <c r="C234" i="96"/>
  <c r="F233" i="96"/>
  <c r="E233" i="96"/>
  <c r="D233" i="96"/>
  <c r="C233" i="96"/>
  <c r="F232" i="96"/>
  <c r="E232" i="96"/>
  <c r="D232" i="96"/>
  <c r="C232" i="96"/>
  <c r="F231" i="96"/>
  <c r="E231" i="96"/>
  <c r="D231" i="96"/>
  <c r="C231" i="96"/>
  <c r="F230" i="96"/>
  <c r="E230" i="96"/>
  <c r="D230" i="96"/>
  <c r="C230" i="96"/>
  <c r="F229" i="96"/>
  <c r="E229" i="96"/>
  <c r="D229" i="96"/>
  <c r="C229" i="96"/>
  <c r="D228" i="96"/>
  <c r="C228" i="96"/>
  <c r="D227" i="96"/>
  <c r="C227" i="96"/>
  <c r="D226" i="96"/>
  <c r="D225" i="96"/>
  <c r="C225" i="96"/>
  <c r="D224" i="96"/>
  <c r="C224" i="96"/>
  <c r="F223" i="96"/>
  <c r="E223" i="96"/>
  <c r="D223" i="96"/>
  <c r="C223" i="96"/>
  <c r="F222" i="96"/>
  <c r="E222" i="96"/>
  <c r="D222" i="96"/>
  <c r="C222" i="96"/>
  <c r="F220" i="96"/>
  <c r="E220" i="96"/>
  <c r="D220" i="96"/>
  <c r="C220" i="96"/>
  <c r="F219" i="96"/>
  <c r="E219" i="96"/>
  <c r="D219" i="96"/>
  <c r="C219" i="96"/>
  <c r="F218" i="96"/>
  <c r="E218" i="96"/>
  <c r="D218" i="96"/>
  <c r="C218" i="96"/>
  <c r="F217" i="96"/>
  <c r="E217" i="96"/>
  <c r="D217" i="96"/>
  <c r="C217" i="96"/>
  <c r="F216" i="96"/>
  <c r="E216" i="96"/>
  <c r="D216" i="96"/>
  <c r="C216" i="96"/>
  <c r="F215" i="96"/>
  <c r="E215" i="96"/>
  <c r="D215" i="96"/>
  <c r="C215" i="96"/>
  <c r="F214" i="96"/>
  <c r="E214" i="96"/>
  <c r="D214" i="96"/>
  <c r="C214" i="96"/>
  <c r="F212" i="96"/>
  <c r="F213" i="96" s="1"/>
  <c r="E212" i="96"/>
  <c r="E213" i="96" s="1"/>
  <c r="D212" i="96"/>
  <c r="C212" i="96"/>
  <c r="F210" i="96"/>
  <c r="E210" i="96"/>
  <c r="D210" i="96"/>
  <c r="C210" i="96"/>
  <c r="F209" i="96"/>
  <c r="E209" i="96"/>
  <c r="D209" i="96"/>
  <c r="C209" i="96"/>
  <c r="F208" i="96"/>
  <c r="E208" i="96"/>
  <c r="D208" i="96"/>
  <c r="C208" i="96"/>
  <c r="D207" i="96"/>
  <c r="C207" i="96"/>
  <c r="E206" i="96"/>
  <c r="D206" i="96"/>
  <c r="C206" i="96"/>
  <c r="F205" i="96"/>
  <c r="E205" i="96"/>
  <c r="D205" i="96"/>
  <c r="C205" i="96"/>
  <c r="F203" i="96"/>
  <c r="E203" i="96"/>
  <c r="D203" i="96"/>
  <c r="C203" i="96"/>
  <c r="F202" i="96"/>
  <c r="E202" i="96"/>
  <c r="D202" i="96"/>
  <c r="C202" i="96"/>
  <c r="F201" i="96"/>
  <c r="E201" i="96"/>
  <c r="D201" i="96"/>
  <c r="C201" i="96"/>
  <c r="F200" i="96"/>
  <c r="E200" i="96"/>
  <c r="D200" i="96"/>
  <c r="C200" i="96"/>
  <c r="F199" i="96"/>
  <c r="E199" i="96"/>
  <c r="D199" i="96"/>
  <c r="C199" i="96"/>
  <c r="F198" i="96"/>
  <c r="E198" i="96"/>
  <c r="D198" i="96"/>
  <c r="C198" i="96"/>
  <c r="F197" i="96"/>
  <c r="E197" i="96"/>
  <c r="D197" i="96"/>
  <c r="C197" i="96"/>
  <c r="F196" i="96"/>
  <c r="E196" i="96"/>
  <c r="D196" i="96"/>
  <c r="C196" i="96"/>
  <c r="F195" i="96"/>
  <c r="E195" i="96"/>
  <c r="D195" i="96"/>
  <c r="C195" i="96"/>
  <c r="D194" i="96"/>
  <c r="C194" i="96"/>
  <c r="F193" i="96"/>
  <c r="E193" i="96"/>
  <c r="D193" i="96"/>
  <c r="C193" i="96"/>
  <c r="F192" i="96"/>
  <c r="E192" i="96"/>
  <c r="D192" i="96"/>
  <c r="C192" i="96"/>
  <c r="F191" i="96"/>
  <c r="E191" i="96"/>
  <c r="D191" i="96"/>
  <c r="C191" i="96"/>
  <c r="F190" i="96"/>
  <c r="E190" i="96"/>
  <c r="D190" i="96"/>
  <c r="C190" i="96"/>
  <c r="F189" i="96"/>
  <c r="E189" i="96"/>
  <c r="D189" i="96"/>
  <c r="C189" i="96"/>
  <c r="F188" i="96"/>
  <c r="E188" i="96"/>
  <c r="D188" i="96"/>
  <c r="C188" i="96"/>
  <c r="F187" i="96"/>
  <c r="E187" i="96"/>
  <c r="D187" i="96"/>
  <c r="C187" i="96"/>
  <c r="F186" i="96"/>
  <c r="E186" i="96"/>
  <c r="D186" i="96"/>
  <c r="C186" i="96"/>
  <c r="D185" i="96"/>
  <c r="C185" i="96"/>
  <c r="F184" i="96"/>
  <c r="E184" i="96"/>
  <c r="D184" i="96"/>
  <c r="C184" i="96"/>
  <c r="F183" i="96"/>
  <c r="E183" i="96"/>
  <c r="D183" i="96"/>
  <c r="C183" i="96"/>
  <c r="F182" i="96"/>
  <c r="E182" i="96"/>
  <c r="D182" i="96"/>
  <c r="C182" i="96"/>
  <c r="F181" i="96"/>
  <c r="E181" i="96"/>
  <c r="D181" i="96"/>
  <c r="C181" i="96"/>
  <c r="F180" i="96"/>
  <c r="E180" i="96"/>
  <c r="D180" i="96"/>
  <c r="C180" i="96"/>
  <c r="F179" i="96"/>
  <c r="E179" i="96"/>
  <c r="D179" i="96"/>
  <c r="C179" i="96"/>
  <c r="F178" i="96"/>
  <c r="E178" i="96"/>
  <c r="D178" i="96"/>
  <c r="C178" i="96"/>
  <c r="F177" i="96"/>
  <c r="E177" i="96"/>
  <c r="D177" i="96"/>
  <c r="C177" i="96"/>
  <c r="F176" i="96"/>
  <c r="D176" i="96"/>
  <c r="C176" i="96"/>
  <c r="C175" i="96"/>
  <c r="F173" i="96"/>
  <c r="E173" i="96"/>
  <c r="D173" i="96"/>
  <c r="C173" i="96"/>
  <c r="F172" i="96"/>
  <c r="E172" i="96"/>
  <c r="D172" i="96"/>
  <c r="C172" i="96"/>
  <c r="F171" i="96"/>
  <c r="E171" i="96"/>
  <c r="D171" i="96"/>
  <c r="C171" i="96"/>
  <c r="F170" i="96"/>
  <c r="E170" i="96"/>
  <c r="D170" i="96"/>
  <c r="C170" i="96"/>
  <c r="F169" i="96"/>
  <c r="E169" i="96"/>
  <c r="D169" i="96"/>
  <c r="C169" i="96"/>
  <c r="F168" i="96"/>
  <c r="E168" i="96"/>
  <c r="D168" i="96"/>
  <c r="C168" i="96"/>
  <c r="F167" i="96"/>
  <c r="E167" i="96"/>
  <c r="D167" i="96"/>
  <c r="C167" i="96"/>
  <c r="C166" i="96"/>
  <c r="F165" i="96"/>
  <c r="F166" i="96" s="1"/>
  <c r="D165" i="96"/>
  <c r="C165" i="96"/>
  <c r="F163" i="96"/>
  <c r="E163" i="96"/>
  <c r="D163" i="96"/>
  <c r="C163" i="96"/>
  <c r="F162" i="96"/>
  <c r="E162" i="96"/>
  <c r="D162" i="96"/>
  <c r="C162" i="96"/>
  <c r="F161" i="96"/>
  <c r="E161" i="96"/>
  <c r="D161" i="96"/>
  <c r="C161" i="96"/>
  <c r="F160" i="96"/>
  <c r="E160" i="96"/>
  <c r="D160" i="96"/>
  <c r="C160" i="96"/>
  <c r="D159" i="96"/>
  <c r="C159" i="96"/>
  <c r="E158" i="96"/>
  <c r="D158" i="96"/>
  <c r="C158" i="96"/>
  <c r="F157" i="96"/>
  <c r="E157" i="96"/>
  <c r="D157" i="96"/>
  <c r="C157" i="96"/>
  <c r="F156" i="96"/>
  <c r="E156" i="96"/>
  <c r="D156" i="96"/>
  <c r="C156" i="96"/>
  <c r="F155" i="96"/>
  <c r="E155" i="96"/>
  <c r="D155" i="96"/>
  <c r="C155" i="96"/>
  <c r="F154" i="96"/>
  <c r="E154" i="96"/>
  <c r="D154" i="96"/>
  <c r="C154" i="96"/>
  <c r="F153" i="96"/>
  <c r="E153" i="96"/>
  <c r="D153" i="96"/>
  <c r="C153" i="96"/>
  <c r="F152" i="96"/>
  <c r="E152" i="96"/>
  <c r="D152" i="96"/>
  <c r="C152" i="96"/>
  <c r="F151" i="96"/>
  <c r="E151" i="96"/>
  <c r="D151" i="96"/>
  <c r="C151" i="96"/>
  <c r="F150" i="96"/>
  <c r="E150" i="96"/>
  <c r="D150" i="96"/>
  <c r="C150" i="96"/>
  <c r="F149" i="96"/>
  <c r="E149" i="96"/>
  <c r="D149" i="96"/>
  <c r="C149" i="96"/>
  <c r="F148" i="96"/>
  <c r="E148" i="96"/>
  <c r="D148" i="96"/>
  <c r="C148" i="96"/>
  <c r="F147" i="96"/>
  <c r="E147" i="96"/>
  <c r="D147" i="96"/>
  <c r="C147" i="96"/>
  <c r="F146" i="96"/>
  <c r="E146" i="96"/>
  <c r="D146" i="96"/>
  <c r="C146" i="96"/>
  <c r="F145" i="96"/>
  <c r="E145" i="96"/>
  <c r="D145" i="96"/>
  <c r="C145" i="96"/>
  <c r="F144" i="96"/>
  <c r="E144" i="96"/>
  <c r="D144" i="96"/>
  <c r="C144" i="96"/>
  <c r="F143" i="96"/>
  <c r="E143" i="96"/>
  <c r="D143" i="96"/>
  <c r="C143" i="96"/>
  <c r="F142" i="96"/>
  <c r="E142" i="96"/>
  <c r="D142" i="96"/>
  <c r="C142" i="96"/>
  <c r="D141" i="96"/>
  <c r="C141" i="96"/>
  <c r="F140" i="96"/>
  <c r="E140" i="96"/>
  <c r="D140" i="96"/>
  <c r="C140" i="96"/>
  <c r="F139" i="96"/>
  <c r="E139" i="96"/>
  <c r="D139" i="96"/>
  <c r="C139" i="96"/>
  <c r="F137" i="96"/>
  <c r="E137" i="96"/>
  <c r="D137" i="96"/>
  <c r="C137" i="96"/>
  <c r="F136" i="96"/>
  <c r="E136" i="96"/>
  <c r="D136" i="96"/>
  <c r="C136" i="96"/>
  <c r="F135" i="96"/>
  <c r="E135" i="96"/>
  <c r="D135" i="96"/>
  <c r="C135" i="96"/>
  <c r="F134" i="96"/>
  <c r="E134" i="96"/>
  <c r="D134" i="96"/>
  <c r="C134" i="96"/>
  <c r="F133" i="96"/>
  <c r="E133" i="96"/>
  <c r="D133" i="96"/>
  <c r="C133" i="96"/>
  <c r="F132" i="96"/>
  <c r="E132" i="96"/>
  <c r="D132" i="96"/>
  <c r="C132" i="96"/>
  <c r="E131" i="96"/>
  <c r="D131" i="96"/>
  <c r="C131" i="96"/>
  <c r="E130" i="96"/>
  <c r="D130" i="96"/>
  <c r="C130" i="96"/>
  <c r="E129" i="96"/>
  <c r="D129" i="96"/>
  <c r="C129" i="96"/>
  <c r="E124" i="96"/>
  <c r="D124" i="96"/>
  <c r="C124" i="96"/>
  <c r="E123" i="96"/>
  <c r="D123" i="96"/>
  <c r="C123" i="96"/>
  <c r="E122" i="96"/>
  <c r="D122" i="96"/>
  <c r="D121" i="96"/>
  <c r="F119" i="96"/>
  <c r="E119" i="96"/>
  <c r="D119" i="96"/>
  <c r="C119" i="96"/>
  <c r="F118" i="96"/>
  <c r="E118" i="96"/>
  <c r="D118" i="96"/>
  <c r="C118" i="96"/>
  <c r="F117" i="96"/>
  <c r="E117" i="96"/>
  <c r="D117" i="96"/>
  <c r="C117" i="96"/>
  <c r="F116" i="96"/>
  <c r="E116" i="96"/>
  <c r="D116" i="96"/>
  <c r="C116" i="96"/>
  <c r="F115" i="96"/>
  <c r="E115" i="96"/>
  <c r="D115" i="96"/>
  <c r="C115" i="96"/>
  <c r="F114" i="96"/>
  <c r="E114" i="96"/>
  <c r="D114" i="96"/>
  <c r="C114" i="96"/>
  <c r="F113" i="96"/>
  <c r="E113" i="96"/>
  <c r="D113" i="96"/>
  <c r="C113" i="96"/>
  <c r="F112" i="96"/>
  <c r="E112" i="96"/>
  <c r="D112" i="96"/>
  <c r="C112" i="96"/>
  <c r="F111" i="96"/>
  <c r="E111" i="96"/>
  <c r="D111" i="96"/>
  <c r="C111" i="96"/>
  <c r="F110" i="96"/>
  <c r="E110" i="96"/>
  <c r="D110" i="96"/>
  <c r="C110" i="96"/>
  <c r="F109" i="96"/>
  <c r="E109" i="96"/>
  <c r="D109" i="96"/>
  <c r="C109" i="96"/>
  <c r="F108" i="96"/>
  <c r="E108" i="96"/>
  <c r="D108" i="96"/>
  <c r="C108" i="96"/>
  <c r="F107" i="96"/>
  <c r="E107" i="96"/>
  <c r="D107" i="96"/>
  <c r="C107" i="96"/>
  <c r="F106" i="96"/>
  <c r="E106" i="96"/>
  <c r="D106" i="96"/>
  <c r="C106" i="96"/>
  <c r="F105" i="96"/>
  <c r="E105" i="96"/>
  <c r="D105" i="96"/>
  <c r="C105" i="96"/>
  <c r="F104" i="96"/>
  <c r="E104" i="96"/>
  <c r="D104" i="96"/>
  <c r="C104" i="96"/>
  <c r="F103" i="96"/>
  <c r="E103" i="96"/>
  <c r="D103" i="96"/>
  <c r="C103" i="96"/>
  <c r="F102" i="96"/>
  <c r="E102" i="96"/>
  <c r="D102" i="96"/>
  <c r="C102" i="96"/>
  <c r="F101" i="96"/>
  <c r="E101" i="96"/>
  <c r="D101" i="96"/>
  <c r="C101" i="96"/>
  <c r="F100" i="96"/>
  <c r="E100" i="96"/>
  <c r="D100" i="96"/>
  <c r="C100" i="96"/>
  <c r="F99" i="96"/>
  <c r="E99" i="96"/>
  <c r="D99" i="96"/>
  <c r="C99" i="96"/>
  <c r="F98" i="96"/>
  <c r="E98" i="96"/>
  <c r="D98" i="96"/>
  <c r="C98" i="96"/>
  <c r="F96" i="96"/>
  <c r="E96" i="96"/>
  <c r="D96" i="96"/>
  <c r="C96" i="96"/>
  <c r="F95" i="96"/>
  <c r="E95" i="96"/>
  <c r="D95" i="96"/>
  <c r="C95" i="96"/>
  <c r="F94" i="96"/>
  <c r="E94" i="96"/>
  <c r="D94" i="96"/>
  <c r="C94" i="96"/>
  <c r="F93" i="96"/>
  <c r="E93" i="96"/>
  <c r="D93" i="96"/>
  <c r="C93" i="96"/>
  <c r="F92" i="96"/>
  <c r="E92" i="96"/>
  <c r="D92" i="96"/>
  <c r="C92" i="96"/>
  <c r="F91" i="96"/>
  <c r="E91" i="96"/>
  <c r="D91" i="96"/>
  <c r="C91" i="96"/>
  <c r="F90" i="96"/>
  <c r="E90" i="96"/>
  <c r="D90" i="96"/>
  <c r="C90" i="96"/>
  <c r="F89" i="96"/>
  <c r="E89" i="96"/>
  <c r="D89" i="96"/>
  <c r="C89" i="96"/>
  <c r="D86" i="96"/>
  <c r="C86" i="96"/>
  <c r="D85" i="96"/>
  <c r="C85" i="96"/>
  <c r="D84" i="96"/>
  <c r="C84" i="96"/>
  <c r="D83" i="96"/>
  <c r="C83" i="96"/>
  <c r="D82" i="96"/>
  <c r="C82" i="96"/>
  <c r="D81" i="96"/>
  <c r="C81" i="96"/>
  <c r="D80" i="96"/>
  <c r="C80" i="96"/>
  <c r="C78" i="96"/>
  <c r="C66" i="96"/>
  <c r="F74" i="96"/>
  <c r="E74" i="96"/>
  <c r="D74" i="96"/>
  <c r="C74" i="96"/>
  <c r="F73" i="96"/>
  <c r="E73" i="96"/>
  <c r="D73" i="96"/>
  <c r="C73" i="96"/>
  <c r="F72" i="96"/>
  <c r="E72" i="96"/>
  <c r="D72" i="96"/>
  <c r="C72" i="96"/>
  <c r="F71" i="96"/>
  <c r="E71" i="96"/>
  <c r="D71" i="96"/>
  <c r="C71" i="96"/>
  <c r="F70" i="96"/>
  <c r="E70" i="96"/>
  <c r="D70" i="96"/>
  <c r="C70" i="96"/>
  <c r="F69" i="96"/>
  <c r="E69" i="96"/>
  <c r="D69" i="96"/>
  <c r="C69" i="96"/>
  <c r="F67" i="96"/>
  <c r="E67" i="96"/>
  <c r="D67" i="96"/>
  <c r="C67" i="96"/>
  <c r="F65" i="96"/>
  <c r="E65" i="96"/>
  <c r="D65" i="96"/>
  <c r="C65" i="96"/>
  <c r="C64" i="96"/>
  <c r="F62" i="96"/>
  <c r="E62" i="96"/>
  <c r="D62" i="96"/>
  <c r="C62" i="96"/>
  <c r="F61" i="96"/>
  <c r="E61" i="96"/>
  <c r="D61" i="96"/>
  <c r="C61" i="96"/>
  <c r="F60" i="96"/>
  <c r="E60" i="96"/>
  <c r="D60" i="96"/>
  <c r="C60" i="96"/>
  <c r="F59" i="96"/>
  <c r="E59" i="96"/>
  <c r="D59" i="96"/>
  <c r="C59" i="96"/>
  <c r="F58" i="96"/>
  <c r="E58" i="96"/>
  <c r="D58" i="96"/>
  <c r="C58" i="96"/>
  <c r="F57" i="96"/>
  <c r="E57" i="96"/>
  <c r="D57" i="96"/>
  <c r="C57" i="96"/>
  <c r="D50" i="96"/>
  <c r="C50" i="96"/>
  <c r="D49" i="96"/>
  <c r="C49" i="96"/>
  <c r="D48" i="96"/>
  <c r="C48" i="96"/>
  <c r="D47" i="96"/>
  <c r="C47" i="96"/>
  <c r="D46" i="96"/>
  <c r="C46" i="96"/>
  <c r="D45" i="96"/>
  <c r="C45" i="96"/>
  <c r="D44" i="96"/>
  <c r="C44" i="96"/>
  <c r="D43" i="96"/>
  <c r="C43" i="96"/>
  <c r="D42" i="96"/>
  <c r="C42" i="96"/>
  <c r="D41" i="96"/>
  <c r="C41" i="96"/>
  <c r="D40" i="96"/>
  <c r="C40" i="96"/>
  <c r="D39" i="96"/>
  <c r="C39" i="96"/>
  <c r="D38" i="96"/>
  <c r="C38" i="96"/>
  <c r="D37" i="96"/>
  <c r="C37" i="96"/>
  <c r="D36" i="96"/>
  <c r="C36" i="96"/>
  <c r="D35" i="96"/>
  <c r="C35" i="96"/>
  <c r="C33" i="96"/>
  <c r="F31" i="96"/>
  <c r="E31" i="96"/>
  <c r="D31" i="96"/>
  <c r="C31" i="96"/>
  <c r="F30" i="96"/>
  <c r="E30" i="96"/>
  <c r="D30" i="96"/>
  <c r="C30" i="96"/>
  <c r="F29" i="96"/>
  <c r="E29" i="96"/>
  <c r="D29" i="96"/>
  <c r="C29" i="96"/>
  <c r="F28" i="96"/>
  <c r="E28" i="96"/>
  <c r="D28" i="96"/>
  <c r="C28" i="96"/>
  <c r="F27" i="96"/>
  <c r="E27" i="96"/>
  <c r="D27" i="96"/>
  <c r="C27" i="96"/>
  <c r="F26" i="96"/>
  <c r="E26" i="96"/>
  <c r="D26" i="96"/>
  <c r="C26" i="96"/>
  <c r="F24" i="96"/>
  <c r="E24" i="96"/>
  <c r="D24" i="96"/>
  <c r="C24" i="96"/>
  <c r="C23" i="96"/>
  <c r="C13" i="96"/>
  <c r="F14" i="96"/>
  <c r="E14" i="96"/>
  <c r="D14" i="96"/>
  <c r="C14" i="96"/>
  <c r="F21" i="96"/>
  <c r="E21" i="96"/>
  <c r="D21" i="96"/>
  <c r="C21" i="96"/>
  <c r="F20" i="96"/>
  <c r="E20" i="96"/>
  <c r="D20" i="96"/>
  <c r="C20" i="96"/>
  <c r="F19" i="96"/>
  <c r="E19" i="96"/>
  <c r="D19" i="96"/>
  <c r="C19" i="96"/>
  <c r="F18" i="96"/>
  <c r="E18" i="96"/>
  <c r="D18" i="96"/>
  <c r="C18" i="96"/>
  <c r="F17" i="96"/>
  <c r="E17" i="96"/>
  <c r="D17" i="96"/>
  <c r="C17" i="96"/>
  <c r="F16" i="96"/>
  <c r="E16" i="96"/>
  <c r="D16" i="96"/>
  <c r="C16" i="96"/>
  <c r="F1299" i="107"/>
  <c r="F194" i="96" s="1"/>
  <c r="E1299" i="107"/>
  <c r="E194" i="96" s="1"/>
  <c r="F1290" i="107"/>
  <c r="F185" i="96" s="1"/>
  <c r="E1290" i="107"/>
  <c r="E185" i="96" s="1"/>
  <c r="G61" i="99" l="1"/>
  <c r="H778" i="91"/>
  <c r="I778" i="91" s="1"/>
  <c r="G25" i="94"/>
  <c r="K25" i="127" s="1"/>
  <c r="E20" i="115"/>
  <c r="G51" i="94"/>
  <c r="K51" i="127" s="1"/>
  <c r="M51" i="127" s="1"/>
  <c r="H780" i="91" l="1"/>
  <c r="I51" i="94"/>
  <c r="M106" i="92" s="1"/>
  <c r="M111" i="92"/>
  <c r="X43" i="93"/>
  <c r="V43" i="93"/>
  <c r="O42" i="93" s="1"/>
  <c r="V42" i="93" s="1"/>
  <c r="N43" i="93"/>
  <c r="E42" i="93" s="1"/>
  <c r="J256" i="105"/>
  <c r="I256" i="105"/>
  <c r="H256" i="105"/>
  <c r="G256" i="105"/>
  <c r="F256" i="105"/>
  <c r="E256" i="105"/>
  <c r="D256" i="105"/>
  <c r="J255" i="105"/>
  <c r="I255" i="105"/>
  <c r="H255" i="105"/>
  <c r="G255" i="105"/>
  <c r="F255" i="105"/>
  <c r="E255" i="105"/>
  <c r="D255" i="105"/>
  <c r="J254" i="105"/>
  <c r="I254" i="105"/>
  <c r="H254" i="105"/>
  <c r="G254" i="105"/>
  <c r="F254" i="105"/>
  <c r="E254" i="105"/>
  <c r="D254" i="105"/>
  <c r="J253" i="105"/>
  <c r="I253" i="105"/>
  <c r="H253" i="105"/>
  <c r="G253" i="105"/>
  <c r="F253" i="105"/>
  <c r="E253" i="105"/>
  <c r="D253" i="105"/>
  <c r="J252" i="105"/>
  <c r="I252" i="105"/>
  <c r="H252" i="105"/>
  <c r="G252" i="105"/>
  <c r="F252" i="105"/>
  <c r="E252" i="105"/>
  <c r="D252" i="105"/>
  <c r="J251" i="105"/>
  <c r="I251" i="105"/>
  <c r="H251" i="105"/>
  <c r="G251" i="105"/>
  <c r="J246" i="105"/>
  <c r="I246" i="105"/>
  <c r="H246" i="105"/>
  <c r="G246" i="105"/>
  <c r="F246" i="105"/>
  <c r="E246" i="105"/>
  <c r="D246" i="105"/>
  <c r="J245" i="105"/>
  <c r="I245" i="105"/>
  <c r="H245" i="105"/>
  <c r="G245" i="105"/>
  <c r="F245" i="105"/>
  <c r="E245" i="105"/>
  <c r="D245" i="105"/>
  <c r="J244" i="105"/>
  <c r="I244" i="105"/>
  <c r="H244" i="105"/>
  <c r="G244" i="105"/>
  <c r="F244" i="105"/>
  <c r="E244" i="105"/>
  <c r="D244" i="105"/>
  <c r="J243" i="105"/>
  <c r="I243" i="105"/>
  <c r="H243" i="105"/>
  <c r="G243" i="105"/>
  <c r="F243" i="105"/>
  <c r="E243" i="105"/>
  <c r="D243" i="105"/>
  <c r="J242" i="105"/>
  <c r="I242" i="105"/>
  <c r="H242" i="105"/>
  <c r="G242" i="105"/>
  <c r="F242" i="105"/>
  <c r="E242" i="105"/>
  <c r="D242" i="105"/>
  <c r="J241" i="105"/>
  <c r="I241" i="105"/>
  <c r="H241" i="105"/>
  <c r="G241" i="105"/>
  <c r="D241" i="105"/>
  <c r="J237" i="105"/>
  <c r="I237" i="105"/>
  <c r="H237" i="105"/>
  <c r="G237" i="105"/>
  <c r="F237" i="105"/>
  <c r="E237" i="105"/>
  <c r="D237" i="105"/>
  <c r="J236" i="105"/>
  <c r="I236" i="105"/>
  <c r="H236" i="105"/>
  <c r="G236" i="105"/>
  <c r="F236" i="105"/>
  <c r="E236" i="105"/>
  <c r="D236" i="105"/>
  <c r="J235" i="105"/>
  <c r="I235" i="105"/>
  <c r="H235" i="105"/>
  <c r="G235" i="105"/>
  <c r="F235" i="105"/>
  <c r="E235" i="105"/>
  <c r="D235" i="105"/>
  <c r="J234" i="105"/>
  <c r="I234" i="105"/>
  <c r="H234" i="105"/>
  <c r="G234" i="105"/>
  <c r="F234" i="105"/>
  <c r="E234" i="105"/>
  <c r="D234" i="105"/>
  <c r="J233" i="105"/>
  <c r="I233" i="105"/>
  <c r="H233" i="105"/>
  <c r="G233" i="105"/>
  <c r="F233" i="105"/>
  <c r="E233" i="105"/>
  <c r="D233" i="105"/>
  <c r="J232" i="105"/>
  <c r="I232" i="105"/>
  <c r="H232" i="105"/>
  <c r="G232" i="105"/>
  <c r="J228" i="105"/>
  <c r="I228" i="105"/>
  <c r="H228" i="105"/>
  <c r="G228" i="105"/>
  <c r="F228" i="105"/>
  <c r="E228" i="105"/>
  <c r="D228" i="105"/>
  <c r="J227" i="105"/>
  <c r="I227" i="105"/>
  <c r="H227" i="105"/>
  <c r="G227" i="105"/>
  <c r="F227" i="105"/>
  <c r="E227" i="105"/>
  <c r="D227" i="105"/>
  <c r="J226" i="105"/>
  <c r="I226" i="105"/>
  <c r="H226" i="105"/>
  <c r="G226" i="105"/>
  <c r="F226" i="105"/>
  <c r="E226" i="105"/>
  <c r="D226" i="105"/>
  <c r="J225" i="105"/>
  <c r="I225" i="105"/>
  <c r="H225" i="105"/>
  <c r="G225" i="105"/>
  <c r="F225" i="105"/>
  <c r="E225" i="105"/>
  <c r="D225" i="105"/>
  <c r="J224" i="105"/>
  <c r="I224" i="105"/>
  <c r="H224" i="105"/>
  <c r="G224" i="105"/>
  <c r="F224" i="105"/>
  <c r="E224" i="105"/>
  <c r="D224" i="105"/>
  <c r="J223" i="105"/>
  <c r="I223" i="105"/>
  <c r="H223" i="105"/>
  <c r="D223" i="105"/>
  <c r="J219" i="105"/>
  <c r="I219" i="105"/>
  <c r="H219" i="105"/>
  <c r="G219" i="105"/>
  <c r="F219" i="105"/>
  <c r="E219" i="105"/>
  <c r="D219" i="105"/>
  <c r="J218" i="105"/>
  <c r="I218" i="105"/>
  <c r="H218" i="105"/>
  <c r="G218" i="105"/>
  <c r="F218" i="105"/>
  <c r="E218" i="105"/>
  <c r="D218" i="105"/>
  <c r="J217" i="105"/>
  <c r="I217" i="105"/>
  <c r="H217" i="105"/>
  <c r="G217" i="105"/>
  <c r="F217" i="105"/>
  <c r="E217" i="105"/>
  <c r="D217" i="105"/>
  <c r="J216" i="105"/>
  <c r="I216" i="105"/>
  <c r="H216" i="105"/>
  <c r="G216" i="105"/>
  <c r="F216" i="105"/>
  <c r="E216" i="105"/>
  <c r="D216" i="105"/>
  <c r="J215" i="105"/>
  <c r="I215" i="105"/>
  <c r="H215" i="105"/>
  <c r="G215" i="105"/>
  <c r="F215" i="105"/>
  <c r="E215" i="105"/>
  <c r="D215" i="105"/>
  <c r="J214" i="105"/>
  <c r="I214" i="105"/>
  <c r="H214" i="105"/>
  <c r="G214" i="105"/>
  <c r="F214" i="105"/>
  <c r="D214" i="105"/>
  <c r="J209" i="105"/>
  <c r="I209" i="105"/>
  <c r="H209" i="105"/>
  <c r="G209" i="105"/>
  <c r="F209" i="105"/>
  <c r="E209" i="105"/>
  <c r="D209" i="105"/>
  <c r="J208" i="105"/>
  <c r="I208" i="105"/>
  <c r="H208" i="105"/>
  <c r="G208" i="105"/>
  <c r="F208" i="105"/>
  <c r="E208" i="105"/>
  <c r="D208" i="105"/>
  <c r="J207" i="105"/>
  <c r="I207" i="105"/>
  <c r="H207" i="105"/>
  <c r="G207" i="105"/>
  <c r="F207" i="105"/>
  <c r="E207" i="105"/>
  <c r="D207" i="105"/>
  <c r="J206" i="105"/>
  <c r="I206" i="105"/>
  <c r="H206" i="105"/>
  <c r="G206" i="105"/>
  <c r="F206" i="105"/>
  <c r="E206" i="105"/>
  <c r="D206" i="105"/>
  <c r="J205" i="105"/>
  <c r="I205" i="105"/>
  <c r="H205" i="105"/>
  <c r="G205" i="105"/>
  <c r="F205" i="105"/>
  <c r="E205" i="105"/>
  <c r="D205" i="105"/>
  <c r="J204" i="105"/>
  <c r="I204" i="105"/>
  <c r="H204" i="105"/>
  <c r="G204" i="105"/>
  <c r="F204" i="105"/>
  <c r="E204" i="105"/>
  <c r="D204" i="105"/>
  <c r="J186" i="105"/>
  <c r="I186" i="105"/>
  <c r="H186" i="105"/>
  <c r="G186" i="105"/>
  <c r="F186" i="105"/>
  <c r="E186" i="105"/>
  <c r="D186" i="105"/>
  <c r="J185" i="105"/>
  <c r="I185" i="105"/>
  <c r="H185" i="105"/>
  <c r="G185" i="105"/>
  <c r="F185" i="105"/>
  <c r="E185" i="105"/>
  <c r="D185" i="105"/>
  <c r="J184" i="105"/>
  <c r="I184" i="105"/>
  <c r="H184" i="105"/>
  <c r="G184" i="105"/>
  <c r="F184" i="105"/>
  <c r="E184" i="105"/>
  <c r="D184" i="105"/>
  <c r="J183" i="105"/>
  <c r="I183" i="105"/>
  <c r="H183" i="105"/>
  <c r="G183" i="105"/>
  <c r="F183" i="105"/>
  <c r="E183" i="105"/>
  <c r="D183" i="105"/>
  <c r="J182" i="105"/>
  <c r="I182" i="105"/>
  <c r="H182" i="105"/>
  <c r="G182" i="105"/>
  <c r="F182" i="105"/>
  <c r="E182" i="105"/>
  <c r="D182" i="105"/>
  <c r="J181" i="105"/>
  <c r="I181" i="105"/>
  <c r="H181" i="105"/>
  <c r="G181" i="105"/>
  <c r="F181" i="105"/>
  <c r="E181" i="105"/>
  <c r="D181" i="105"/>
  <c r="J177" i="105"/>
  <c r="I177" i="105"/>
  <c r="H177" i="105"/>
  <c r="G177" i="105"/>
  <c r="F177" i="105"/>
  <c r="E177" i="105"/>
  <c r="D177" i="105"/>
  <c r="J176" i="105"/>
  <c r="I176" i="105"/>
  <c r="H176" i="105"/>
  <c r="G176" i="105"/>
  <c r="F176" i="105"/>
  <c r="E176" i="105"/>
  <c r="D176" i="105"/>
  <c r="J175" i="105"/>
  <c r="I175" i="105"/>
  <c r="H175" i="105"/>
  <c r="G175" i="105"/>
  <c r="F175" i="105"/>
  <c r="E175" i="105"/>
  <c r="D175" i="105"/>
  <c r="J174" i="105"/>
  <c r="I174" i="105"/>
  <c r="H174" i="105"/>
  <c r="G174" i="105"/>
  <c r="F174" i="105"/>
  <c r="E174" i="105"/>
  <c r="D174" i="105"/>
  <c r="J173" i="105"/>
  <c r="I173" i="105"/>
  <c r="H173" i="105"/>
  <c r="G173" i="105"/>
  <c r="F173" i="105"/>
  <c r="E173" i="105"/>
  <c r="D173" i="105"/>
  <c r="J172" i="105"/>
  <c r="I172" i="105"/>
  <c r="H172" i="105"/>
  <c r="D172" i="105"/>
  <c r="E168" i="105"/>
  <c r="E167" i="105"/>
  <c r="E166" i="105"/>
  <c r="E165" i="105"/>
  <c r="E164" i="105"/>
  <c r="E163" i="105"/>
  <c r="D168" i="105"/>
  <c r="D167" i="105"/>
  <c r="D166" i="105"/>
  <c r="D165" i="105"/>
  <c r="D164" i="105"/>
  <c r="D163" i="105"/>
  <c r="J168" i="105"/>
  <c r="I168" i="105"/>
  <c r="H168" i="105"/>
  <c r="G168" i="105"/>
  <c r="F168" i="105"/>
  <c r="J167" i="105"/>
  <c r="I167" i="105"/>
  <c r="H167" i="105"/>
  <c r="G167" i="105"/>
  <c r="F167" i="105"/>
  <c r="J166" i="105"/>
  <c r="I166" i="105"/>
  <c r="H166" i="105"/>
  <c r="G166" i="105"/>
  <c r="F166" i="105"/>
  <c r="J165" i="105"/>
  <c r="I165" i="105"/>
  <c r="H165" i="105"/>
  <c r="G165" i="105"/>
  <c r="F165" i="105"/>
  <c r="J164" i="105"/>
  <c r="I164" i="105"/>
  <c r="H164" i="105"/>
  <c r="G164" i="105"/>
  <c r="F164" i="105"/>
  <c r="J163" i="105"/>
  <c r="I163" i="105"/>
  <c r="H163" i="105"/>
  <c r="G163" i="105"/>
  <c r="F163" i="105"/>
  <c r="F150" i="105"/>
  <c r="F149" i="105"/>
  <c r="F148" i="105"/>
  <c r="F147" i="105"/>
  <c r="F146" i="105"/>
  <c r="E146" i="105"/>
  <c r="E147" i="105"/>
  <c r="E148" i="105"/>
  <c r="E149" i="105"/>
  <c r="E150" i="105"/>
  <c r="D150" i="105"/>
  <c r="D149" i="105"/>
  <c r="D148" i="105"/>
  <c r="D147" i="105"/>
  <c r="D146" i="105"/>
  <c r="D145" i="105"/>
  <c r="J150" i="105"/>
  <c r="I150" i="105"/>
  <c r="H150" i="105"/>
  <c r="G150" i="105"/>
  <c r="J149" i="105"/>
  <c r="I149" i="105"/>
  <c r="H149" i="105"/>
  <c r="G149" i="105"/>
  <c r="J148" i="105"/>
  <c r="I148" i="105"/>
  <c r="H148" i="105"/>
  <c r="G148" i="105"/>
  <c r="J147" i="105"/>
  <c r="I147" i="105"/>
  <c r="H147" i="105"/>
  <c r="G147" i="105"/>
  <c r="J146" i="105"/>
  <c r="I146" i="105"/>
  <c r="H146" i="105"/>
  <c r="G146" i="105"/>
  <c r="J145" i="105"/>
  <c r="I145" i="105"/>
  <c r="D140" i="105"/>
  <c r="D139" i="105"/>
  <c r="D138" i="105"/>
  <c r="D137" i="105"/>
  <c r="J141" i="105"/>
  <c r="I141" i="105"/>
  <c r="H141" i="105"/>
  <c r="G141" i="105"/>
  <c r="F141" i="105"/>
  <c r="E141" i="105"/>
  <c r="D141" i="105"/>
  <c r="J140" i="105"/>
  <c r="I140" i="105"/>
  <c r="H140" i="105"/>
  <c r="G140" i="105"/>
  <c r="F140" i="105"/>
  <c r="E140" i="105"/>
  <c r="J139" i="105"/>
  <c r="I139" i="105"/>
  <c r="H139" i="105"/>
  <c r="G139" i="105"/>
  <c r="F139" i="105"/>
  <c r="E139" i="105"/>
  <c r="J138" i="105"/>
  <c r="I138" i="105"/>
  <c r="H138" i="105"/>
  <c r="G138" i="105"/>
  <c r="F138" i="105"/>
  <c r="E138" i="105"/>
  <c r="J137" i="105"/>
  <c r="I137" i="105"/>
  <c r="H137" i="105"/>
  <c r="G137" i="105"/>
  <c r="F137" i="105"/>
  <c r="E137" i="105"/>
  <c r="J136" i="105"/>
  <c r="I136" i="105"/>
  <c r="H136" i="105"/>
  <c r="G136" i="105"/>
  <c r="F136" i="105"/>
  <c r="E136" i="105"/>
  <c r="D136" i="105"/>
  <c r="J127" i="105"/>
  <c r="I127" i="105"/>
  <c r="H127" i="105"/>
  <c r="G127" i="105"/>
  <c r="F127" i="105"/>
  <c r="E127" i="105"/>
  <c r="D127" i="105"/>
  <c r="J126" i="105"/>
  <c r="I126" i="105"/>
  <c r="H126" i="105"/>
  <c r="G126" i="105"/>
  <c r="F126" i="105"/>
  <c r="E126" i="105"/>
  <c r="D126" i="105"/>
  <c r="J125" i="105"/>
  <c r="I125" i="105"/>
  <c r="H125" i="105"/>
  <c r="G125" i="105"/>
  <c r="F125" i="105"/>
  <c r="E125" i="105"/>
  <c r="D125" i="105"/>
  <c r="J124" i="105"/>
  <c r="I124" i="105"/>
  <c r="H124" i="105"/>
  <c r="G124" i="105"/>
  <c r="F124" i="105"/>
  <c r="E124" i="105"/>
  <c r="D124" i="105"/>
  <c r="J123" i="105"/>
  <c r="I123" i="105"/>
  <c r="H123" i="105"/>
  <c r="G123" i="105"/>
  <c r="F123" i="105"/>
  <c r="E123" i="105"/>
  <c r="D123" i="105"/>
  <c r="J122" i="105"/>
  <c r="I122" i="105"/>
  <c r="H122" i="105"/>
  <c r="G122" i="105"/>
  <c r="F122" i="105"/>
  <c r="J118" i="105"/>
  <c r="I118" i="105"/>
  <c r="H118" i="105"/>
  <c r="G118" i="105"/>
  <c r="F118" i="105"/>
  <c r="E118" i="105"/>
  <c r="D118" i="105"/>
  <c r="J117" i="105"/>
  <c r="I117" i="105"/>
  <c r="H117" i="105"/>
  <c r="G117" i="105"/>
  <c r="F117" i="105"/>
  <c r="E117" i="105"/>
  <c r="D117" i="105"/>
  <c r="I116" i="105"/>
  <c r="H116" i="105"/>
  <c r="G116" i="105"/>
  <c r="F116" i="105"/>
  <c r="E116" i="105"/>
  <c r="D116" i="105"/>
  <c r="J115" i="105"/>
  <c r="I115" i="105"/>
  <c r="H115" i="105"/>
  <c r="G115" i="105"/>
  <c r="F115" i="105"/>
  <c r="E115" i="105"/>
  <c r="D115" i="105"/>
  <c r="J114" i="105"/>
  <c r="I114" i="105"/>
  <c r="H114" i="105"/>
  <c r="G114" i="105"/>
  <c r="F114" i="105"/>
  <c r="E114" i="105"/>
  <c r="D114" i="105"/>
  <c r="J113" i="105"/>
  <c r="I113" i="105"/>
  <c r="H113" i="105"/>
  <c r="G113" i="105"/>
  <c r="F113" i="105"/>
  <c r="E113" i="105"/>
  <c r="D113" i="105"/>
  <c r="J88" i="105"/>
  <c r="I88" i="105"/>
  <c r="H88" i="105"/>
  <c r="G88" i="105"/>
  <c r="F88" i="105"/>
  <c r="E88" i="105"/>
  <c r="D88" i="105"/>
  <c r="J87" i="105"/>
  <c r="I87" i="105"/>
  <c r="H87" i="105"/>
  <c r="G87" i="105"/>
  <c r="F87" i="105"/>
  <c r="E87" i="105"/>
  <c r="D87" i="105"/>
  <c r="J86" i="105"/>
  <c r="I86" i="105"/>
  <c r="H86" i="105"/>
  <c r="G86" i="105"/>
  <c r="F86" i="105"/>
  <c r="E86" i="105"/>
  <c r="D86" i="105"/>
  <c r="J85" i="105"/>
  <c r="I85" i="105"/>
  <c r="H85" i="105"/>
  <c r="G85" i="105"/>
  <c r="F85" i="105"/>
  <c r="E85" i="105"/>
  <c r="D85" i="105"/>
  <c r="J84" i="105"/>
  <c r="I84" i="105"/>
  <c r="H84" i="105"/>
  <c r="G84" i="105"/>
  <c r="F84" i="105"/>
  <c r="E84" i="105"/>
  <c r="D84" i="105"/>
  <c r="J83" i="105"/>
  <c r="I83" i="105"/>
  <c r="H83" i="105"/>
  <c r="G83" i="105"/>
  <c r="F83" i="105"/>
  <c r="E83" i="105"/>
  <c r="D83" i="105"/>
  <c r="J70" i="105"/>
  <c r="I70" i="105"/>
  <c r="H70" i="105"/>
  <c r="G70" i="105"/>
  <c r="F70" i="105"/>
  <c r="E70" i="105"/>
  <c r="D70" i="105"/>
  <c r="J69" i="105"/>
  <c r="I69" i="105"/>
  <c r="H69" i="105"/>
  <c r="G69" i="105"/>
  <c r="F69" i="105"/>
  <c r="E69" i="105"/>
  <c r="D69" i="105"/>
  <c r="J68" i="105"/>
  <c r="I68" i="105"/>
  <c r="H68" i="105"/>
  <c r="G68" i="105"/>
  <c r="F68" i="105"/>
  <c r="E68" i="105"/>
  <c r="D68" i="105"/>
  <c r="J67" i="105"/>
  <c r="I67" i="105"/>
  <c r="H67" i="105"/>
  <c r="G67" i="105"/>
  <c r="F67" i="105"/>
  <c r="E67" i="105"/>
  <c r="D67" i="105"/>
  <c r="J66" i="105"/>
  <c r="I66" i="105"/>
  <c r="H66" i="105"/>
  <c r="G66" i="105"/>
  <c r="F66" i="105"/>
  <c r="E66" i="105"/>
  <c r="D66" i="105"/>
  <c r="J65" i="105"/>
  <c r="I65" i="105"/>
  <c r="H65" i="105"/>
  <c r="G65" i="105"/>
  <c r="F65" i="105"/>
  <c r="E65" i="105"/>
  <c r="D65" i="105"/>
  <c r="J52" i="105"/>
  <c r="I52" i="105"/>
  <c r="H52" i="105"/>
  <c r="G52" i="105"/>
  <c r="F52" i="105"/>
  <c r="E52" i="105"/>
  <c r="D52" i="105"/>
  <c r="J51" i="105"/>
  <c r="I51" i="105"/>
  <c r="H51" i="105"/>
  <c r="G51" i="105"/>
  <c r="F51" i="105"/>
  <c r="E51" i="105"/>
  <c r="D51" i="105"/>
  <c r="J50" i="105"/>
  <c r="I50" i="105"/>
  <c r="H50" i="105"/>
  <c r="G50" i="105"/>
  <c r="F50" i="105"/>
  <c r="E50" i="105"/>
  <c r="D50" i="105"/>
  <c r="J49" i="105"/>
  <c r="I49" i="105"/>
  <c r="H49" i="105"/>
  <c r="G49" i="105"/>
  <c r="F49" i="105"/>
  <c r="E49" i="105"/>
  <c r="D49" i="105"/>
  <c r="J48" i="105"/>
  <c r="I48" i="105"/>
  <c r="H48" i="105"/>
  <c r="G48" i="105"/>
  <c r="F48" i="105"/>
  <c r="E48" i="105"/>
  <c r="D48" i="105"/>
  <c r="J47" i="105"/>
  <c r="I47" i="105"/>
  <c r="H47" i="105"/>
  <c r="G47" i="105"/>
  <c r="F47" i="105"/>
  <c r="E47" i="105"/>
  <c r="D47" i="105"/>
  <c r="J29" i="105"/>
  <c r="I29" i="105"/>
  <c r="H29" i="105"/>
  <c r="G29" i="105"/>
  <c r="F29" i="105"/>
  <c r="E29" i="105"/>
  <c r="D29" i="105"/>
  <c r="J28" i="105"/>
  <c r="I28" i="105"/>
  <c r="H28" i="105"/>
  <c r="G28" i="105"/>
  <c r="F28" i="105"/>
  <c r="E28" i="105"/>
  <c r="D28" i="105"/>
  <c r="J27" i="105"/>
  <c r="I27" i="105"/>
  <c r="H27" i="105"/>
  <c r="G27" i="105"/>
  <c r="F27" i="105"/>
  <c r="E27" i="105"/>
  <c r="D27" i="105"/>
  <c r="J26" i="105"/>
  <c r="I26" i="105"/>
  <c r="H26" i="105"/>
  <c r="G26" i="105"/>
  <c r="F26" i="105"/>
  <c r="E26" i="105"/>
  <c r="D26" i="105"/>
  <c r="J25" i="105"/>
  <c r="I25" i="105"/>
  <c r="H25" i="105"/>
  <c r="G25" i="105"/>
  <c r="F25" i="105"/>
  <c r="E25" i="105"/>
  <c r="D25" i="105"/>
  <c r="J249" i="105"/>
  <c r="I249" i="105"/>
  <c r="H249" i="105"/>
  <c r="G249" i="105"/>
  <c r="F249" i="105"/>
  <c r="E249" i="105"/>
  <c r="D249" i="105"/>
  <c r="J239" i="105"/>
  <c r="I239" i="105"/>
  <c r="H239" i="105"/>
  <c r="G239" i="105"/>
  <c r="F239" i="105"/>
  <c r="E239" i="105"/>
  <c r="D239" i="105"/>
  <c r="D230" i="105"/>
  <c r="D221" i="105"/>
  <c r="D212" i="105"/>
  <c r="J201" i="105"/>
  <c r="H201" i="105"/>
  <c r="F201" i="105"/>
  <c r="E201" i="105"/>
  <c r="D201" i="105"/>
  <c r="F200" i="105"/>
  <c r="E200" i="105"/>
  <c r="D200" i="105"/>
  <c r="F199" i="105"/>
  <c r="E199" i="105"/>
  <c r="D199" i="105"/>
  <c r="F198" i="105"/>
  <c r="E198" i="105"/>
  <c r="D198" i="105"/>
  <c r="F197" i="105"/>
  <c r="E197" i="105"/>
  <c r="D197" i="105"/>
  <c r="F196" i="105"/>
  <c r="E196" i="105"/>
  <c r="D196" i="105"/>
  <c r="F195" i="105"/>
  <c r="E195" i="105"/>
  <c r="D195" i="105"/>
  <c r="F194" i="105"/>
  <c r="E194" i="105"/>
  <c r="D194" i="105"/>
  <c r="H193" i="105"/>
  <c r="G193" i="105"/>
  <c r="F193" i="105"/>
  <c r="E193" i="105"/>
  <c r="D193" i="105"/>
  <c r="F192" i="105"/>
  <c r="E192" i="105"/>
  <c r="D192" i="105"/>
  <c r="F191" i="105"/>
  <c r="E191" i="105"/>
  <c r="D191" i="105"/>
  <c r="I190" i="105"/>
  <c r="H190" i="105"/>
  <c r="G190" i="105"/>
  <c r="F190" i="105"/>
  <c r="E190" i="105"/>
  <c r="D190" i="105"/>
  <c r="D188" i="105"/>
  <c r="D179" i="105"/>
  <c r="D170" i="105"/>
  <c r="I161" i="105"/>
  <c r="H161" i="105"/>
  <c r="G161" i="105"/>
  <c r="F161" i="105"/>
  <c r="E161" i="105"/>
  <c r="D161" i="105"/>
  <c r="I160" i="105"/>
  <c r="H160" i="105"/>
  <c r="G160" i="105"/>
  <c r="F160" i="105"/>
  <c r="E160" i="105"/>
  <c r="D160" i="105"/>
  <c r="I159" i="105"/>
  <c r="H159" i="105"/>
  <c r="G159" i="105"/>
  <c r="F159" i="105"/>
  <c r="E159" i="105"/>
  <c r="D159" i="105"/>
  <c r="I158" i="105"/>
  <c r="H158" i="105"/>
  <c r="G158" i="105"/>
  <c r="F158" i="105"/>
  <c r="E158" i="105"/>
  <c r="D158" i="105"/>
  <c r="I157" i="105"/>
  <c r="H157" i="105"/>
  <c r="G157" i="105"/>
  <c r="F157" i="105"/>
  <c r="E157" i="105"/>
  <c r="D157" i="105"/>
  <c r="I156" i="105"/>
  <c r="H156" i="105"/>
  <c r="G156" i="105"/>
  <c r="F156" i="105"/>
  <c r="E156" i="105"/>
  <c r="D156" i="105"/>
  <c r="J152" i="105"/>
  <c r="I152" i="105"/>
  <c r="H152" i="105"/>
  <c r="G152" i="105"/>
  <c r="F152" i="105"/>
  <c r="E152" i="105"/>
  <c r="D152" i="105"/>
  <c r="D143" i="105"/>
  <c r="J134" i="105"/>
  <c r="I134" i="105"/>
  <c r="H134" i="105"/>
  <c r="G134" i="105"/>
  <c r="F134" i="105"/>
  <c r="E134" i="105"/>
  <c r="D134" i="105"/>
  <c r="J133" i="105"/>
  <c r="I133" i="105"/>
  <c r="H133" i="105"/>
  <c r="G133" i="105"/>
  <c r="F133" i="105"/>
  <c r="E133" i="105"/>
  <c r="D133" i="105"/>
  <c r="J131" i="105"/>
  <c r="I131" i="105"/>
  <c r="H131" i="105"/>
  <c r="G131" i="105"/>
  <c r="F131" i="105"/>
  <c r="E131" i="105"/>
  <c r="D131" i="105"/>
  <c r="J129" i="105"/>
  <c r="I129" i="105"/>
  <c r="H129" i="105"/>
  <c r="G129" i="105"/>
  <c r="F129" i="105"/>
  <c r="E129" i="105"/>
  <c r="D129" i="105"/>
  <c r="D120" i="105"/>
  <c r="H103" i="105"/>
  <c r="H111" i="105"/>
  <c r="G111" i="105"/>
  <c r="F111" i="105"/>
  <c r="E111" i="105"/>
  <c r="D111" i="105"/>
  <c r="H110" i="105"/>
  <c r="G110" i="105"/>
  <c r="F110" i="105"/>
  <c r="E110" i="105"/>
  <c r="D110" i="105"/>
  <c r="H109" i="105"/>
  <c r="G109" i="105"/>
  <c r="F109" i="105"/>
  <c r="E109" i="105"/>
  <c r="D109" i="105"/>
  <c r="H108" i="105"/>
  <c r="G108" i="105"/>
  <c r="F108" i="105"/>
  <c r="E108" i="105"/>
  <c r="D108" i="105"/>
  <c r="H107" i="105"/>
  <c r="G107" i="105"/>
  <c r="F107" i="105"/>
  <c r="E107" i="105"/>
  <c r="D107" i="105"/>
  <c r="H106" i="105"/>
  <c r="G106" i="105"/>
  <c r="F106" i="105"/>
  <c r="E106" i="105"/>
  <c r="D106" i="105"/>
  <c r="H105" i="105"/>
  <c r="G105" i="105"/>
  <c r="F105" i="105"/>
  <c r="E105" i="105"/>
  <c r="D105" i="105"/>
  <c r="H104" i="105"/>
  <c r="G104" i="105"/>
  <c r="F104" i="105"/>
  <c r="E104" i="105"/>
  <c r="D104" i="105"/>
  <c r="J102" i="105"/>
  <c r="I102" i="105"/>
  <c r="H102" i="105"/>
  <c r="G102" i="105"/>
  <c r="F102" i="105"/>
  <c r="E102" i="105"/>
  <c r="D102" i="105"/>
  <c r="I94" i="105"/>
  <c r="I100" i="105"/>
  <c r="H100" i="105"/>
  <c r="G100" i="105"/>
  <c r="F100" i="105"/>
  <c r="E100" i="105"/>
  <c r="D100" i="105"/>
  <c r="I99" i="105"/>
  <c r="F48" i="94" s="1"/>
  <c r="H99" i="105"/>
  <c r="G99" i="105"/>
  <c r="F99" i="105"/>
  <c r="E99" i="105"/>
  <c r="D99" i="105"/>
  <c r="I98" i="105"/>
  <c r="H98" i="105"/>
  <c r="G98" i="105"/>
  <c r="F98" i="105"/>
  <c r="E98" i="105"/>
  <c r="D98" i="105"/>
  <c r="I97" i="105"/>
  <c r="H97" i="105"/>
  <c r="G97" i="105"/>
  <c r="F97" i="105"/>
  <c r="E97" i="105"/>
  <c r="D97" i="105"/>
  <c r="I96" i="105"/>
  <c r="H96" i="105"/>
  <c r="G96" i="105"/>
  <c r="F96" i="105"/>
  <c r="E96" i="105"/>
  <c r="D96" i="105"/>
  <c r="I95" i="105"/>
  <c r="H95" i="105"/>
  <c r="G95" i="105"/>
  <c r="F95" i="105"/>
  <c r="E95" i="105"/>
  <c r="D95" i="105"/>
  <c r="D93" i="105"/>
  <c r="D91" i="105"/>
  <c r="H81" i="105"/>
  <c r="G81" i="105"/>
  <c r="F81" i="105"/>
  <c r="E81" i="105"/>
  <c r="D81" i="105"/>
  <c r="H80" i="105"/>
  <c r="G80" i="105"/>
  <c r="F80" i="105"/>
  <c r="E80" i="105"/>
  <c r="D80" i="105"/>
  <c r="H79" i="105"/>
  <c r="G79" i="105"/>
  <c r="F79" i="105"/>
  <c r="E79" i="105"/>
  <c r="D79" i="105"/>
  <c r="H78" i="105"/>
  <c r="G78" i="105"/>
  <c r="F78" i="105"/>
  <c r="E78" i="105"/>
  <c r="D78" i="105"/>
  <c r="H77" i="105"/>
  <c r="G77" i="105"/>
  <c r="F77" i="105"/>
  <c r="E77" i="105"/>
  <c r="D77" i="105"/>
  <c r="H76" i="105"/>
  <c r="G76" i="105"/>
  <c r="F76" i="105"/>
  <c r="E76" i="105"/>
  <c r="D76" i="105"/>
  <c r="H75" i="105"/>
  <c r="G75" i="105"/>
  <c r="F75" i="105"/>
  <c r="E75" i="105"/>
  <c r="D75" i="105"/>
  <c r="H74" i="105"/>
  <c r="G74" i="105"/>
  <c r="F74" i="105"/>
  <c r="E74" i="105"/>
  <c r="D74" i="105"/>
  <c r="H73" i="105"/>
  <c r="J72" i="105"/>
  <c r="I72" i="105"/>
  <c r="H72" i="105"/>
  <c r="G72" i="105"/>
  <c r="F72" i="105"/>
  <c r="E72" i="105"/>
  <c r="D72" i="105"/>
  <c r="I63" i="105"/>
  <c r="H63" i="105"/>
  <c r="G63" i="105"/>
  <c r="F63" i="105"/>
  <c r="E63" i="105"/>
  <c r="D63" i="105"/>
  <c r="H62" i="105"/>
  <c r="G62" i="105"/>
  <c r="F62" i="105"/>
  <c r="E62" i="105"/>
  <c r="D62" i="105"/>
  <c r="I61" i="105"/>
  <c r="H61" i="105"/>
  <c r="G61" i="105"/>
  <c r="F61" i="105"/>
  <c r="E61" i="105"/>
  <c r="D61" i="105"/>
  <c r="I60" i="105"/>
  <c r="H60" i="105"/>
  <c r="G60" i="105"/>
  <c r="F60" i="105"/>
  <c r="E60" i="105"/>
  <c r="D60" i="105"/>
  <c r="I59" i="105"/>
  <c r="H59" i="105"/>
  <c r="G59" i="105"/>
  <c r="F59" i="105"/>
  <c r="E59" i="105"/>
  <c r="D59" i="105"/>
  <c r="I58" i="105"/>
  <c r="H58" i="105"/>
  <c r="G58" i="105"/>
  <c r="F58" i="105"/>
  <c r="E58" i="105"/>
  <c r="D58" i="105"/>
  <c r="I57" i="105"/>
  <c r="D56" i="105"/>
  <c r="D54" i="105"/>
  <c r="H45" i="105"/>
  <c r="G45" i="105"/>
  <c r="F45" i="105"/>
  <c r="E45" i="105"/>
  <c r="H44" i="105"/>
  <c r="G44" i="105"/>
  <c r="F44" i="105"/>
  <c r="E44" i="105"/>
  <c r="H43" i="105"/>
  <c r="G43" i="105"/>
  <c r="F43" i="105"/>
  <c r="E43" i="105"/>
  <c r="H42" i="105"/>
  <c r="G42" i="105"/>
  <c r="F42" i="105"/>
  <c r="E42" i="105"/>
  <c r="H41" i="105"/>
  <c r="G41" i="105"/>
  <c r="F41" i="105"/>
  <c r="E41" i="105"/>
  <c r="H40" i="105"/>
  <c r="G40" i="105"/>
  <c r="F40" i="105"/>
  <c r="E40" i="105"/>
  <c r="H39" i="105"/>
  <c r="G39" i="105"/>
  <c r="F39" i="105"/>
  <c r="E39" i="105"/>
  <c r="H38" i="105"/>
  <c r="G38" i="105"/>
  <c r="F38" i="105"/>
  <c r="E38" i="105"/>
  <c r="H37" i="105"/>
  <c r="G37" i="105"/>
  <c r="F37" i="105"/>
  <c r="E37" i="105"/>
  <c r="H36" i="105"/>
  <c r="G36" i="105"/>
  <c r="F36" i="105"/>
  <c r="E36" i="105"/>
  <c r="H35" i="105"/>
  <c r="G35" i="105"/>
  <c r="F35" i="105"/>
  <c r="E35" i="105"/>
  <c r="D45" i="105"/>
  <c r="D44" i="105"/>
  <c r="D43" i="105"/>
  <c r="D42" i="105"/>
  <c r="D41" i="105"/>
  <c r="D40" i="105"/>
  <c r="D39" i="105"/>
  <c r="D38" i="105"/>
  <c r="D37" i="105"/>
  <c r="D36" i="105"/>
  <c r="D35" i="105"/>
  <c r="D34" i="105"/>
  <c r="H34" i="105"/>
  <c r="G34" i="105"/>
  <c r="F34" i="105"/>
  <c r="E34" i="105"/>
  <c r="H33" i="105"/>
  <c r="G33" i="105"/>
  <c r="F33" i="105"/>
  <c r="E33" i="105"/>
  <c r="J31" i="105"/>
  <c r="I31" i="105"/>
  <c r="H31" i="105"/>
  <c r="G31" i="105"/>
  <c r="F31" i="105"/>
  <c r="E31" i="105"/>
  <c r="D31" i="105"/>
  <c r="J24" i="105"/>
  <c r="I24" i="105"/>
  <c r="H24" i="105"/>
  <c r="G24" i="105"/>
  <c r="D24" i="105"/>
  <c r="J23" i="105"/>
  <c r="I23" i="105"/>
  <c r="H23" i="105"/>
  <c r="G23" i="105"/>
  <c r="F23" i="105"/>
  <c r="E23" i="105"/>
  <c r="D23" i="105"/>
  <c r="J21" i="105"/>
  <c r="I21" i="105"/>
  <c r="H21" i="105"/>
  <c r="G21" i="105"/>
  <c r="F21" i="105"/>
  <c r="E21" i="105"/>
  <c r="D21" i="105"/>
  <c r="J20" i="105"/>
  <c r="I20" i="105"/>
  <c r="H20" i="105"/>
  <c r="G20" i="105"/>
  <c r="F20" i="105"/>
  <c r="E20" i="105"/>
  <c r="D20" i="105"/>
  <c r="E19" i="105"/>
  <c r="D19" i="105"/>
  <c r="E18" i="105"/>
  <c r="D18" i="105"/>
  <c r="E17" i="105"/>
  <c r="D17" i="105"/>
  <c r="E16" i="105"/>
  <c r="D16" i="105"/>
  <c r="J15" i="105"/>
  <c r="I15" i="105"/>
  <c r="H15" i="105"/>
  <c r="G15" i="105"/>
  <c r="F15" i="105"/>
  <c r="E15" i="105"/>
  <c r="D15" i="105"/>
  <c r="J14" i="105"/>
  <c r="I14" i="105"/>
  <c r="H14" i="105"/>
  <c r="G14" i="105"/>
  <c r="F14" i="105"/>
  <c r="D14" i="105"/>
  <c r="J13" i="105"/>
  <c r="I13" i="105"/>
  <c r="H13" i="105"/>
  <c r="G13" i="105"/>
  <c r="F13" i="105"/>
  <c r="D13" i="105"/>
  <c r="C3" i="107"/>
  <c r="G89" i="103"/>
  <c r="F89" i="103"/>
  <c r="E89" i="103"/>
  <c r="D89" i="103"/>
  <c r="C89" i="103"/>
  <c r="B89" i="103"/>
  <c r="G88" i="103"/>
  <c r="F88" i="103"/>
  <c r="E88" i="103"/>
  <c r="D88" i="103"/>
  <c r="C88" i="103"/>
  <c r="B88" i="103"/>
  <c r="G87" i="103"/>
  <c r="F87" i="103"/>
  <c r="E87" i="103"/>
  <c r="D87" i="103"/>
  <c r="C87" i="103"/>
  <c r="B87" i="103"/>
  <c r="G86" i="103"/>
  <c r="F86" i="103"/>
  <c r="E86" i="103"/>
  <c r="D86" i="103"/>
  <c r="C86" i="103"/>
  <c r="B86" i="103"/>
  <c r="G85" i="103"/>
  <c r="F85" i="103"/>
  <c r="E85" i="103"/>
  <c r="D85" i="103"/>
  <c r="C85" i="103"/>
  <c r="B85" i="103"/>
  <c r="G84" i="103"/>
  <c r="F84" i="103"/>
  <c r="E84" i="103"/>
  <c r="D84" i="103"/>
  <c r="C84" i="103"/>
  <c r="B84" i="103"/>
  <c r="G83" i="103"/>
  <c r="F83" i="103"/>
  <c r="C83" i="103"/>
  <c r="B83" i="103"/>
  <c r="G82" i="103"/>
  <c r="F82" i="103"/>
  <c r="E82" i="103"/>
  <c r="D82" i="103"/>
  <c r="C82" i="103"/>
  <c r="B82" i="103"/>
  <c r="G81" i="103"/>
  <c r="F81" i="103"/>
  <c r="E81" i="103"/>
  <c r="D81" i="103"/>
  <c r="C81" i="103"/>
  <c r="B81" i="103"/>
  <c r="G80" i="103"/>
  <c r="F80" i="103"/>
  <c r="E80" i="103"/>
  <c r="D80" i="103"/>
  <c r="C80" i="103"/>
  <c r="B80" i="103"/>
  <c r="G79" i="103"/>
  <c r="F79" i="103"/>
  <c r="E79" i="103"/>
  <c r="D79" i="103"/>
  <c r="C79" i="103"/>
  <c r="B79" i="103"/>
  <c r="G78" i="103"/>
  <c r="F78" i="103"/>
  <c r="E78" i="103"/>
  <c r="D78" i="103"/>
  <c r="C78" i="103"/>
  <c r="B78" i="103"/>
  <c r="G77" i="103"/>
  <c r="F77" i="103"/>
  <c r="E77" i="103"/>
  <c r="D77" i="103"/>
  <c r="C77" i="103"/>
  <c r="B77" i="103"/>
  <c r="G76" i="103"/>
  <c r="F76" i="103"/>
  <c r="E76" i="103"/>
  <c r="D76" i="103"/>
  <c r="C76" i="103"/>
  <c r="B76" i="103"/>
  <c r="G75" i="103"/>
  <c r="F75" i="103"/>
  <c r="E75" i="103"/>
  <c r="D75" i="103"/>
  <c r="C75" i="103"/>
  <c r="B75" i="103"/>
  <c r="G74" i="103"/>
  <c r="F74" i="103"/>
  <c r="E74" i="103"/>
  <c r="D74" i="103"/>
  <c r="C74" i="103"/>
  <c r="B74" i="103"/>
  <c r="G73" i="103"/>
  <c r="F73" i="103"/>
  <c r="E73" i="103"/>
  <c r="D73" i="103"/>
  <c r="C73" i="103"/>
  <c r="B73" i="103"/>
  <c r="G72" i="103"/>
  <c r="F72" i="103"/>
  <c r="E72" i="103"/>
  <c r="D72" i="103"/>
  <c r="C72" i="103"/>
  <c r="B72" i="103"/>
  <c r="G71" i="103"/>
  <c r="F71" i="103"/>
  <c r="E71" i="103"/>
  <c r="D71" i="103"/>
  <c r="C71" i="103"/>
  <c r="B71" i="103"/>
  <c r="G70" i="103"/>
  <c r="F70" i="103"/>
  <c r="C70" i="103"/>
  <c r="B70" i="103"/>
  <c r="G69" i="103"/>
  <c r="F69" i="103"/>
  <c r="E69" i="103"/>
  <c r="D69" i="103"/>
  <c r="C69" i="103"/>
  <c r="B69" i="103"/>
  <c r="G68" i="103"/>
  <c r="F68" i="103"/>
  <c r="E68" i="103"/>
  <c r="D68" i="103"/>
  <c r="C68" i="103"/>
  <c r="B68" i="103"/>
  <c r="G62" i="103"/>
  <c r="F62" i="103"/>
  <c r="E62" i="103"/>
  <c r="D62" i="103"/>
  <c r="G61" i="103"/>
  <c r="F61" i="103"/>
  <c r="E61" i="103"/>
  <c r="D61" i="103"/>
  <c r="G60" i="103"/>
  <c r="F60" i="103"/>
  <c r="E60" i="103"/>
  <c r="D60" i="103"/>
  <c r="G59" i="103"/>
  <c r="F59" i="103"/>
  <c r="E59" i="103"/>
  <c r="D59" i="103"/>
  <c r="G58" i="103"/>
  <c r="F58" i="103"/>
  <c r="E58" i="103"/>
  <c r="D58" i="103"/>
  <c r="G57" i="103"/>
  <c r="F57" i="103"/>
  <c r="E57" i="103"/>
  <c r="D57" i="103"/>
  <c r="G56" i="103"/>
  <c r="F56" i="103"/>
  <c r="E56" i="103"/>
  <c r="D56" i="103"/>
  <c r="G55" i="103"/>
  <c r="F55" i="103"/>
  <c r="E55" i="103"/>
  <c r="D55" i="103"/>
  <c r="G54" i="103"/>
  <c r="F54" i="103"/>
  <c r="E54" i="103"/>
  <c r="D54" i="103"/>
  <c r="G53" i="103"/>
  <c r="F53" i="103"/>
  <c r="E53" i="103"/>
  <c r="D53" i="103"/>
  <c r="G52" i="103"/>
  <c r="F52" i="103"/>
  <c r="E52" i="103"/>
  <c r="D52" i="103"/>
  <c r="G51" i="103"/>
  <c r="F51" i="103"/>
  <c r="E51" i="103"/>
  <c r="D51" i="103"/>
  <c r="G50" i="103"/>
  <c r="F50" i="103"/>
  <c r="E50" i="103"/>
  <c r="D50" i="103"/>
  <c r="G49" i="103"/>
  <c r="F49" i="103"/>
  <c r="E49" i="103"/>
  <c r="D49" i="103"/>
  <c r="G48" i="103"/>
  <c r="F48" i="103"/>
  <c r="E48" i="103"/>
  <c r="D48" i="103"/>
  <c r="G47" i="103"/>
  <c r="F47" i="103"/>
  <c r="E47" i="103"/>
  <c r="D47" i="103"/>
  <c r="G46" i="103"/>
  <c r="F46" i="103"/>
  <c r="E46" i="103"/>
  <c r="D46" i="103"/>
  <c r="G45" i="103"/>
  <c r="F45" i="103"/>
  <c r="E45" i="103"/>
  <c r="D45" i="103"/>
  <c r="G44" i="103"/>
  <c r="F44" i="103"/>
  <c r="E44" i="103"/>
  <c r="D44" i="103"/>
  <c r="G43" i="103"/>
  <c r="F43" i="103"/>
  <c r="E43" i="103"/>
  <c r="D43" i="103"/>
  <c r="G42" i="103"/>
  <c r="F42" i="103"/>
  <c r="E42" i="103"/>
  <c r="D42" i="103"/>
  <c r="G41" i="103"/>
  <c r="F41" i="103"/>
  <c r="E41" i="103"/>
  <c r="D41" i="103"/>
  <c r="G40" i="103"/>
  <c r="F40" i="103"/>
  <c r="E40" i="103"/>
  <c r="D40" i="103"/>
  <c r="G39" i="103"/>
  <c r="F39" i="103"/>
  <c r="E39" i="103"/>
  <c r="D39" i="103"/>
  <c r="G38" i="103"/>
  <c r="F38" i="103"/>
  <c r="E38" i="103"/>
  <c r="D38" i="103"/>
  <c r="G37" i="103"/>
  <c r="F37" i="103"/>
  <c r="E37" i="103"/>
  <c r="D37" i="103"/>
  <c r="G36" i="103"/>
  <c r="F36" i="103"/>
  <c r="E36" i="103"/>
  <c r="D36" i="103"/>
  <c r="G35" i="103"/>
  <c r="F35" i="103"/>
  <c r="E35" i="103"/>
  <c r="D35" i="103"/>
  <c r="G34" i="103"/>
  <c r="F34" i="103"/>
  <c r="E34" i="103"/>
  <c r="D34" i="103"/>
  <c r="G33" i="103"/>
  <c r="F33" i="103"/>
  <c r="E33" i="103"/>
  <c r="D33" i="103"/>
  <c r="C63" i="103"/>
  <c r="C62" i="103"/>
  <c r="C61" i="103"/>
  <c r="C60" i="103"/>
  <c r="C59" i="103"/>
  <c r="C58" i="103"/>
  <c r="C57" i="103"/>
  <c r="C56" i="103"/>
  <c r="C55" i="103"/>
  <c r="C54" i="103"/>
  <c r="C53" i="103"/>
  <c r="C52" i="103"/>
  <c r="C51" i="103"/>
  <c r="C50" i="103"/>
  <c r="C49" i="103"/>
  <c r="C48" i="103"/>
  <c r="C47" i="103"/>
  <c r="C46" i="103"/>
  <c r="C45" i="103"/>
  <c r="C44" i="103"/>
  <c r="C43" i="103"/>
  <c r="C42" i="103"/>
  <c r="C41" i="103"/>
  <c r="C40" i="103"/>
  <c r="C39" i="103"/>
  <c r="C38" i="103"/>
  <c r="C37" i="103"/>
  <c r="C36" i="103"/>
  <c r="C35" i="103"/>
  <c r="C34" i="103"/>
  <c r="C33" i="103"/>
  <c r="G32" i="103"/>
  <c r="F32" i="103"/>
  <c r="E32" i="103"/>
  <c r="D32" i="103"/>
  <c r="C31" i="103"/>
  <c r="G31" i="103"/>
  <c r="E31" i="103"/>
  <c r="G29" i="103"/>
  <c r="F29" i="103"/>
  <c r="E29" i="103"/>
  <c r="D29" i="103"/>
  <c r="C29" i="103"/>
  <c r="B29" i="103"/>
  <c r="G28" i="103"/>
  <c r="F28" i="103"/>
  <c r="E28" i="103"/>
  <c r="D28" i="103"/>
  <c r="C28" i="103"/>
  <c r="B28" i="103"/>
  <c r="G27" i="103"/>
  <c r="F27" i="103"/>
  <c r="E27" i="103"/>
  <c r="D27" i="103"/>
  <c r="C27" i="103"/>
  <c r="B27" i="103"/>
  <c r="G26" i="103"/>
  <c r="F26" i="103"/>
  <c r="E26" i="103"/>
  <c r="D26" i="103"/>
  <c r="C26" i="103"/>
  <c r="B26" i="103"/>
  <c r="G25" i="103"/>
  <c r="F25" i="103"/>
  <c r="E25" i="103"/>
  <c r="D25" i="103"/>
  <c r="C25" i="103"/>
  <c r="B25" i="103"/>
  <c r="G24" i="103"/>
  <c r="F24" i="103"/>
  <c r="E24" i="103"/>
  <c r="D24" i="103"/>
  <c r="C24" i="103"/>
  <c r="B24" i="103"/>
  <c r="G23" i="103"/>
  <c r="F23" i="103"/>
  <c r="E23" i="103"/>
  <c r="D23" i="103"/>
  <c r="C23" i="103"/>
  <c r="B23" i="103"/>
  <c r="G22" i="103"/>
  <c r="F22" i="103"/>
  <c r="E22" i="103"/>
  <c r="D22" i="103"/>
  <c r="C22" i="103"/>
  <c r="B22" i="103"/>
  <c r="G21" i="103"/>
  <c r="F21" i="103"/>
  <c r="E21" i="103"/>
  <c r="D21" i="103"/>
  <c r="C21" i="103"/>
  <c r="B21" i="103"/>
  <c r="G20" i="103"/>
  <c r="F20" i="103"/>
  <c r="E20" i="103"/>
  <c r="D20" i="103"/>
  <c r="C20" i="103"/>
  <c r="B20" i="103"/>
  <c r="G19" i="103"/>
  <c r="F19" i="103"/>
  <c r="E19" i="103"/>
  <c r="D19" i="103"/>
  <c r="C19" i="103"/>
  <c r="B19" i="103"/>
  <c r="G18" i="103"/>
  <c r="F18" i="103"/>
  <c r="E18" i="103"/>
  <c r="D18" i="103"/>
  <c r="C18" i="103"/>
  <c r="B18" i="103"/>
  <c r="G17" i="103"/>
  <c r="F17" i="103"/>
  <c r="E17" i="103"/>
  <c r="D17" i="103"/>
  <c r="C17" i="103"/>
  <c r="B17" i="103"/>
  <c r="G16" i="103"/>
  <c r="F16" i="103"/>
  <c r="E16" i="103"/>
  <c r="D16" i="103"/>
  <c r="C16" i="103"/>
  <c r="B16" i="103"/>
  <c r="G15" i="103"/>
  <c r="F15" i="103"/>
  <c r="E15" i="103"/>
  <c r="D15" i="103"/>
  <c r="C15" i="103"/>
  <c r="B15" i="103"/>
  <c r="G14" i="103"/>
  <c r="F14" i="103"/>
  <c r="E14" i="103"/>
  <c r="D14" i="103"/>
  <c r="C14" i="103"/>
  <c r="G13" i="103"/>
  <c r="F13" i="103"/>
  <c r="E13" i="103"/>
  <c r="D13" i="103"/>
  <c r="C13" i="103"/>
  <c r="B13" i="103"/>
  <c r="F803" i="107"/>
  <c r="E83" i="103" s="1"/>
  <c r="E803" i="107"/>
  <c r="D83" i="103" s="1"/>
  <c r="D786" i="107"/>
  <c r="G751" i="107"/>
  <c r="F31" i="103" s="1"/>
  <c r="E751" i="107"/>
  <c r="D31" i="103" s="1"/>
  <c r="D37" i="102"/>
  <c r="C37" i="102"/>
  <c r="B37" i="102"/>
  <c r="D36" i="102"/>
  <c r="C36" i="102"/>
  <c r="B36" i="102"/>
  <c r="D35" i="102"/>
  <c r="C35" i="102"/>
  <c r="B35" i="102"/>
  <c r="D34" i="102"/>
  <c r="C34" i="102"/>
  <c r="B34" i="102"/>
  <c r="D33" i="102"/>
  <c r="C33" i="102"/>
  <c r="B33" i="102"/>
  <c r="B32" i="102"/>
  <c r="D31" i="102"/>
  <c r="C31" i="102"/>
  <c r="B31" i="102"/>
  <c r="B29" i="102"/>
  <c r="B27" i="102"/>
  <c r="B24" i="102"/>
  <c r="B21" i="102"/>
  <c r="H28" i="102"/>
  <c r="G28" i="102"/>
  <c r="F28" i="102"/>
  <c r="E28" i="102"/>
  <c r="D28" i="102"/>
  <c r="C28" i="102"/>
  <c r="H27" i="102"/>
  <c r="G27" i="102"/>
  <c r="F27" i="102"/>
  <c r="E27" i="102"/>
  <c r="D27" i="102"/>
  <c r="C27" i="102"/>
  <c r="H26" i="102"/>
  <c r="G26" i="102"/>
  <c r="F26" i="102"/>
  <c r="E26" i="102"/>
  <c r="D26" i="102"/>
  <c r="C26" i="102"/>
  <c r="H25" i="102"/>
  <c r="G25" i="102"/>
  <c r="F25" i="102"/>
  <c r="E25" i="102"/>
  <c r="D25" i="102"/>
  <c r="C25" i="102"/>
  <c r="H24" i="102"/>
  <c r="G24" i="102"/>
  <c r="F24" i="102"/>
  <c r="E24" i="102"/>
  <c r="D24" i="102"/>
  <c r="C24" i="102"/>
  <c r="H23" i="102"/>
  <c r="G23" i="102"/>
  <c r="F23" i="102"/>
  <c r="E23" i="102"/>
  <c r="D23" i="102"/>
  <c r="C23" i="102"/>
  <c r="H22" i="102"/>
  <c r="G22" i="102"/>
  <c r="F22" i="102"/>
  <c r="E22" i="102"/>
  <c r="D22" i="102"/>
  <c r="C22" i="102"/>
  <c r="H21" i="102"/>
  <c r="G21" i="102"/>
  <c r="F21" i="102"/>
  <c r="E21" i="102"/>
  <c r="D21" i="102"/>
  <c r="C21" i="102"/>
  <c r="H20" i="102"/>
  <c r="G20" i="102"/>
  <c r="F20" i="102"/>
  <c r="E20" i="102"/>
  <c r="D20" i="102"/>
  <c r="C20" i="102"/>
  <c r="H19" i="102"/>
  <c r="G19" i="102"/>
  <c r="F19" i="102"/>
  <c r="E19" i="102"/>
  <c r="D19" i="102"/>
  <c r="C19" i="102"/>
  <c r="H18" i="102"/>
  <c r="G18" i="102"/>
  <c r="F18" i="102"/>
  <c r="E18" i="102"/>
  <c r="D18" i="102"/>
  <c r="C18" i="102"/>
  <c r="B18" i="102"/>
  <c r="G17" i="102"/>
  <c r="F17" i="102"/>
  <c r="E17" i="102"/>
  <c r="D17" i="102"/>
  <c r="B17" i="102"/>
  <c r="B16" i="102"/>
  <c r="B15" i="102"/>
  <c r="B13" i="102"/>
  <c r="D706" i="107"/>
  <c r="C17" i="102" s="1"/>
  <c r="J35" i="101"/>
  <c r="I35" i="101"/>
  <c r="H35" i="101"/>
  <c r="G35" i="101"/>
  <c r="F35" i="101"/>
  <c r="E35" i="101"/>
  <c r="D35" i="101"/>
  <c r="C35" i="101"/>
  <c r="B35" i="101"/>
  <c r="J34" i="101"/>
  <c r="I34" i="101"/>
  <c r="H34" i="101"/>
  <c r="G34" i="101"/>
  <c r="F34" i="101"/>
  <c r="E34" i="101"/>
  <c r="D34" i="101"/>
  <c r="C34" i="101"/>
  <c r="B34" i="101"/>
  <c r="J33" i="101"/>
  <c r="I33" i="101"/>
  <c r="H33" i="101"/>
  <c r="G33" i="101"/>
  <c r="F33" i="101"/>
  <c r="E33" i="101"/>
  <c r="D33" i="101"/>
  <c r="C33" i="101"/>
  <c r="B33" i="101"/>
  <c r="J32" i="101"/>
  <c r="I32" i="101"/>
  <c r="H32" i="101"/>
  <c r="G32" i="101"/>
  <c r="F32" i="101"/>
  <c r="E32" i="101"/>
  <c r="D32" i="101"/>
  <c r="C32" i="101"/>
  <c r="B32" i="101"/>
  <c r="J31" i="101"/>
  <c r="I31" i="101"/>
  <c r="H31" i="101"/>
  <c r="G31" i="101"/>
  <c r="F31" i="101"/>
  <c r="E31" i="101"/>
  <c r="D31" i="101"/>
  <c r="C31" i="101"/>
  <c r="B31" i="101"/>
  <c r="J30" i="101"/>
  <c r="I30" i="101"/>
  <c r="H30" i="101"/>
  <c r="G30" i="101"/>
  <c r="F30" i="101"/>
  <c r="E30" i="101"/>
  <c r="D30" i="101"/>
  <c r="C30" i="101"/>
  <c r="B30" i="101"/>
  <c r="J29" i="101"/>
  <c r="I29" i="101"/>
  <c r="H29" i="101"/>
  <c r="G29" i="101"/>
  <c r="F29" i="101"/>
  <c r="E29" i="101"/>
  <c r="C29" i="101"/>
  <c r="B29" i="101"/>
  <c r="J28" i="101"/>
  <c r="I28" i="101"/>
  <c r="H28" i="101"/>
  <c r="G28" i="101"/>
  <c r="F28" i="101"/>
  <c r="E28" i="101"/>
  <c r="D28" i="101"/>
  <c r="C28" i="101"/>
  <c r="B28" i="101"/>
  <c r="J27" i="101"/>
  <c r="I27" i="101"/>
  <c r="H27" i="101"/>
  <c r="G27" i="101"/>
  <c r="F27" i="101"/>
  <c r="E27" i="101"/>
  <c r="D27" i="101"/>
  <c r="C27" i="101"/>
  <c r="B27" i="101"/>
  <c r="J26" i="101"/>
  <c r="I26" i="101"/>
  <c r="H26" i="101"/>
  <c r="G26" i="101"/>
  <c r="F26" i="101"/>
  <c r="E26" i="101"/>
  <c r="D26" i="101"/>
  <c r="C26" i="101"/>
  <c r="B26" i="101"/>
  <c r="J25" i="101"/>
  <c r="I25" i="101"/>
  <c r="H25" i="101"/>
  <c r="G25" i="101"/>
  <c r="F25" i="101"/>
  <c r="E25" i="101"/>
  <c r="D25" i="101"/>
  <c r="C25" i="101"/>
  <c r="B25" i="101"/>
  <c r="J24" i="101"/>
  <c r="I24" i="101"/>
  <c r="H24" i="101"/>
  <c r="G24" i="101"/>
  <c r="F24" i="101"/>
  <c r="E24" i="101"/>
  <c r="D24" i="101"/>
  <c r="C24" i="101"/>
  <c r="B24" i="101"/>
  <c r="J23" i="101"/>
  <c r="I23" i="101"/>
  <c r="H23" i="101"/>
  <c r="G23" i="101"/>
  <c r="F23" i="101"/>
  <c r="E23" i="101"/>
  <c r="D23" i="101"/>
  <c r="C23" i="101"/>
  <c r="B23" i="101"/>
  <c r="J22" i="101"/>
  <c r="I22" i="101"/>
  <c r="H22" i="101"/>
  <c r="G22" i="101"/>
  <c r="F22" i="101"/>
  <c r="E22" i="101"/>
  <c r="D22" i="101"/>
  <c r="C22" i="101"/>
  <c r="B22" i="101"/>
  <c r="J21" i="101"/>
  <c r="I21" i="101"/>
  <c r="H21" i="101"/>
  <c r="G21" i="101"/>
  <c r="F21" i="101"/>
  <c r="E21" i="101"/>
  <c r="D21" i="101"/>
  <c r="C21" i="101"/>
  <c r="B21" i="101"/>
  <c r="F20" i="101"/>
  <c r="D20" i="101"/>
  <c r="C19" i="101"/>
  <c r="B19" i="101"/>
  <c r="B17" i="101"/>
  <c r="B16" i="101"/>
  <c r="B15" i="101"/>
  <c r="B13" i="101"/>
  <c r="E691" i="107"/>
  <c r="D29" i="101" s="1"/>
  <c r="E681" i="107"/>
  <c r="D19" i="101" s="1"/>
  <c r="M97" i="92" l="1"/>
  <c r="M94" i="92"/>
  <c r="M103" i="92"/>
  <c r="M101" i="92"/>
  <c r="M108" i="92"/>
  <c r="M93" i="92"/>
  <c r="M105" i="92"/>
  <c r="M96" i="92"/>
  <c r="M109" i="92"/>
  <c r="M98" i="92"/>
  <c r="M102" i="92"/>
  <c r="M107" i="92"/>
  <c r="M95" i="92"/>
  <c r="M110" i="92"/>
  <c r="M99" i="92"/>
  <c r="M92" i="92"/>
  <c r="M104" i="92"/>
  <c r="M100" i="92"/>
  <c r="X42" i="93"/>
  <c r="W43" i="93"/>
  <c r="N42" i="93"/>
  <c r="W42" i="93" s="1"/>
  <c r="F117" i="99"/>
  <c r="E117" i="99"/>
  <c r="F116" i="99"/>
  <c r="E116" i="99"/>
  <c r="F115" i="99"/>
  <c r="E115" i="99"/>
  <c r="F114" i="99"/>
  <c r="E114" i="99"/>
  <c r="F113" i="99"/>
  <c r="E113" i="99"/>
  <c r="F112" i="99"/>
  <c r="E112" i="99"/>
  <c r="F111" i="99"/>
  <c r="E111" i="99"/>
  <c r="F110" i="99"/>
  <c r="E110" i="99"/>
  <c r="F109" i="99"/>
  <c r="E109" i="99"/>
  <c r="F108" i="99"/>
  <c r="E108" i="99"/>
  <c r="F107" i="99"/>
  <c r="E107" i="99"/>
  <c r="F106" i="99"/>
  <c r="E106" i="99"/>
  <c r="F105" i="99"/>
  <c r="E105" i="99"/>
  <c r="F104" i="99"/>
  <c r="E104" i="99"/>
  <c r="F103" i="99"/>
  <c r="E103" i="99"/>
  <c r="F102" i="99"/>
  <c r="E102" i="99"/>
  <c r="F101" i="99"/>
  <c r="E101" i="99"/>
  <c r="F100" i="99"/>
  <c r="E100" i="99"/>
  <c r="F99" i="99"/>
  <c r="E99" i="99"/>
  <c r="F98" i="99"/>
  <c r="E98" i="99"/>
  <c r="F97" i="99"/>
  <c r="E97" i="99"/>
  <c r="F96" i="99"/>
  <c r="E96" i="99"/>
  <c r="F95" i="99"/>
  <c r="E95" i="99"/>
  <c r="F94" i="99"/>
  <c r="E94" i="99"/>
  <c r="F93" i="99"/>
  <c r="E93" i="99"/>
  <c r="D117" i="99"/>
  <c r="D116" i="99"/>
  <c r="D115" i="99"/>
  <c r="D114" i="99"/>
  <c r="D113" i="99"/>
  <c r="D112" i="99"/>
  <c r="D111" i="99"/>
  <c r="D110" i="99"/>
  <c r="D109" i="99"/>
  <c r="D108" i="99"/>
  <c r="D107" i="99"/>
  <c r="D106" i="99"/>
  <c r="D105" i="99"/>
  <c r="D104" i="99"/>
  <c r="D103" i="99"/>
  <c r="D102" i="99"/>
  <c r="D101" i="99"/>
  <c r="D100" i="99"/>
  <c r="D99" i="99"/>
  <c r="D98" i="99"/>
  <c r="D97" i="99"/>
  <c r="D96" i="99"/>
  <c r="D95" i="99"/>
  <c r="D94" i="99"/>
  <c r="D93" i="99"/>
  <c r="C117" i="99"/>
  <c r="C116" i="99"/>
  <c r="C115" i="99"/>
  <c r="C114" i="99"/>
  <c r="C113" i="99"/>
  <c r="C112" i="99"/>
  <c r="C111" i="99"/>
  <c r="C110" i="99"/>
  <c r="C109" i="99"/>
  <c r="C108" i="99"/>
  <c r="C107" i="99"/>
  <c r="C106" i="99"/>
  <c r="C105" i="99"/>
  <c r="C104" i="99"/>
  <c r="C103" i="99"/>
  <c r="C102" i="99"/>
  <c r="C101" i="99"/>
  <c r="C100" i="99"/>
  <c r="C99" i="99"/>
  <c r="C98" i="99"/>
  <c r="C97" i="99"/>
  <c r="C96" i="99"/>
  <c r="C95" i="99"/>
  <c r="C94" i="99"/>
  <c r="C93" i="99"/>
  <c r="D311" i="107"/>
  <c r="D91" i="99" s="1"/>
  <c r="E311" i="107"/>
  <c r="E91" i="99" s="1"/>
  <c r="F311" i="107"/>
  <c r="F91" i="99" s="1"/>
  <c r="G30" i="99"/>
  <c r="F30" i="99"/>
  <c r="E30" i="99"/>
  <c r="G28" i="99"/>
  <c r="F28" i="99"/>
  <c r="E28" i="99"/>
  <c r="G26" i="99"/>
  <c r="F26" i="99"/>
  <c r="E26" i="99"/>
  <c r="G23" i="99"/>
  <c r="F23" i="99"/>
  <c r="E23" i="99"/>
  <c r="T53" i="99"/>
  <c r="D30" i="99"/>
  <c r="D28" i="99"/>
  <c r="G27" i="99"/>
  <c r="F27" i="99"/>
  <c r="E27" i="99"/>
  <c r="D27" i="99"/>
  <c r="D26" i="99"/>
  <c r="D23" i="99"/>
  <c r="C13" i="99"/>
  <c r="J154" i="98"/>
  <c r="I154" i="98"/>
  <c r="H154" i="98"/>
  <c r="G154" i="98"/>
  <c r="F154" i="98"/>
  <c r="E154" i="98"/>
  <c r="D154" i="98"/>
  <c r="C154" i="98"/>
  <c r="J153" i="98"/>
  <c r="I153" i="98"/>
  <c r="H153" i="98"/>
  <c r="G153" i="98"/>
  <c r="F153" i="98"/>
  <c r="E153" i="98"/>
  <c r="D153" i="98"/>
  <c r="C153" i="98"/>
  <c r="J152" i="98"/>
  <c r="I152" i="98"/>
  <c r="H152" i="98"/>
  <c r="G152" i="98"/>
  <c r="F152" i="98"/>
  <c r="E152" i="98"/>
  <c r="D152" i="98"/>
  <c r="C152" i="98"/>
  <c r="J151" i="98"/>
  <c r="I151" i="98"/>
  <c r="H151" i="98"/>
  <c r="G151" i="98"/>
  <c r="F151" i="98"/>
  <c r="E151" i="98"/>
  <c r="D151" i="98"/>
  <c r="C151" i="98"/>
  <c r="J150" i="98"/>
  <c r="I150" i="98"/>
  <c r="H150" i="98"/>
  <c r="G150" i="98"/>
  <c r="F150" i="98"/>
  <c r="E150" i="98"/>
  <c r="D150" i="98"/>
  <c r="C150" i="98"/>
  <c r="J149" i="98"/>
  <c r="I149" i="98"/>
  <c r="H149" i="98"/>
  <c r="G149" i="98"/>
  <c r="F149" i="98"/>
  <c r="E149" i="98"/>
  <c r="D149" i="98"/>
  <c r="C149" i="98"/>
  <c r="J148" i="98"/>
  <c r="I148" i="98"/>
  <c r="H148" i="98"/>
  <c r="G148" i="98"/>
  <c r="F148" i="98"/>
  <c r="E148" i="98"/>
  <c r="D148" i="98"/>
  <c r="C148" i="98"/>
  <c r="J147" i="98"/>
  <c r="I147" i="98"/>
  <c r="H147" i="98"/>
  <c r="G147" i="98"/>
  <c r="F147" i="98"/>
  <c r="E147" i="98"/>
  <c r="D147" i="98"/>
  <c r="C147" i="98"/>
  <c r="J146" i="98"/>
  <c r="I146" i="98"/>
  <c r="H146" i="98"/>
  <c r="G146" i="98"/>
  <c r="F146" i="98"/>
  <c r="E146" i="98"/>
  <c r="D146" i="98"/>
  <c r="C146" i="98"/>
  <c r="J145" i="98"/>
  <c r="I145" i="98"/>
  <c r="H145" i="98"/>
  <c r="G145" i="98"/>
  <c r="F145" i="98"/>
  <c r="E145" i="98"/>
  <c r="D145" i="98"/>
  <c r="C145" i="98"/>
  <c r="J144" i="98"/>
  <c r="I144" i="98"/>
  <c r="H144" i="98"/>
  <c r="G144" i="98"/>
  <c r="F144" i="98"/>
  <c r="E144" i="98"/>
  <c r="D144" i="98"/>
  <c r="C144" i="98"/>
  <c r="J143" i="98"/>
  <c r="I267" i="97"/>
  <c r="H267" i="97"/>
  <c r="G267" i="97"/>
  <c r="F267" i="97"/>
  <c r="I266" i="97"/>
  <c r="H266" i="97"/>
  <c r="G266" i="97"/>
  <c r="F266" i="97"/>
  <c r="I265" i="97"/>
  <c r="H265" i="97"/>
  <c r="G265" i="97"/>
  <c r="F265" i="97"/>
  <c r="I264" i="97"/>
  <c r="H264" i="97"/>
  <c r="G264" i="97"/>
  <c r="F264" i="97"/>
  <c r="I263" i="97"/>
  <c r="H263" i="97"/>
  <c r="G263" i="97"/>
  <c r="F263" i="97"/>
  <c r="I262" i="97"/>
  <c r="H262" i="97"/>
  <c r="G262" i="97"/>
  <c r="F262" i="97"/>
  <c r="I261" i="97"/>
  <c r="H261" i="97"/>
  <c r="G261" i="97"/>
  <c r="F261" i="97"/>
  <c r="I260" i="97"/>
  <c r="H260" i="97"/>
  <c r="G260" i="97"/>
  <c r="F260" i="97"/>
  <c r="I259" i="97"/>
  <c r="H259" i="97"/>
  <c r="G259" i="97"/>
  <c r="F259" i="97"/>
  <c r="I258" i="97"/>
  <c r="H258" i="97"/>
  <c r="G258" i="97"/>
  <c r="F258" i="97"/>
  <c r="I257" i="97"/>
  <c r="H257" i="97"/>
  <c r="G257" i="97"/>
  <c r="F257" i="97"/>
  <c r="I256" i="97"/>
  <c r="I59" i="97"/>
  <c r="H59" i="97"/>
  <c r="G59" i="97"/>
  <c r="F59" i="97"/>
  <c r="E59" i="97"/>
  <c r="D59" i="97"/>
  <c r="C59" i="97"/>
  <c r="I58" i="97"/>
  <c r="H58" i="97"/>
  <c r="G58" i="97"/>
  <c r="F58" i="97"/>
  <c r="E58" i="97"/>
  <c r="D58" i="97"/>
  <c r="C58" i="97"/>
  <c r="I57" i="97"/>
  <c r="H57" i="97"/>
  <c r="G57" i="97"/>
  <c r="F57" i="97"/>
  <c r="E57" i="97"/>
  <c r="D57" i="97"/>
  <c r="C57" i="97"/>
  <c r="I56" i="97"/>
  <c r="H56" i="97"/>
  <c r="G56" i="97"/>
  <c r="F56" i="97"/>
  <c r="E56" i="97"/>
  <c r="D56" i="97"/>
  <c r="C56" i="97"/>
  <c r="I55" i="97"/>
  <c r="H55" i="97"/>
  <c r="G55" i="97"/>
  <c r="F55" i="97"/>
  <c r="E55" i="97"/>
  <c r="D55" i="97"/>
  <c r="C55" i="97"/>
  <c r="I54" i="97"/>
  <c r="H54" i="97"/>
  <c r="G54" i="97"/>
  <c r="F54" i="97"/>
  <c r="E54" i="97"/>
  <c r="D54" i="97"/>
  <c r="C54" i="97"/>
  <c r="I53" i="97"/>
  <c r="H53" i="97"/>
  <c r="G53" i="97"/>
  <c r="F53" i="97"/>
  <c r="E53" i="97"/>
  <c r="D53" i="97"/>
  <c r="C53" i="97"/>
  <c r="I52" i="97"/>
  <c r="H52" i="97"/>
  <c r="G52" i="97"/>
  <c r="F52" i="97"/>
  <c r="E52" i="97"/>
  <c r="D52" i="97"/>
  <c r="C52" i="97"/>
  <c r="I51" i="97"/>
  <c r="H51" i="97"/>
  <c r="G51" i="97"/>
  <c r="F51" i="97"/>
  <c r="E51" i="97"/>
  <c r="D51" i="97"/>
  <c r="C51" i="97"/>
  <c r="I50" i="97"/>
  <c r="H50" i="97"/>
  <c r="G50" i="97"/>
  <c r="F50" i="97"/>
  <c r="E50" i="97"/>
  <c r="D50" i="97"/>
  <c r="C50" i="97"/>
  <c r="I49" i="97"/>
  <c r="H49" i="97"/>
  <c r="G49" i="97"/>
  <c r="F49" i="97"/>
  <c r="E49" i="97"/>
  <c r="D49" i="97"/>
  <c r="C49" i="97"/>
  <c r="I48" i="97"/>
  <c r="H48" i="97"/>
  <c r="G48" i="97"/>
  <c r="F48" i="97"/>
  <c r="E48" i="97"/>
  <c r="D48" i="97"/>
  <c r="C48" i="97"/>
  <c r="C25" i="97"/>
  <c r="I36" i="97"/>
  <c r="H36" i="97"/>
  <c r="G36" i="97"/>
  <c r="F36" i="97"/>
  <c r="E36" i="97"/>
  <c r="D36" i="97"/>
  <c r="C36" i="97"/>
  <c r="I35" i="97"/>
  <c r="H35" i="97"/>
  <c r="G35" i="97"/>
  <c r="F35" i="97"/>
  <c r="E35" i="97"/>
  <c r="D35" i="97"/>
  <c r="C35" i="97"/>
  <c r="I34" i="97"/>
  <c r="H34" i="97"/>
  <c r="G34" i="97"/>
  <c r="F34" i="97"/>
  <c r="E34" i="97"/>
  <c r="D34" i="97"/>
  <c r="C34" i="97"/>
  <c r="I33" i="97"/>
  <c r="H33" i="97"/>
  <c r="G33" i="97"/>
  <c r="F33" i="97"/>
  <c r="E33" i="97"/>
  <c r="D33" i="97"/>
  <c r="C33" i="97"/>
  <c r="I32" i="97"/>
  <c r="H32" i="97"/>
  <c r="G32" i="97"/>
  <c r="F32" i="97"/>
  <c r="E32" i="97"/>
  <c r="D32" i="97"/>
  <c r="C32" i="97"/>
  <c r="I31" i="97"/>
  <c r="H31" i="97"/>
  <c r="G31" i="97"/>
  <c r="F31" i="97"/>
  <c r="E31" i="97"/>
  <c r="D31" i="97"/>
  <c r="C31" i="97"/>
  <c r="I30" i="97"/>
  <c r="H30" i="97"/>
  <c r="G30" i="97"/>
  <c r="F30" i="97"/>
  <c r="E30" i="97"/>
  <c r="D30" i="97"/>
  <c r="C30" i="97"/>
  <c r="I29" i="97"/>
  <c r="H29" i="97"/>
  <c r="G29" i="97"/>
  <c r="F29" i="97"/>
  <c r="E29" i="97"/>
  <c r="D29" i="97"/>
  <c r="C29" i="97"/>
  <c r="I28" i="97"/>
  <c r="H28" i="97"/>
  <c r="G28" i="97"/>
  <c r="F28" i="97"/>
  <c r="E28" i="97"/>
  <c r="D28" i="97"/>
  <c r="C28" i="97"/>
  <c r="I27" i="97"/>
  <c r="H27" i="97"/>
  <c r="G27" i="97"/>
  <c r="F27" i="97"/>
  <c r="E27" i="97"/>
  <c r="D27" i="97"/>
  <c r="C27" i="97"/>
  <c r="I26" i="97"/>
  <c r="H26" i="97"/>
  <c r="G26" i="97"/>
  <c r="F26" i="97"/>
  <c r="E26" i="97"/>
  <c r="D26" i="97"/>
  <c r="C26" i="97"/>
  <c r="I25" i="97"/>
  <c r="H25" i="97"/>
  <c r="G25" i="97"/>
  <c r="F25" i="97"/>
  <c r="E25" i="97"/>
  <c r="D25" i="97"/>
  <c r="D200" i="97"/>
  <c r="D212" i="97" s="1"/>
  <c r="E45" i="97"/>
  <c r="D45" i="97"/>
  <c r="E44" i="97"/>
  <c r="D44" i="97"/>
  <c r="E43" i="97"/>
  <c r="D43" i="97"/>
  <c r="E42" i="97"/>
  <c r="D42" i="97"/>
  <c r="D18" i="97"/>
  <c r="E18" i="97"/>
  <c r="D19" i="97"/>
  <c r="E19" i="97"/>
  <c r="D20" i="97"/>
  <c r="E20" i="97"/>
  <c r="D21" i="97"/>
  <c r="E21" i="97"/>
  <c r="D22" i="97"/>
  <c r="E22" i="97"/>
  <c r="E17" i="97"/>
  <c r="D17" i="97"/>
  <c r="D35" i="92"/>
  <c r="D34" i="92"/>
  <c r="E29" i="92"/>
  <c r="D24" i="92"/>
  <c r="E24" i="92"/>
  <c r="E22" i="92"/>
  <c r="M91" i="92" l="1"/>
  <c r="M90" i="92" s="1"/>
  <c r="M89" i="92" s="1"/>
  <c r="M88" i="92" s="1"/>
  <c r="T115" i="99"/>
  <c r="T106" i="99"/>
  <c r="T111" i="99"/>
  <c r="T114" i="99"/>
  <c r="T107" i="99"/>
  <c r="T93" i="99"/>
  <c r="T109" i="99"/>
  <c r="T108" i="99"/>
  <c r="T104" i="99"/>
  <c r="T112" i="99"/>
  <c r="T110" i="99"/>
  <c r="T105" i="99"/>
  <c r="T113" i="99"/>
  <c r="T103" i="99"/>
  <c r="T116" i="99"/>
  <c r="T102" i="99"/>
  <c r="T117" i="99"/>
  <c r="T54" i="99"/>
  <c r="O278" i="14"/>
  <c r="M358" i="14"/>
  <c r="H525" i="14"/>
  <c r="G525" i="14"/>
  <c r="F525" i="14"/>
  <c r="E525" i="14"/>
  <c r="C510" i="14"/>
  <c r="O525" i="14"/>
  <c r="D525" i="14" s="1"/>
  <c r="C533" i="14"/>
  <c r="C532" i="14"/>
  <c r="C531" i="14"/>
  <c r="C530" i="14"/>
  <c r="C529" i="14"/>
  <c r="I21" i="94"/>
  <c r="I22" i="94" s="1"/>
  <c r="I25" i="94"/>
  <c r="C356" i="14"/>
  <c r="C11" i="14"/>
  <c r="C8" i="109" s="1"/>
  <c r="G308" i="14"/>
  <c r="F308" i="14"/>
  <c r="E308" i="14"/>
  <c r="G284" i="14"/>
  <c r="F284" i="14"/>
  <c r="E284" i="14"/>
  <c r="D284" i="14"/>
  <c r="C279" i="14"/>
  <c r="M279" i="14" s="1"/>
  <c r="C281" i="14"/>
  <c r="M281" i="14" s="1"/>
  <c r="C280" i="14"/>
  <c r="M280" i="14" s="1"/>
  <c r="M591" i="14" l="1"/>
  <c r="M590" i="14" s="1"/>
  <c r="M278" i="14"/>
  <c r="M277" i="14" s="1"/>
  <c r="M103" i="14" l="1"/>
  <c r="C104" i="14"/>
  <c r="I246" i="81" l="1"/>
  <c r="I247" i="81"/>
  <c r="I248" i="81"/>
  <c r="I249" i="81"/>
  <c r="I250" i="81"/>
  <c r="I251" i="81"/>
  <c r="I252" i="81"/>
  <c r="I253" i="81"/>
  <c r="C8" i="106"/>
  <c r="M253" i="92"/>
  <c r="M252" i="92"/>
  <c r="M251" i="92"/>
  <c r="M250" i="92"/>
  <c r="M249" i="92"/>
  <c r="O250" i="92" s="1"/>
  <c r="M242" i="92"/>
  <c r="M241" i="92"/>
  <c r="M240" i="92"/>
  <c r="M239" i="92"/>
  <c r="M238" i="92"/>
  <c r="O239" i="92" s="1"/>
  <c r="M234" i="92"/>
  <c r="M233" i="92"/>
  <c r="M232" i="92"/>
  <c r="M231" i="92"/>
  <c r="M230" i="92"/>
  <c r="M229" i="92"/>
  <c r="O230" i="92" s="1"/>
  <c r="C249" i="92"/>
  <c r="C889" i="91" s="1"/>
  <c r="C245" i="92"/>
  <c r="C885" i="91" s="1"/>
  <c r="C238" i="92"/>
  <c r="C878" i="91" s="1"/>
  <c r="C229" i="92"/>
  <c r="C870" i="91" s="1"/>
  <c r="C228" i="92"/>
  <c r="C869" i="91" s="1"/>
  <c r="C213" i="92"/>
  <c r="C212" i="92"/>
  <c r="C211" i="92"/>
  <c r="M228" i="92" l="1"/>
  <c r="M267" i="92"/>
  <c r="M274" i="92" s="1"/>
  <c r="M281" i="92" s="1"/>
  <c r="M237" i="92"/>
  <c r="M243" i="92" s="1"/>
  <c r="O240" i="92"/>
  <c r="C239" i="92"/>
  <c r="C879" i="91" s="1"/>
  <c r="O231" i="92"/>
  <c r="C230" i="92"/>
  <c r="C871" i="91" s="1"/>
  <c r="O251" i="92"/>
  <c r="C250" i="92"/>
  <c r="C890" i="91" s="1"/>
  <c r="M248" i="92"/>
  <c r="M255" i="92" s="1"/>
  <c r="M266" i="92" l="1"/>
  <c r="M265" i="92" s="1"/>
  <c r="M236" i="92"/>
  <c r="O237" i="92"/>
  <c r="O252" i="92"/>
  <c r="C251" i="92"/>
  <c r="C891" i="91" s="1"/>
  <c r="O241" i="92"/>
  <c r="C240" i="92"/>
  <c r="C880" i="91" s="1"/>
  <c r="O232" i="92"/>
  <c r="C231" i="92"/>
  <c r="C872" i="91" s="1"/>
  <c r="O233" i="92" l="1"/>
  <c r="C232" i="92"/>
  <c r="C873" i="91" s="1"/>
  <c r="O242" i="92"/>
  <c r="C242" i="92" s="1"/>
  <c r="C882" i="91" s="1"/>
  <c r="C241" i="92"/>
  <c r="C881" i="91" s="1"/>
  <c r="O253" i="92"/>
  <c r="C253" i="92" s="1"/>
  <c r="C893" i="91" s="1"/>
  <c r="C252" i="92"/>
  <c r="C892" i="91" s="1"/>
  <c r="C237" i="92"/>
  <c r="C877" i="91" s="1"/>
  <c r="O244" i="92"/>
  <c r="C244" i="92" l="1"/>
  <c r="C884" i="91" s="1"/>
  <c r="O234" i="92"/>
  <c r="C234" i="92" s="1"/>
  <c r="C875" i="91" s="1"/>
  <c r="C233" i="92"/>
  <c r="C874" i="91" s="1"/>
  <c r="P46" i="93" l="1"/>
  <c r="E121" i="93" l="1"/>
  <c r="V18" i="93"/>
  <c r="N19" i="93" l="1"/>
  <c r="W19" i="93" s="1"/>
  <c r="X18" i="93" s="1"/>
  <c r="I70" i="81" l="1"/>
  <c r="E179" i="31" l="1"/>
  <c r="H24" i="91"/>
  <c r="H12" i="91"/>
  <c r="E18" i="93"/>
  <c r="D28" i="92"/>
  <c r="D27" i="92"/>
  <c r="D25" i="92"/>
  <c r="D21" i="92"/>
  <c r="D20" i="92"/>
  <c r="D19" i="92"/>
  <c r="D18" i="92"/>
  <c r="D17" i="92"/>
  <c r="C236" i="95"/>
  <c r="C216" i="95"/>
  <c r="C191" i="95"/>
  <c r="C172" i="95"/>
  <c r="C102" i="95"/>
  <c r="C72" i="95"/>
  <c r="C30" i="95"/>
  <c r="C8" i="105"/>
  <c r="L87" i="103"/>
  <c r="L86" i="103"/>
  <c r="L85" i="103"/>
  <c r="L84" i="103"/>
  <c r="L79" i="103"/>
  <c r="L78" i="103"/>
  <c r="L77" i="103"/>
  <c r="L76" i="103"/>
  <c r="L75" i="103"/>
  <c r="L74" i="103"/>
  <c r="L73" i="103"/>
  <c r="L72" i="103"/>
  <c r="L71" i="103"/>
  <c r="L62" i="103"/>
  <c r="L61" i="103"/>
  <c r="L60" i="103"/>
  <c r="L59" i="103"/>
  <c r="L58" i="103"/>
  <c r="L57" i="103"/>
  <c r="L56" i="103"/>
  <c r="L55" i="103"/>
  <c r="L54" i="103"/>
  <c r="L53" i="103"/>
  <c r="L52" i="103"/>
  <c r="L51" i="103"/>
  <c r="L50" i="103"/>
  <c r="L49" i="103"/>
  <c r="L48" i="103"/>
  <c r="L47" i="103"/>
  <c r="L46" i="103"/>
  <c r="L45" i="103"/>
  <c r="L44" i="103"/>
  <c r="L43" i="103"/>
  <c r="L42" i="103"/>
  <c r="L41" i="103"/>
  <c r="L40" i="103"/>
  <c r="L39" i="103"/>
  <c r="L38" i="103"/>
  <c r="L37" i="103"/>
  <c r="L36" i="103"/>
  <c r="L35" i="103"/>
  <c r="L34" i="103"/>
  <c r="L33" i="103"/>
  <c r="B8" i="103"/>
  <c r="L37" i="102"/>
  <c r="L36" i="102"/>
  <c r="L35" i="102"/>
  <c r="L34" i="102"/>
  <c r="L33" i="102"/>
  <c r="L28" i="102"/>
  <c r="L27" i="102"/>
  <c r="L26" i="102"/>
  <c r="L25" i="102"/>
  <c r="L24" i="102"/>
  <c r="L23" i="102"/>
  <c r="L22" i="102"/>
  <c r="L21" i="102"/>
  <c r="L20" i="102"/>
  <c r="L19" i="102"/>
  <c r="L18" i="102"/>
  <c r="B8" i="102"/>
  <c r="L34" i="101"/>
  <c r="L33" i="101"/>
  <c r="L32" i="101"/>
  <c r="L31" i="101"/>
  <c r="L24" i="101"/>
  <c r="L23" i="101"/>
  <c r="L22" i="101"/>
  <c r="L21" i="101"/>
  <c r="L11" i="101" a="1"/>
  <c r="L11" i="101" s="1"/>
  <c r="B8" i="101"/>
  <c r="P118" i="100"/>
  <c r="P117" i="100"/>
  <c r="P116" i="100"/>
  <c r="P115" i="100"/>
  <c r="P114" i="100"/>
  <c r="P113" i="100"/>
  <c r="P112" i="100"/>
  <c r="P111" i="100"/>
  <c r="P110" i="100"/>
  <c r="P109" i="100"/>
  <c r="P108" i="100"/>
  <c r="P107" i="100"/>
  <c r="P106" i="100"/>
  <c r="P85" i="100"/>
  <c r="P84" i="100"/>
  <c r="P83" i="100"/>
  <c r="P82" i="100"/>
  <c r="P81" i="100"/>
  <c r="P80" i="100"/>
  <c r="P79" i="100"/>
  <c r="P78" i="100"/>
  <c r="P77" i="100"/>
  <c r="P76" i="100"/>
  <c r="P75" i="100"/>
  <c r="P65" i="100"/>
  <c r="P64" i="100"/>
  <c r="P63" i="100"/>
  <c r="P62" i="100"/>
  <c r="P61" i="100"/>
  <c r="P60" i="100"/>
  <c r="P59" i="100"/>
  <c r="P58" i="100"/>
  <c r="P57" i="100"/>
  <c r="P56" i="100"/>
  <c r="P55" i="100"/>
  <c r="P53" i="100"/>
  <c r="P49" i="100"/>
  <c r="P48" i="100"/>
  <c r="P47" i="100"/>
  <c r="P46" i="100"/>
  <c r="P45" i="100"/>
  <c r="P44" i="100"/>
  <c r="P43" i="100"/>
  <c r="P42" i="100"/>
  <c r="P41" i="100"/>
  <c r="P40" i="100"/>
  <c r="C8" i="100"/>
  <c r="T101" i="99"/>
  <c r="T100" i="99"/>
  <c r="T99" i="99"/>
  <c r="T98" i="99"/>
  <c r="T97" i="99"/>
  <c r="T96" i="99"/>
  <c r="T95" i="99"/>
  <c r="T94" i="99"/>
  <c r="T85" i="99"/>
  <c r="T84" i="99"/>
  <c r="T83" i="99"/>
  <c r="T82" i="99"/>
  <c r="T81" i="99"/>
  <c r="T80" i="99"/>
  <c r="T79" i="99"/>
  <c r="T78" i="99"/>
  <c r="T77" i="99"/>
  <c r="T76" i="99"/>
  <c r="T75" i="99"/>
  <c r="T74" i="99"/>
  <c r="T73" i="99"/>
  <c r="T72" i="99"/>
  <c r="T71" i="99"/>
  <c r="T70" i="99"/>
  <c r="T67" i="99"/>
  <c r="T65" i="99"/>
  <c r="T64" i="99"/>
  <c r="T63" i="99"/>
  <c r="T61" i="99"/>
  <c r="T60" i="99"/>
  <c r="T55" i="99"/>
  <c r="T52" i="99"/>
  <c r="T51" i="99"/>
  <c r="T50" i="99"/>
  <c r="T49" i="99"/>
  <c r="T48" i="99"/>
  <c r="T47" i="99"/>
  <c r="T46" i="99"/>
  <c r="T45" i="99"/>
  <c r="T44" i="99"/>
  <c r="T43" i="99"/>
  <c r="T39" i="99"/>
  <c r="T32" i="99"/>
  <c r="T31" i="99"/>
  <c r="T30" i="99"/>
  <c r="T28" i="99"/>
  <c r="T27" i="99"/>
  <c r="T26" i="99"/>
  <c r="T24" i="99"/>
  <c r="T23" i="99"/>
  <c r="T11" i="99" a="1"/>
  <c r="T11" i="99" s="1"/>
  <c r="C8" i="99"/>
  <c r="M135" i="98"/>
  <c r="M134" i="98"/>
  <c r="M133" i="98"/>
  <c r="M132" i="98"/>
  <c r="M131" i="98"/>
  <c r="M128" i="98"/>
  <c r="M127" i="98"/>
  <c r="M126" i="98"/>
  <c r="M125" i="98"/>
  <c r="M124" i="98"/>
  <c r="M123" i="98"/>
  <c r="M122" i="98"/>
  <c r="M121" i="98"/>
  <c r="M120" i="98"/>
  <c r="M119" i="98"/>
  <c r="M118" i="98"/>
  <c r="M117" i="98"/>
  <c r="M116" i="98"/>
  <c r="M115" i="98"/>
  <c r="M114" i="98"/>
  <c r="M113" i="98"/>
  <c r="M112" i="98"/>
  <c r="M107" i="98"/>
  <c r="M106" i="98"/>
  <c r="M105" i="98"/>
  <c r="M94" i="98"/>
  <c r="M93" i="98"/>
  <c r="M92" i="98"/>
  <c r="M91" i="98"/>
  <c r="M90" i="98"/>
  <c r="M89" i="98"/>
  <c r="M88" i="98"/>
  <c r="M87" i="98"/>
  <c r="M86" i="98"/>
  <c r="M85" i="98"/>
  <c r="M83" i="98"/>
  <c r="M82" i="98"/>
  <c r="M81" i="98"/>
  <c r="M80" i="98"/>
  <c r="M79" i="98"/>
  <c r="M78" i="98"/>
  <c r="M77" i="98"/>
  <c r="M76" i="98"/>
  <c r="M75" i="98"/>
  <c r="M74" i="98"/>
  <c r="M73" i="98"/>
  <c r="M72" i="98"/>
  <c r="M71" i="98"/>
  <c r="M70" i="98"/>
  <c r="M69" i="98"/>
  <c r="M68" i="98"/>
  <c r="M67" i="98"/>
  <c r="M66" i="98"/>
  <c r="M65" i="98"/>
  <c r="M64" i="98"/>
  <c r="M63" i="98"/>
  <c r="M62" i="98"/>
  <c r="M61" i="98"/>
  <c r="M60" i="98"/>
  <c r="M59" i="98"/>
  <c r="M58" i="98"/>
  <c r="M57" i="98"/>
  <c r="M56" i="98"/>
  <c r="M55" i="98"/>
  <c r="M48" i="98"/>
  <c r="M47" i="98"/>
  <c r="M46" i="98"/>
  <c r="M45" i="98"/>
  <c r="M44" i="98"/>
  <c r="M43" i="98"/>
  <c r="M42" i="98"/>
  <c r="M41" i="98"/>
  <c r="M40" i="98"/>
  <c r="M39" i="98"/>
  <c r="M38" i="98"/>
  <c r="M37" i="98"/>
  <c r="M36" i="98"/>
  <c r="M35" i="98"/>
  <c r="M34" i="98"/>
  <c r="M33" i="98"/>
  <c r="M32" i="98"/>
  <c r="M31" i="98"/>
  <c r="M30" i="98"/>
  <c r="M29" i="98"/>
  <c r="C8" i="98"/>
  <c r="C8" i="97"/>
  <c r="C8" i="96"/>
  <c r="L88" i="103" l="1" a="1"/>
  <c r="L88" i="103" s="1"/>
  <c r="L63" i="103" a="1"/>
  <c r="L63" i="103" s="1"/>
  <c r="L11" i="103" s="1" a="1"/>
  <c r="L11" i="103" s="1"/>
  <c r="L80" i="103" a="1"/>
  <c r="L80" i="103" s="1"/>
  <c r="L11" i="102" a="1"/>
  <c r="L11" i="102" s="1"/>
  <c r="L35" i="101" a="1"/>
  <c r="L35" i="101" s="1"/>
  <c r="L25" i="101" a="1"/>
  <c r="L25" i="101" s="1"/>
  <c r="M108" i="98" a="1"/>
  <c r="M108" i="98" s="1"/>
  <c r="M50" i="98" a="1"/>
  <c r="M50" i="98" s="1"/>
  <c r="M129" i="98" a="1"/>
  <c r="M129" i="98" s="1"/>
  <c r="M96" i="98" a="1"/>
  <c r="M96" i="98" s="1"/>
  <c r="M137" i="98" a="1"/>
  <c r="M137" i="98" s="1"/>
  <c r="P119" i="100" a="1"/>
  <c r="P119" i="100" s="1"/>
  <c r="P11" i="100" a="1"/>
  <c r="P11" i="100" s="1"/>
  <c r="M11" i="98" l="1" a="1"/>
  <c r="M11" i="98" s="1"/>
  <c r="M454" i="14" l="1"/>
  <c r="M453" i="14"/>
  <c r="M452" i="14"/>
  <c r="M451" i="14"/>
  <c r="M450" i="14"/>
  <c r="M449" i="14"/>
  <c r="M448" i="14"/>
  <c r="M447" i="14"/>
  <c r="M446" i="14"/>
  <c r="M443" i="14"/>
  <c r="M436" i="14"/>
  <c r="M435" i="14"/>
  <c r="M434" i="14"/>
  <c r="M430" i="14"/>
  <c r="M429" i="14"/>
  <c r="M428" i="14"/>
  <c r="M424" i="14"/>
  <c r="M423" i="14"/>
  <c r="M422" i="14"/>
  <c r="M418" i="14"/>
  <c r="M417" i="14"/>
  <c r="M416" i="14"/>
  <c r="M412" i="14"/>
  <c r="M411" i="14"/>
  <c r="M410" i="14"/>
  <c r="M409" i="14"/>
  <c r="M408" i="14"/>
  <c r="M407" i="14"/>
  <c r="M406" i="14"/>
  <c r="M402" i="14"/>
  <c r="M401" i="14"/>
  <c r="M400" i="14"/>
  <c r="M399" i="14"/>
  <c r="M398" i="14"/>
  <c r="M397" i="14"/>
  <c r="M393" i="14"/>
  <c r="M392" i="14"/>
  <c r="M391" i="14"/>
  <c r="M359" i="14"/>
  <c r="M387" i="14"/>
  <c r="M386" i="14"/>
  <c r="M384" i="14"/>
  <c r="M383" i="14"/>
  <c r="M379" i="14"/>
  <c r="M378" i="14"/>
  <c r="M377" i="14"/>
  <c r="M376" i="14"/>
  <c r="M375" i="14"/>
  <c r="M374" i="14"/>
  <c r="M373" i="14"/>
  <c r="M372" i="14"/>
  <c r="M371" i="14"/>
  <c r="M367" i="14"/>
  <c r="M366" i="14"/>
  <c r="M364" i="14"/>
  <c r="M363" i="14"/>
  <c r="N37" i="93"/>
  <c r="W37" i="93" s="1"/>
  <c r="U110" i="93" l="1"/>
  <c r="T110" i="93"/>
  <c r="S110" i="93"/>
  <c r="R110" i="93"/>
  <c r="Q110" i="93"/>
  <c r="P110" i="93"/>
  <c r="O110" i="93"/>
  <c r="M110" i="93"/>
  <c r="L110" i="93"/>
  <c r="K110" i="93"/>
  <c r="J110" i="93"/>
  <c r="I110" i="93"/>
  <c r="H110" i="93"/>
  <c r="G110" i="93"/>
  <c r="F110" i="93"/>
  <c r="E110" i="93"/>
  <c r="U109" i="93"/>
  <c r="T109" i="93"/>
  <c r="S109" i="93"/>
  <c r="R109" i="93"/>
  <c r="Q109" i="93"/>
  <c r="Q112" i="93" s="1"/>
  <c r="P109" i="93"/>
  <c r="E123" i="93" s="1"/>
  <c r="M109" i="93"/>
  <c r="L109" i="93"/>
  <c r="K109" i="93"/>
  <c r="J109" i="93"/>
  <c r="I109" i="93"/>
  <c r="H109" i="93"/>
  <c r="G109" i="93"/>
  <c r="G112" i="93" s="1"/>
  <c r="F109" i="93"/>
  <c r="X107" i="93"/>
  <c r="V107" i="93"/>
  <c r="O106" i="93" s="1"/>
  <c r="V106" i="93" s="1"/>
  <c r="N107" i="93"/>
  <c r="E106" i="93" s="1"/>
  <c r="X104" i="93"/>
  <c r="V104" i="93"/>
  <c r="O103" i="93" s="1"/>
  <c r="V103" i="93" s="1"/>
  <c r="N104" i="93"/>
  <c r="X101" i="93"/>
  <c r="N101" i="93"/>
  <c r="E100" i="93" s="1"/>
  <c r="V100" i="93"/>
  <c r="X99" i="93"/>
  <c r="X98" i="93"/>
  <c r="N98" i="93"/>
  <c r="E97" i="93" s="1"/>
  <c r="V97" i="93"/>
  <c r="X96" i="93"/>
  <c r="X95" i="93"/>
  <c r="N95" i="93"/>
  <c r="E94" i="93" s="1"/>
  <c r="V94" i="93"/>
  <c r="X93" i="93"/>
  <c r="X92" i="93"/>
  <c r="N92" i="93"/>
  <c r="E91" i="93" s="1"/>
  <c r="V91" i="93"/>
  <c r="X90" i="93"/>
  <c r="X89" i="93"/>
  <c r="N89" i="93"/>
  <c r="E88" i="93" s="1"/>
  <c r="V88" i="93"/>
  <c r="X87" i="93"/>
  <c r="X86" i="93"/>
  <c r="X84" i="93"/>
  <c r="X83" i="93"/>
  <c r="N83" i="93"/>
  <c r="E82" i="93" s="1"/>
  <c r="V82" i="93"/>
  <c r="X81" i="93"/>
  <c r="X80" i="93"/>
  <c r="V80" i="93"/>
  <c r="O79" i="93" s="1"/>
  <c r="N80" i="93"/>
  <c r="U75" i="93"/>
  <c r="T75" i="93"/>
  <c r="S75" i="93"/>
  <c r="R75" i="93"/>
  <c r="Q75" i="93"/>
  <c r="O75" i="93"/>
  <c r="M75" i="93"/>
  <c r="L75" i="93"/>
  <c r="K75" i="93"/>
  <c r="J75" i="93"/>
  <c r="I75" i="93"/>
  <c r="H75" i="93"/>
  <c r="G75" i="93"/>
  <c r="F75" i="93"/>
  <c r="N73" i="93"/>
  <c r="E72" i="93" s="1"/>
  <c r="N72" i="93" s="1"/>
  <c r="V72" i="93"/>
  <c r="N70" i="93"/>
  <c r="E69" i="93" s="1"/>
  <c r="N69" i="93" s="1"/>
  <c r="V69" i="93"/>
  <c r="N67" i="93"/>
  <c r="E66" i="93" s="1"/>
  <c r="N66" i="93" s="1"/>
  <c r="V66" i="93"/>
  <c r="N64" i="93"/>
  <c r="E63" i="93" s="1"/>
  <c r="N63" i="93" s="1"/>
  <c r="V63" i="93"/>
  <c r="N61" i="93"/>
  <c r="E60" i="93" s="1"/>
  <c r="N60" i="93" s="1"/>
  <c r="V60" i="93"/>
  <c r="N58" i="93"/>
  <c r="V57" i="93"/>
  <c r="U47" i="93"/>
  <c r="T47" i="93"/>
  <c r="S47" i="93"/>
  <c r="R47" i="93"/>
  <c r="Q47" i="93"/>
  <c r="P47" i="93"/>
  <c r="F121" i="93" s="1"/>
  <c r="O47" i="93"/>
  <c r="M47" i="93"/>
  <c r="L47" i="93"/>
  <c r="K47" i="93"/>
  <c r="J47" i="93"/>
  <c r="I47" i="93"/>
  <c r="H47" i="93"/>
  <c r="G47" i="93"/>
  <c r="F47" i="93"/>
  <c r="E47" i="93"/>
  <c r="U46" i="93"/>
  <c r="T46" i="93"/>
  <c r="S46" i="93"/>
  <c r="R46" i="93"/>
  <c r="Q46" i="93"/>
  <c r="M46" i="93"/>
  <c r="L46" i="93"/>
  <c r="K46" i="93"/>
  <c r="J46" i="93"/>
  <c r="I46" i="93"/>
  <c r="H46" i="93"/>
  <c r="G46" i="93"/>
  <c r="F46" i="93"/>
  <c r="X36" i="93"/>
  <c r="X31" i="93"/>
  <c r="N31" i="93"/>
  <c r="W31" i="93" s="1"/>
  <c r="N25" i="93"/>
  <c r="V24" i="93"/>
  <c r="N22" i="93"/>
  <c r="V21" i="93"/>
  <c r="C10" i="93"/>
  <c r="E125" i="93" l="1"/>
  <c r="F26" i="87" s="1"/>
  <c r="P149" i="93" a="1"/>
  <c r="P149" i="93" s="1"/>
  <c r="N24" i="93"/>
  <c r="W24" i="93" s="1"/>
  <c r="W25" i="93"/>
  <c r="X24" i="93" s="1"/>
  <c r="E21" i="93"/>
  <c r="N21" i="93" s="1"/>
  <c r="W21" i="93" s="1"/>
  <c r="W22" i="93"/>
  <c r="X21" i="93" s="1"/>
  <c r="W66" i="93"/>
  <c r="AE66" i="93" s="1"/>
  <c r="AE67" i="93" s="1"/>
  <c r="AE68" i="93" s="1"/>
  <c r="E57" i="93"/>
  <c r="N76" i="93"/>
  <c r="M149" i="93" a="1"/>
  <c r="M149" i="93" s="1"/>
  <c r="W80" i="93"/>
  <c r="W104" i="93"/>
  <c r="X47" i="93"/>
  <c r="N36" i="93"/>
  <c r="X106" i="93"/>
  <c r="T149" i="93" a="1"/>
  <c r="T149" i="93" s="1"/>
  <c r="K149" i="93" a="1"/>
  <c r="K149" i="93" s="1"/>
  <c r="U149" i="93" a="1"/>
  <c r="U149" i="93" s="1"/>
  <c r="W63" i="93"/>
  <c r="AE63" i="93" s="1"/>
  <c r="AE64" i="93" s="1"/>
  <c r="AE65" i="93" s="1"/>
  <c r="H149" i="93" a="1"/>
  <c r="H149" i="93" s="1"/>
  <c r="I149" i="93" a="1"/>
  <c r="I149" i="93" s="1"/>
  <c r="W60" i="93"/>
  <c r="AE60" i="93" s="1"/>
  <c r="AE61" i="93" s="1"/>
  <c r="AE62" i="93" s="1"/>
  <c r="W69" i="93"/>
  <c r="AE69" i="93" s="1"/>
  <c r="AE70" i="93" s="1"/>
  <c r="AE71" i="93" s="1"/>
  <c r="J149" i="93" a="1"/>
  <c r="J149" i="93" s="1"/>
  <c r="S149" i="93" a="1"/>
  <c r="S149" i="93" s="1"/>
  <c r="L149" i="93" a="1"/>
  <c r="L149" i="93" s="1"/>
  <c r="W72" i="93"/>
  <c r="AE72" i="93" s="1"/>
  <c r="AE73" i="93" s="1"/>
  <c r="AE74" i="93" s="1"/>
  <c r="N110" i="93"/>
  <c r="Q149" i="93" a="1"/>
  <c r="Q149" i="93" s="1"/>
  <c r="V75" i="93"/>
  <c r="R149" i="93" a="1"/>
  <c r="R149" i="93" s="1"/>
  <c r="O46" i="93"/>
  <c r="O109" i="93"/>
  <c r="O112" i="93" s="1"/>
  <c r="V79" i="93"/>
  <c r="AE85" i="93"/>
  <c r="AE86" i="93" s="1"/>
  <c r="AE87" i="93" s="1"/>
  <c r="X91" i="93"/>
  <c r="N91" i="93"/>
  <c r="W91" i="93" s="1"/>
  <c r="AE91" i="93" s="1"/>
  <c r="AE92" i="93" s="1"/>
  <c r="AE93" i="93" s="1"/>
  <c r="X97" i="93"/>
  <c r="N97" i="93"/>
  <c r="W97" i="93" s="1"/>
  <c r="AE97" i="93" s="1"/>
  <c r="AE98" i="93" s="1"/>
  <c r="AE99" i="93" s="1"/>
  <c r="N18" i="93"/>
  <c r="X82" i="93"/>
  <c r="N82" i="93"/>
  <c r="W82" i="93" s="1"/>
  <c r="X88" i="93"/>
  <c r="N88" i="93"/>
  <c r="W88" i="93" s="1"/>
  <c r="AE88" i="93" s="1"/>
  <c r="AE89" i="93" s="1"/>
  <c r="AE90" i="93" s="1"/>
  <c r="X94" i="93"/>
  <c r="N94" i="93"/>
  <c r="W94" i="93" s="1"/>
  <c r="AE94" i="93" s="1"/>
  <c r="AE95" i="93" s="1"/>
  <c r="AE96" i="93" s="1"/>
  <c r="X100" i="93"/>
  <c r="N100" i="93"/>
  <c r="W100" i="93" s="1"/>
  <c r="AE100" i="93" s="1"/>
  <c r="AE101" i="93" s="1"/>
  <c r="AE102" i="93" s="1"/>
  <c r="X30" i="93"/>
  <c r="V110" i="93"/>
  <c r="V47" i="93"/>
  <c r="N106" i="93"/>
  <c r="W106" i="93" s="1"/>
  <c r="W107" i="93"/>
  <c r="N47" i="93"/>
  <c r="E79" i="93"/>
  <c r="E103" i="93"/>
  <c r="E17" i="6" l="1"/>
  <c r="F41" i="99"/>
  <c r="G41" i="99" s="1"/>
  <c r="O149" i="93" a="1"/>
  <c r="O149" i="93" s="1"/>
  <c r="AE24" i="93"/>
  <c r="AE25" i="93" s="1"/>
  <c r="AE26" i="93" s="1"/>
  <c r="W36" i="93"/>
  <c r="AE36" i="93" s="1"/>
  <c r="AE37" i="93" s="1"/>
  <c r="AE38" i="93" s="1"/>
  <c r="AE21" i="93"/>
  <c r="AE22" i="93" s="1"/>
  <c r="AE23" i="93" s="1"/>
  <c r="N57" i="93"/>
  <c r="W57" i="93" s="1"/>
  <c r="E75" i="93"/>
  <c r="AE82" i="93"/>
  <c r="AE83" i="93" s="1"/>
  <c r="AE84" i="93" s="1"/>
  <c r="X75" i="93"/>
  <c r="AE54" i="93"/>
  <c r="W110" i="93"/>
  <c r="AE106" i="93"/>
  <c r="AE107" i="93" s="1"/>
  <c r="AE108" i="93" s="1"/>
  <c r="AE42" i="93"/>
  <c r="AE43" i="93" s="1"/>
  <c r="AE33" i="93"/>
  <c r="AE34" i="93" s="1"/>
  <c r="AE35" i="93" s="1"/>
  <c r="V46" i="93"/>
  <c r="W47" i="93"/>
  <c r="G45" i="94" s="1"/>
  <c r="K45" i="127" s="1"/>
  <c r="M45" i="127" s="1"/>
  <c r="V109" i="93"/>
  <c r="AE27" i="93"/>
  <c r="AE28" i="93" s="1"/>
  <c r="AE29" i="93" s="1"/>
  <c r="N79" i="93"/>
  <c r="W79" i="93" s="1"/>
  <c r="AE79" i="93" s="1"/>
  <c r="AE80" i="93" s="1"/>
  <c r="AE81" i="93" s="1"/>
  <c r="E109" i="93"/>
  <c r="X79" i="93"/>
  <c r="W18" i="93"/>
  <c r="X103" i="93"/>
  <c r="N103" i="93"/>
  <c r="W103" i="93" s="1"/>
  <c r="AE103" i="93" s="1"/>
  <c r="AE104" i="93" s="1"/>
  <c r="AE105" i="93" s="1"/>
  <c r="N30" i="93"/>
  <c r="E46" i="93"/>
  <c r="X46" i="93" s="1"/>
  <c r="AE39" i="93"/>
  <c r="AE40" i="93" s="1"/>
  <c r="AE41" i="93" s="1"/>
  <c r="X109" i="93" l="1"/>
  <c r="X112" i="93" s="1"/>
  <c r="E112" i="93"/>
  <c r="AE57" i="93"/>
  <c r="AE58" i="93" s="1"/>
  <c r="AE59" i="93" s="1"/>
  <c r="W75" i="93"/>
  <c r="X149" i="93" a="1"/>
  <c r="X149" i="93" s="1"/>
  <c r="V149" i="93" a="1"/>
  <c r="V149" i="93" s="1"/>
  <c r="AE55" i="93"/>
  <c r="AE56" i="93" s="1"/>
  <c r="W30" i="93"/>
  <c r="AE30" i="93" s="1"/>
  <c r="AE31" i="93" s="1"/>
  <c r="AE32" i="93" s="1"/>
  <c r="N75" i="93"/>
  <c r="AE45" i="93"/>
  <c r="AE44" i="93"/>
  <c r="AE78" i="93"/>
  <c r="AE77" i="93" s="1"/>
  <c r="AE18" i="93"/>
  <c r="N109" i="93"/>
  <c r="W109" i="93"/>
  <c r="N46" i="93"/>
  <c r="K46" i="127" l="1"/>
  <c r="M46" i="127" s="1"/>
  <c r="AE75" i="93"/>
  <c r="AE76" i="93" s="1"/>
  <c r="W46" i="93"/>
  <c r="N149" i="93" a="1"/>
  <c r="N149" i="93" s="1"/>
  <c r="AE109" i="93"/>
  <c r="AE110" i="93" s="1"/>
  <c r="AE19" i="93"/>
  <c r="AE20" i="93" s="1"/>
  <c r="Y76" i="93" l="1"/>
  <c r="Y112" i="93" s="1"/>
  <c r="F45" i="94"/>
  <c r="F46" i="94"/>
  <c r="C12" i="115"/>
  <c r="C13" i="115" s="1"/>
  <c r="W149" i="93" a="1"/>
  <c r="W149" i="93" s="1"/>
  <c r="AE46" i="93"/>
  <c r="AE47" i="93" s="1"/>
  <c r="AE112" i="93"/>
  <c r="E13" i="115" l="1"/>
  <c r="E19" i="115" s="1"/>
  <c r="I46" i="94"/>
  <c r="I45" i="94"/>
  <c r="AE16" i="93"/>
  <c r="AE15" i="93" s="1"/>
  <c r="AE113" i="93"/>
  <c r="AE114" i="93" s="1"/>
  <c r="E501" i="14"/>
  <c r="F497" i="14"/>
  <c r="F496" i="14"/>
  <c r="G502" i="14"/>
  <c r="H498" i="14"/>
  <c r="H486" i="14"/>
  <c r="F486" i="14"/>
  <c r="H473" i="14"/>
  <c r="D499" i="14"/>
  <c r="AE17" i="93" l="1"/>
  <c r="F498" i="14"/>
  <c r="M413" i="14"/>
  <c r="M405" i="14" s="1"/>
  <c r="F432" i="91"/>
  <c r="E444" i="14" s="1"/>
  <c r="M444" i="14" s="1"/>
  <c r="F433" i="91"/>
  <c r="E445" i="14" s="1"/>
  <c r="M445" i="14" s="1"/>
  <c r="F425" i="91"/>
  <c r="E437" i="14" s="1"/>
  <c r="M437" i="14" s="1"/>
  <c r="M433" i="14" s="1"/>
  <c r="F419" i="91"/>
  <c r="E431" i="14" s="1"/>
  <c r="M431" i="14" s="1"/>
  <c r="M427" i="14" s="1"/>
  <c r="F413" i="91"/>
  <c r="E425" i="14" s="1"/>
  <c r="M425" i="14" s="1"/>
  <c r="M421" i="14" s="1"/>
  <c r="F407" i="91"/>
  <c r="E419" i="14" s="1"/>
  <c r="M419" i="14" s="1"/>
  <c r="M415" i="14" s="1"/>
  <c r="F391" i="91"/>
  <c r="E403" i="14" s="1"/>
  <c r="M403" i="14" s="1"/>
  <c r="M396" i="14" s="1"/>
  <c r="F382" i="91"/>
  <c r="E394" i="14" s="1"/>
  <c r="M394" i="14" s="1"/>
  <c r="M390" i="14" s="1"/>
  <c r="F373" i="91"/>
  <c r="F368" i="91"/>
  <c r="E380" i="14" s="1"/>
  <c r="M380" i="14" s="1"/>
  <c r="M370" i="14" s="1"/>
  <c r="F353" i="91"/>
  <c r="F345" i="91"/>
  <c r="F348" i="91" l="1"/>
  <c r="E357" i="14"/>
  <c r="M357" i="14" s="1"/>
  <c r="F356" i="91"/>
  <c r="E368" i="14" s="1"/>
  <c r="M368" i="14" s="1"/>
  <c r="E365" i="14"/>
  <c r="M365" i="14" s="1"/>
  <c r="F376" i="91"/>
  <c r="E388" i="14" s="1"/>
  <c r="M388" i="14" s="1"/>
  <c r="E385" i="14"/>
  <c r="M385" i="14" s="1"/>
  <c r="M432" i="14"/>
  <c r="M420" i="14"/>
  <c r="M426" i="14"/>
  <c r="M438" i="14"/>
  <c r="M395" i="14"/>
  <c r="M404" i="14"/>
  <c r="M414" i="14"/>
  <c r="M360" i="14"/>
  <c r="E68" i="92"/>
  <c r="D68" i="92"/>
  <c r="E67" i="92"/>
  <c r="D67" i="92"/>
  <c r="E66" i="92"/>
  <c r="D66" i="92"/>
  <c r="E65" i="92"/>
  <c r="D65" i="92"/>
  <c r="E64" i="92"/>
  <c r="D64" i="92"/>
  <c r="E61" i="92"/>
  <c r="D61" i="92"/>
  <c r="E60" i="92"/>
  <c r="D60" i="92"/>
  <c r="E57" i="92"/>
  <c r="D57" i="92"/>
  <c r="E56" i="92"/>
  <c r="D56" i="92"/>
  <c r="E55" i="92"/>
  <c r="D55" i="92"/>
  <c r="E54" i="92"/>
  <c r="D54" i="92"/>
  <c r="E53" i="92"/>
  <c r="D53" i="92"/>
  <c r="E50" i="92"/>
  <c r="D50" i="92"/>
  <c r="E49" i="92"/>
  <c r="D49" i="92"/>
  <c r="E48" i="92"/>
  <c r="D48" i="92"/>
  <c r="E47" i="92"/>
  <c r="D47" i="92"/>
  <c r="E46" i="92"/>
  <c r="D46" i="92"/>
  <c r="E45" i="92"/>
  <c r="D45" i="92"/>
  <c r="E31" i="92"/>
  <c r="D31" i="92"/>
  <c r="E35" i="92"/>
  <c r="E34" i="92"/>
  <c r="E33" i="92"/>
  <c r="D33" i="92"/>
  <c r="E32" i="92"/>
  <c r="D32" i="92"/>
  <c r="E28" i="92"/>
  <c r="E27" i="92"/>
  <c r="E26" i="92"/>
  <c r="D26" i="92"/>
  <c r="E25" i="92"/>
  <c r="E21" i="92"/>
  <c r="E20" i="92"/>
  <c r="E19" i="92"/>
  <c r="E18" i="92"/>
  <c r="E17" i="92"/>
  <c r="M362" i="14" l="1"/>
  <c r="M382" i="14"/>
  <c r="M356" i="14"/>
  <c r="N362" i="14" s="1"/>
  <c r="M369" i="14" l="1"/>
  <c r="N370" i="14"/>
  <c r="N382" i="14" s="1"/>
  <c r="N390" i="14" s="1"/>
  <c r="N396" i="14" s="1"/>
  <c r="N405" i="14" s="1"/>
  <c r="N415" i="14" s="1"/>
  <c r="N421" i="14" s="1"/>
  <c r="N427" i="14" s="1"/>
  <c r="M361" i="14"/>
  <c r="I85" i="87"/>
  <c r="I84" i="87"/>
  <c r="I83" i="87"/>
  <c r="I82" i="87"/>
  <c r="I81" i="87"/>
  <c r="I80" i="87"/>
  <c r="I79" i="87"/>
  <c r="I78" i="87"/>
  <c r="I77" i="87"/>
  <c r="I76" i="87"/>
  <c r="I75" i="87"/>
  <c r="I74" i="87"/>
  <c r="I73" i="87"/>
  <c r="I72" i="87"/>
  <c r="I73" i="94"/>
  <c r="C362" i="14" l="1"/>
  <c r="I65" i="87"/>
  <c r="I66" i="87" s="1"/>
  <c r="I67" i="87" s="1"/>
  <c r="I68" i="87" s="1"/>
  <c r="I69" i="87" s="1"/>
  <c r="I70" i="87" s="1"/>
  <c r="C82" i="87"/>
  <c r="C176" i="6" s="1"/>
  <c r="F85" i="87"/>
  <c r="E179" i="6" s="1"/>
  <c r="C85" i="87"/>
  <c r="G80" i="94"/>
  <c r="F80" i="94"/>
  <c r="F84" i="87" s="1"/>
  <c r="E178" i="6" s="1"/>
  <c r="C80" i="94"/>
  <c r="C84" i="87" s="1"/>
  <c r="C178" i="6" s="1"/>
  <c r="G79" i="94"/>
  <c r="F79" i="94"/>
  <c r="F83" i="87" s="1"/>
  <c r="E177" i="6" s="1"/>
  <c r="C79" i="94"/>
  <c r="C83" i="87" s="1"/>
  <c r="C177" i="6" s="1"/>
  <c r="G78" i="94"/>
  <c r="F78" i="94"/>
  <c r="F82" i="87" s="1"/>
  <c r="E176" i="6" s="1"/>
  <c r="G77" i="94"/>
  <c r="F77" i="94"/>
  <c r="F81" i="87" s="1"/>
  <c r="E175" i="6" s="1"/>
  <c r="C77" i="94"/>
  <c r="C81" i="87" s="1"/>
  <c r="C175" i="6" s="1"/>
  <c r="C26" i="75"/>
  <c r="C21" i="75"/>
  <c r="C20" i="75"/>
  <c r="F808" i="91"/>
  <c r="E808" i="91"/>
  <c r="F801" i="91"/>
  <c r="E801" i="91"/>
  <c r="F794" i="91"/>
  <c r="E794" i="91"/>
  <c r="I170" i="81"/>
  <c r="I12" i="81"/>
  <c r="I13" i="81"/>
  <c r="I14" i="81"/>
  <c r="I15" i="81"/>
  <c r="I16" i="81"/>
  <c r="I17" i="81"/>
  <c r="I18" i="81"/>
  <c r="I19" i="81"/>
  <c r="I20" i="81"/>
  <c r="I21" i="81"/>
  <c r="I22" i="81"/>
  <c r="I23" i="81"/>
  <c r="I24" i="81"/>
  <c r="I25" i="81"/>
  <c r="I26" i="81"/>
  <c r="I27" i="81"/>
  <c r="I28" i="81"/>
  <c r="I29" i="81"/>
  <c r="I30" i="81"/>
  <c r="I31" i="81"/>
  <c r="I32" i="81"/>
  <c r="I33" i="81"/>
  <c r="I34" i="81"/>
  <c r="I35" i="81"/>
  <c r="I36" i="81"/>
  <c r="I37" i="81"/>
  <c r="I38" i="81"/>
  <c r="I39" i="81"/>
  <c r="I40" i="81"/>
  <c r="I41" i="81"/>
  <c r="I42" i="81"/>
  <c r="I43" i="81"/>
  <c r="I44" i="81"/>
  <c r="I45" i="81"/>
  <c r="I46" i="81"/>
  <c r="I47" i="81"/>
  <c r="I48" i="81"/>
  <c r="I49" i="81"/>
  <c r="I50" i="81"/>
  <c r="I51" i="81"/>
  <c r="I52" i="81"/>
  <c r="I53" i="81"/>
  <c r="I54" i="81"/>
  <c r="I55" i="81"/>
  <c r="I56" i="81"/>
  <c r="I57" i="81"/>
  <c r="I58" i="81"/>
  <c r="I59" i="81"/>
  <c r="I60" i="81"/>
  <c r="I61" i="81"/>
  <c r="I62" i="81"/>
  <c r="I63" i="81"/>
  <c r="I64" i="81"/>
  <c r="I65" i="81"/>
  <c r="I66" i="81"/>
  <c r="I67" i="81"/>
  <c r="I68" i="81"/>
  <c r="I69" i="81"/>
  <c r="I84" i="81"/>
  <c r="I85" i="81"/>
  <c r="I86" i="81"/>
  <c r="I87" i="81"/>
  <c r="I88" i="81"/>
  <c r="I89" i="81"/>
  <c r="I90" i="81"/>
  <c r="I91" i="81"/>
  <c r="I92" i="81"/>
  <c r="I93" i="81"/>
  <c r="I94" i="81"/>
  <c r="I95" i="81"/>
  <c r="I96" i="81"/>
  <c r="I97" i="81"/>
  <c r="I98" i="81"/>
  <c r="I99" i="81"/>
  <c r="I100" i="81"/>
  <c r="I101" i="81"/>
  <c r="I102" i="81"/>
  <c r="I103" i="81"/>
  <c r="I104" i="81"/>
  <c r="I105" i="81"/>
  <c r="I106" i="81"/>
  <c r="I107" i="81"/>
  <c r="I108" i="81"/>
  <c r="I109" i="81"/>
  <c r="I110" i="81"/>
  <c r="I111" i="81"/>
  <c r="I112" i="81"/>
  <c r="I113" i="81"/>
  <c r="I114" i="81"/>
  <c r="I115" i="81"/>
  <c r="I116" i="81"/>
  <c r="I117" i="81"/>
  <c r="I118" i="81"/>
  <c r="I119" i="81"/>
  <c r="I120" i="81"/>
  <c r="I121" i="81"/>
  <c r="I122" i="81"/>
  <c r="I123" i="81"/>
  <c r="I124" i="81"/>
  <c r="I125" i="81"/>
  <c r="I126" i="81"/>
  <c r="I127" i="81"/>
  <c r="I128" i="81"/>
  <c r="I129" i="81"/>
  <c r="I130" i="81"/>
  <c r="I131" i="81"/>
  <c r="I132" i="81"/>
  <c r="I133" i="81"/>
  <c r="I134" i="81"/>
  <c r="I135" i="81"/>
  <c r="I136" i="81"/>
  <c r="I137" i="81"/>
  <c r="I138" i="81"/>
  <c r="I139" i="81"/>
  <c r="I140" i="81"/>
  <c r="I141" i="81"/>
  <c r="I142" i="81"/>
  <c r="I143" i="81"/>
  <c r="I144" i="81"/>
  <c r="I145" i="81"/>
  <c r="I146" i="81"/>
  <c r="I147" i="81"/>
  <c r="I148" i="81"/>
  <c r="I149" i="81"/>
  <c r="I150" i="81"/>
  <c r="I151" i="81"/>
  <c r="I152" i="81"/>
  <c r="I153" i="81"/>
  <c r="I154" i="81"/>
  <c r="I155" i="81"/>
  <c r="I156" i="81"/>
  <c r="I157" i="81"/>
  <c r="I158" i="81"/>
  <c r="I159" i="81"/>
  <c r="I160" i="81"/>
  <c r="I161" i="81"/>
  <c r="I162" i="81"/>
  <c r="I163" i="81"/>
  <c r="I164" i="81"/>
  <c r="I165" i="81"/>
  <c r="I166" i="81"/>
  <c r="I167" i="81"/>
  <c r="I168" i="81"/>
  <c r="I169" i="81"/>
  <c r="I171" i="81"/>
  <c r="I172" i="81"/>
  <c r="I173" i="81"/>
  <c r="I174" i="81"/>
  <c r="I175" i="81"/>
  <c r="I176" i="81"/>
  <c r="I177" i="81"/>
  <c r="I178" i="81"/>
  <c r="I179" i="81"/>
  <c r="I180" i="81"/>
  <c r="I181" i="81"/>
  <c r="I182" i="81"/>
  <c r="I183" i="81"/>
  <c r="I184" i="81"/>
  <c r="I185" i="81"/>
  <c r="I186" i="81"/>
  <c r="I187" i="81"/>
  <c r="I188" i="81"/>
  <c r="I189" i="81"/>
  <c r="I190" i="81"/>
  <c r="I191" i="81"/>
  <c r="I192" i="81"/>
  <c r="I193" i="81"/>
  <c r="I194" i="81"/>
  <c r="I195" i="81"/>
  <c r="I196" i="81"/>
  <c r="I197" i="81"/>
  <c r="I198" i="81"/>
  <c r="I199" i="81"/>
  <c r="I200" i="81"/>
  <c r="I201" i="81"/>
  <c r="I202" i="81"/>
  <c r="I203" i="81"/>
  <c r="I208" i="81"/>
  <c r="I210" i="81"/>
  <c r="I212" i="81"/>
  <c r="I214" i="81"/>
  <c r="I216" i="81"/>
  <c r="I217" i="81"/>
  <c r="I218" i="81"/>
  <c r="I219" i="81"/>
  <c r="I224" i="81"/>
  <c r="I225" i="81"/>
  <c r="I226" i="81"/>
  <c r="I227" i="81"/>
  <c r="I232" i="81"/>
  <c r="I233" i="81"/>
  <c r="I234" i="81"/>
  <c r="I235" i="81"/>
  <c r="I236" i="81"/>
  <c r="I237" i="81"/>
  <c r="I238" i="81"/>
  <c r="I239" i="81"/>
  <c r="I240" i="81"/>
  <c r="I241" i="81"/>
  <c r="I242" i="81"/>
  <c r="I243" i="81"/>
  <c r="I244" i="81"/>
  <c r="I245" i="81"/>
  <c r="I254" i="81"/>
  <c r="I255" i="81"/>
  <c r="I256" i="81"/>
  <c r="I257" i="81"/>
  <c r="I258" i="81"/>
  <c r="I259" i="81"/>
  <c r="I260" i="81"/>
  <c r="I261" i="81"/>
  <c r="I262" i="81"/>
  <c r="I263" i="81"/>
  <c r="I264" i="81"/>
  <c r="I265" i="81"/>
  <c r="I266" i="81"/>
  <c r="I267" i="81"/>
  <c r="I268" i="81"/>
  <c r="I269" i="81"/>
  <c r="I270" i="81"/>
  <c r="I271" i="81"/>
  <c r="I272" i="81"/>
  <c r="I273" i="81"/>
  <c r="I274" i="81"/>
  <c r="I275" i="81"/>
  <c r="I276" i="81"/>
  <c r="I277" i="81"/>
  <c r="I278" i="81"/>
  <c r="I279" i="81"/>
  <c r="I280" i="81"/>
  <c r="I281" i="81"/>
  <c r="I282" i="81"/>
  <c r="I283" i="81"/>
  <c r="I284" i="81"/>
  <c r="I285" i="81"/>
  <c r="I286" i="81"/>
  <c r="I287" i="81"/>
  <c r="I288" i="81"/>
  <c r="I289" i="81"/>
  <c r="I290" i="81"/>
  <c r="I291" i="81"/>
  <c r="I292" i="81"/>
  <c r="I293" i="81"/>
  <c r="I294" i="81"/>
  <c r="I295" i="81"/>
  <c r="I296" i="81"/>
  <c r="I297" i="81"/>
  <c r="I298" i="81"/>
  <c r="H11" i="81"/>
  <c r="G85" i="87" l="1"/>
  <c r="G179" i="6"/>
  <c r="G81" i="87"/>
  <c r="G175" i="6"/>
  <c r="G84" i="87"/>
  <c r="G178" i="6"/>
  <c r="G83" i="87"/>
  <c r="G177" i="6"/>
  <c r="G82" i="87"/>
  <c r="G176" i="6"/>
  <c r="F737" i="91"/>
  <c r="F718" i="91"/>
  <c r="F700" i="91"/>
  <c r="F690" i="91"/>
  <c r="C22" i="75"/>
  <c r="C370" i="14"/>
  <c r="C382" i="14" l="1"/>
  <c r="C288" i="31"/>
  <c r="C17" i="92"/>
  <c r="I358" i="31"/>
  <c r="C8" i="92"/>
  <c r="C8" i="31"/>
  <c r="C8" i="14"/>
  <c r="C8" i="95"/>
  <c r="C9" i="6"/>
  <c r="C9" i="87"/>
  <c r="F73" i="87" s="1"/>
  <c r="E167" i="6" s="1"/>
  <c r="C9" i="94"/>
  <c r="F69" i="94" s="1"/>
  <c r="C207" i="95"/>
  <c r="C223" i="95" s="1"/>
  <c r="C227" i="95" s="1"/>
  <c r="C232" i="95" s="1"/>
  <c r="C243" i="95" s="1"/>
  <c r="C247" i="95" s="1"/>
  <c r="C255" i="95" s="1"/>
  <c r="C161" i="95"/>
  <c r="C167" i="95" s="1"/>
  <c r="C22" i="95"/>
  <c r="C26" i="95" s="1"/>
  <c r="C37" i="95" s="1"/>
  <c r="C41" i="95" s="1"/>
  <c r="C45" i="95" s="1"/>
  <c r="C62" i="95" s="1"/>
  <c r="C83" i="95" s="1"/>
  <c r="C87" i="95" s="1"/>
  <c r="C356" i="31" l="1"/>
  <c r="C662" i="91" s="1"/>
  <c r="I359" i="31"/>
  <c r="C358" i="31"/>
  <c r="C664" i="91" s="1"/>
  <c r="C390" i="14"/>
  <c r="I360" i="31"/>
  <c r="M81" i="92"/>
  <c r="E126" i="92"/>
  <c r="E128" i="92" s="1"/>
  <c r="G126" i="92"/>
  <c r="G128" i="92" s="1"/>
  <c r="E417" i="92"/>
  <c r="E416" i="92"/>
  <c r="E415" i="92"/>
  <c r="E408" i="92"/>
  <c r="E407" i="92"/>
  <c r="E404" i="92"/>
  <c r="E403" i="92"/>
  <c r="E402" i="92"/>
  <c r="E400" i="92"/>
  <c r="E389" i="92"/>
  <c r="E388" i="92"/>
  <c r="E387" i="92"/>
  <c r="E381" i="92"/>
  <c r="E382" i="92"/>
  <c r="E383" i="92"/>
  <c r="E384" i="92"/>
  <c r="E385" i="92"/>
  <c r="E380" i="92"/>
  <c r="E378" i="92"/>
  <c r="H158" i="6" s="1"/>
  <c r="E377" i="92"/>
  <c r="E376" i="92"/>
  <c r="H153" i="6" s="1"/>
  <c r="E344" i="92"/>
  <c r="E342" i="92"/>
  <c r="E341" i="92"/>
  <c r="E340" i="92"/>
  <c r="E337" i="92"/>
  <c r="E336" i="92"/>
  <c r="E335" i="92"/>
  <c r="E305" i="92"/>
  <c r="E304" i="92"/>
  <c r="E302" i="92"/>
  <c r="E301" i="92"/>
  <c r="E299" i="92"/>
  <c r="E298" i="92"/>
  <c r="E296" i="92"/>
  <c r="E293" i="92"/>
  <c r="E292" i="92"/>
  <c r="E290" i="92"/>
  <c r="E289" i="92"/>
  <c r="E287" i="92"/>
  <c r="E286" i="92"/>
  <c r="E204" i="92"/>
  <c r="E203" i="92"/>
  <c r="E202" i="92"/>
  <c r="E201" i="92"/>
  <c r="E198" i="92"/>
  <c r="E197" i="92"/>
  <c r="E194" i="92"/>
  <c r="E193" i="92"/>
  <c r="E190" i="92"/>
  <c r="E189" i="92"/>
  <c r="E188" i="92"/>
  <c r="E184" i="92"/>
  <c r="E185" i="92"/>
  <c r="E183" i="92"/>
  <c r="F166" i="92"/>
  <c r="F164" i="92"/>
  <c r="F163" i="92"/>
  <c r="F158" i="92"/>
  <c r="F156" i="92"/>
  <c r="F155" i="92"/>
  <c r="F154" i="92"/>
  <c r="F148" i="92"/>
  <c r="F141" i="92"/>
  <c r="F139" i="92"/>
  <c r="F138" i="92"/>
  <c r="F134" i="92"/>
  <c r="F132" i="92"/>
  <c r="F131" i="92"/>
  <c r="F124" i="92"/>
  <c r="F125" i="92"/>
  <c r="F123" i="92"/>
  <c r="E78" i="92"/>
  <c r="E74" i="92"/>
  <c r="F846" i="91" s="1"/>
  <c r="F847" i="91" s="1"/>
  <c r="F852" i="91" s="1"/>
  <c r="E72" i="92"/>
  <c r="E70" i="92"/>
  <c r="E69" i="92"/>
  <c r="E62" i="92"/>
  <c r="E58" i="92"/>
  <c r="E51" i="92"/>
  <c r="E42" i="92"/>
  <c r="E39" i="92"/>
  <c r="E37" i="92"/>
  <c r="E36" i="92"/>
  <c r="H159" i="6" l="1"/>
  <c r="F140" i="92"/>
  <c r="F142" i="92" s="1"/>
  <c r="E75" i="92"/>
  <c r="C396" i="14"/>
  <c r="E386" i="92"/>
  <c r="E390" i="92" s="1"/>
  <c r="G60" i="94" s="1"/>
  <c r="K60" i="127" s="1"/>
  <c r="F165" i="92"/>
  <c r="F167" i="92" s="1"/>
  <c r="E40" i="92"/>
  <c r="E343" i="92"/>
  <c r="E345" i="92" s="1"/>
  <c r="G59" i="94" s="1"/>
  <c r="F126" i="92"/>
  <c r="F128" i="92" s="1"/>
  <c r="F157" i="92"/>
  <c r="F159" i="92" s="1"/>
  <c r="E205" i="92"/>
  <c r="G53" i="94" s="1"/>
  <c r="K53" i="127" s="1"/>
  <c r="F133" i="92"/>
  <c r="F135" i="92" s="1"/>
  <c r="C41" i="92"/>
  <c r="C415" i="92"/>
  <c r="C411" i="92"/>
  <c r="C407" i="92"/>
  <c r="C400" i="92"/>
  <c r="C376" i="92"/>
  <c r="C375" i="92"/>
  <c r="C355" i="92"/>
  <c r="C939" i="91" s="1"/>
  <c r="C354" i="92"/>
  <c r="C938" i="91" s="1"/>
  <c r="C353" i="92"/>
  <c r="C937" i="91" s="1"/>
  <c r="C352" i="92"/>
  <c r="C936" i="91" s="1"/>
  <c r="C334" i="92"/>
  <c r="C286" i="92"/>
  <c r="C210" i="92"/>
  <c r="C201" i="92"/>
  <c r="C197" i="92"/>
  <c r="C193" i="92"/>
  <c r="C182" i="92"/>
  <c r="C122" i="92"/>
  <c r="M66" i="92"/>
  <c r="C64" i="92"/>
  <c r="C60" i="92"/>
  <c r="C53" i="92"/>
  <c r="C45" i="92"/>
  <c r="C42" i="92"/>
  <c r="C31" i="92"/>
  <c r="C24" i="92"/>
  <c r="C16" i="92"/>
  <c r="C15" i="92"/>
  <c r="M17" i="92"/>
  <c r="O18" i="92" s="1"/>
  <c r="C18" i="92" s="1"/>
  <c r="H587" i="14"/>
  <c r="G587" i="14"/>
  <c r="F587" i="14"/>
  <c r="E587" i="14"/>
  <c r="H586" i="14"/>
  <c r="G586" i="14"/>
  <c r="F586" i="14"/>
  <c r="E586" i="14"/>
  <c r="H583" i="14"/>
  <c r="G583" i="14"/>
  <c r="F583" i="14"/>
  <c r="E583" i="14"/>
  <c r="H582" i="14"/>
  <c r="G582" i="14"/>
  <c r="F582" i="14"/>
  <c r="E582" i="14"/>
  <c r="H579" i="14"/>
  <c r="G579" i="14"/>
  <c r="F579" i="14"/>
  <c r="E579" i="14"/>
  <c r="H578" i="14"/>
  <c r="G578" i="14"/>
  <c r="F578" i="14"/>
  <c r="E578" i="14"/>
  <c r="H575" i="14"/>
  <c r="G575" i="14"/>
  <c r="F575" i="14"/>
  <c r="E575" i="14"/>
  <c r="H574" i="14"/>
  <c r="G574" i="14"/>
  <c r="F574" i="14"/>
  <c r="E574" i="14"/>
  <c r="H571" i="14"/>
  <c r="G571" i="14"/>
  <c r="F571" i="14"/>
  <c r="E571" i="14"/>
  <c r="H570" i="14"/>
  <c r="G570" i="14"/>
  <c r="F570" i="14"/>
  <c r="E570" i="14"/>
  <c r="F306" i="14"/>
  <c r="E306" i="14"/>
  <c r="F305" i="14"/>
  <c r="E305" i="14"/>
  <c r="F304" i="14"/>
  <c r="E304" i="14"/>
  <c r="F302" i="14"/>
  <c r="E302" i="14"/>
  <c r="F301" i="14"/>
  <c r="E301" i="14"/>
  <c r="F300" i="14"/>
  <c r="E300" i="14"/>
  <c r="F298" i="14"/>
  <c r="E298" i="14"/>
  <c r="F297" i="14"/>
  <c r="E297" i="14"/>
  <c r="F296" i="14"/>
  <c r="E296" i="14"/>
  <c r="F294" i="14"/>
  <c r="E294" i="14"/>
  <c r="F293" i="14"/>
  <c r="E293" i="14"/>
  <c r="F292" i="14"/>
  <c r="E292" i="14"/>
  <c r="F290" i="14"/>
  <c r="E290" i="14"/>
  <c r="F289" i="14"/>
  <c r="E289" i="14"/>
  <c r="F288" i="14"/>
  <c r="E288" i="14"/>
  <c r="H335" i="14"/>
  <c r="G335" i="14"/>
  <c r="F335" i="14"/>
  <c r="E335" i="14"/>
  <c r="H334" i="14"/>
  <c r="G334" i="14"/>
  <c r="F334" i="14"/>
  <c r="E334" i="14"/>
  <c r="H333" i="14"/>
  <c r="G333" i="14"/>
  <c r="F333" i="14"/>
  <c r="E333" i="14"/>
  <c r="H330" i="14"/>
  <c r="G330" i="14"/>
  <c r="F330" i="14"/>
  <c r="E330" i="14"/>
  <c r="H329" i="14"/>
  <c r="G329" i="14"/>
  <c r="F329" i="14"/>
  <c r="E329" i="14"/>
  <c r="H328" i="14"/>
  <c r="G328" i="14"/>
  <c r="F328" i="14"/>
  <c r="E328" i="14"/>
  <c r="H325" i="14"/>
  <c r="G325" i="14"/>
  <c r="F325" i="14"/>
  <c r="E325" i="14"/>
  <c r="H324" i="14"/>
  <c r="G324" i="14"/>
  <c r="F324" i="14"/>
  <c r="E324" i="14"/>
  <c r="H323" i="14"/>
  <c r="G323" i="14"/>
  <c r="F323" i="14"/>
  <c r="E323" i="14"/>
  <c r="H320" i="14"/>
  <c r="G320" i="14"/>
  <c r="F320" i="14"/>
  <c r="E320" i="14"/>
  <c r="H319" i="14"/>
  <c r="G319" i="14"/>
  <c r="F319" i="14"/>
  <c r="E319" i="14"/>
  <c r="H318" i="14"/>
  <c r="G318" i="14"/>
  <c r="F318" i="14"/>
  <c r="E318" i="14"/>
  <c r="H315" i="14"/>
  <c r="G315" i="14"/>
  <c r="F315" i="14"/>
  <c r="E315" i="14"/>
  <c r="H314" i="14"/>
  <c r="G314" i="14"/>
  <c r="F314" i="14"/>
  <c r="E314" i="14"/>
  <c r="H313" i="14"/>
  <c r="G313" i="14"/>
  <c r="F313" i="14"/>
  <c r="E313" i="14"/>
  <c r="C331" i="91"/>
  <c r="H344" i="14"/>
  <c r="G344" i="14"/>
  <c r="F344" i="14"/>
  <c r="E344" i="14"/>
  <c r="H343" i="14"/>
  <c r="G343" i="14"/>
  <c r="F343" i="14"/>
  <c r="E343" i="14"/>
  <c r="H342" i="14"/>
  <c r="G342" i="14"/>
  <c r="F342" i="14"/>
  <c r="E342" i="14"/>
  <c r="H341" i="14"/>
  <c r="G341" i="14"/>
  <c r="F341" i="14"/>
  <c r="E341" i="14"/>
  <c r="H340" i="14"/>
  <c r="G340" i="14"/>
  <c r="F340" i="14"/>
  <c r="E340" i="14"/>
  <c r="C138" i="14"/>
  <c r="E138" i="14"/>
  <c r="F138" i="14"/>
  <c r="G138" i="14"/>
  <c r="H138" i="14"/>
  <c r="I48" i="94"/>
  <c r="I47" i="94"/>
  <c r="D47" i="94" s="1"/>
  <c r="D46" i="94"/>
  <c r="D19" i="94"/>
  <c r="M60" i="127" l="1"/>
  <c r="O60" i="127" s="1"/>
  <c r="O57" i="127" s="1"/>
  <c r="O56" i="127" s="1"/>
  <c r="K59" i="127"/>
  <c r="G46" i="6" s="1"/>
  <c r="M53" i="127"/>
  <c r="G50" i="6"/>
  <c r="F141" i="6"/>
  <c r="I44" i="94"/>
  <c r="D44" i="94" s="1"/>
  <c r="I49" i="94"/>
  <c r="D48" i="94"/>
  <c r="F169" i="92"/>
  <c r="E77" i="92"/>
  <c r="C405" i="14"/>
  <c r="M302" i="14"/>
  <c r="M578" i="14"/>
  <c r="M293" i="14"/>
  <c r="M301" i="14"/>
  <c r="M586" i="14"/>
  <c r="M290" i="14"/>
  <c r="M298" i="14"/>
  <c r="M306" i="14"/>
  <c r="M296" i="14"/>
  <c r="M334" i="14"/>
  <c r="M571" i="14"/>
  <c r="M570" i="14"/>
  <c r="M575" i="14"/>
  <c r="M582" i="14"/>
  <c r="M587" i="14"/>
  <c r="M574" i="14"/>
  <c r="M583" i="14"/>
  <c r="M579" i="14"/>
  <c r="M319" i="14"/>
  <c r="M342" i="14"/>
  <c r="M294" i="14"/>
  <c r="M313" i="14"/>
  <c r="M318" i="14"/>
  <c r="M323" i="14"/>
  <c r="M328" i="14"/>
  <c r="M333" i="14"/>
  <c r="M292" i="14"/>
  <c r="M300" i="14"/>
  <c r="M340" i="14"/>
  <c r="M343" i="14"/>
  <c r="M341" i="14"/>
  <c r="M344" i="14"/>
  <c r="M314" i="14"/>
  <c r="M324" i="14"/>
  <c r="M329" i="14"/>
  <c r="M288" i="14"/>
  <c r="M304" i="14"/>
  <c r="M315" i="14"/>
  <c r="M320" i="14"/>
  <c r="M325" i="14"/>
  <c r="M330" i="14"/>
  <c r="M335" i="14"/>
  <c r="M289" i="14"/>
  <c r="M297" i="14"/>
  <c r="M305" i="14"/>
  <c r="M138" i="14"/>
  <c r="D45" i="94"/>
  <c r="D25" i="94"/>
  <c r="M59" i="127" l="1"/>
  <c r="E80" i="92"/>
  <c r="G50" i="94" s="1"/>
  <c r="K50" i="127" s="1"/>
  <c r="C415" i="14"/>
  <c r="M299" i="14"/>
  <c r="M295" i="14"/>
  <c r="G52" i="94"/>
  <c r="K52" i="127" s="1"/>
  <c r="M339" i="14"/>
  <c r="M338" i="14" s="1"/>
  <c r="M337" i="14" s="1"/>
  <c r="M291" i="14"/>
  <c r="M332" i="14"/>
  <c r="M331" i="14" s="1"/>
  <c r="M317" i="14"/>
  <c r="M316" i="14" s="1"/>
  <c r="M303" i="14"/>
  <c r="M287" i="14"/>
  <c r="M322" i="14"/>
  <c r="M321" i="14" s="1"/>
  <c r="M327" i="14"/>
  <c r="M326" i="14" s="1"/>
  <c r="M312" i="14"/>
  <c r="M311" i="14" s="1"/>
  <c r="M52" i="127" l="1"/>
  <c r="G48" i="6"/>
  <c r="G54" i="94"/>
  <c r="K54" i="127" s="1"/>
  <c r="M286" i="14"/>
  <c r="M285" i="14" s="1"/>
  <c r="M284" i="14" s="1"/>
  <c r="M307" i="14" s="1"/>
  <c r="C421" i="14"/>
  <c r="M310" i="14"/>
  <c r="M309" i="14" s="1"/>
  <c r="M308" i="14" s="1"/>
  <c r="M345" i="14"/>
  <c r="M336" i="14" l="1"/>
  <c r="C427" i="14"/>
  <c r="N433" i="14"/>
  <c r="E413" i="92"/>
  <c r="E409" i="92"/>
  <c r="E405" i="92"/>
  <c r="M371" i="92"/>
  <c r="M330" i="92"/>
  <c r="M315" i="92"/>
  <c r="M314" i="92"/>
  <c r="M313" i="92"/>
  <c r="M312" i="92"/>
  <c r="E306" i="92"/>
  <c r="E303" i="92"/>
  <c r="E300" i="92"/>
  <c r="E297" i="92"/>
  <c r="E294" i="92"/>
  <c r="E291" i="92"/>
  <c r="E288" i="92"/>
  <c r="I213" i="92"/>
  <c r="M213" i="92" s="1"/>
  <c r="I212" i="92"/>
  <c r="M212" i="92" s="1"/>
  <c r="I210" i="92"/>
  <c r="M210" i="92" s="1"/>
  <c r="M68" i="92"/>
  <c r="M67" i="92"/>
  <c r="M65" i="92"/>
  <c r="M64" i="92"/>
  <c r="O65" i="92" s="1"/>
  <c r="M61" i="92"/>
  <c r="M60" i="92"/>
  <c r="O61" i="92" s="1"/>
  <c r="C61" i="92" s="1"/>
  <c r="M57" i="92"/>
  <c r="M56" i="92"/>
  <c r="M55" i="92"/>
  <c r="M54" i="92"/>
  <c r="M53" i="92"/>
  <c r="O54" i="92" s="1"/>
  <c r="C54" i="92" s="1"/>
  <c r="M50" i="92"/>
  <c r="M49" i="92"/>
  <c r="M48" i="92"/>
  <c r="M47" i="92"/>
  <c r="M46" i="92"/>
  <c r="M45" i="92"/>
  <c r="O46" i="92" s="1"/>
  <c r="C46" i="92" s="1"/>
  <c r="M35" i="92"/>
  <c r="M34" i="92"/>
  <c r="M33" i="92"/>
  <c r="M32" i="92"/>
  <c r="M31" i="92"/>
  <c r="O32" i="92" s="1"/>
  <c r="C32" i="92" s="1"/>
  <c r="M28" i="92"/>
  <c r="M27" i="92"/>
  <c r="M26" i="92"/>
  <c r="M25" i="92"/>
  <c r="M24" i="92"/>
  <c r="O25" i="92" s="1"/>
  <c r="C25" i="92" s="1"/>
  <c r="M21" i="92"/>
  <c r="M20" i="92"/>
  <c r="M19" i="92"/>
  <c r="M18" i="92"/>
  <c r="O19" i="92" s="1"/>
  <c r="C433" i="14" l="1"/>
  <c r="N439" i="14"/>
  <c r="C439" i="14" s="1"/>
  <c r="O26" i="92"/>
  <c r="C26" i="92" s="1"/>
  <c r="O20" i="92"/>
  <c r="C20" i="92" s="1"/>
  <c r="C19" i="92"/>
  <c r="O55" i="92"/>
  <c r="O33" i="92"/>
  <c r="C33" i="92" s="1"/>
  <c r="O47" i="92"/>
  <c r="C47" i="92" s="1"/>
  <c r="C65" i="92"/>
  <c r="O66" i="92"/>
  <c r="M311" i="92"/>
  <c r="E308" i="92"/>
  <c r="O34" i="92" l="1"/>
  <c r="O35" i="92" s="1"/>
  <c r="C35" i="92" s="1"/>
  <c r="O27" i="92"/>
  <c r="C27" i="92" s="1"/>
  <c r="O21" i="92"/>
  <c r="C21" i="92" s="1"/>
  <c r="C66" i="92"/>
  <c r="O67" i="92"/>
  <c r="O48" i="92"/>
  <c r="O56" i="92"/>
  <c r="C55" i="92"/>
  <c r="M323" i="92"/>
  <c r="O28" i="92" l="1"/>
  <c r="C28" i="92" s="1"/>
  <c r="C34" i="92"/>
  <c r="O49" i="92"/>
  <c r="C48" i="92"/>
  <c r="C56" i="92"/>
  <c r="O57" i="92"/>
  <c r="C57" i="92" s="1"/>
  <c r="C67" i="92"/>
  <c r="O68" i="92"/>
  <c r="C68" i="92" s="1"/>
  <c r="C49" i="92" l="1"/>
  <c r="O50" i="92"/>
  <c r="C50" i="92" s="1"/>
  <c r="H80" i="91" l="1"/>
  <c r="G80" i="91"/>
  <c r="F80" i="91"/>
  <c r="E80" i="91"/>
  <c r="H60" i="91"/>
  <c r="G60" i="91"/>
  <c r="F60" i="91"/>
  <c r="E60" i="91"/>
  <c r="H50" i="91"/>
  <c r="G50" i="91"/>
  <c r="F50" i="91"/>
  <c r="E50" i="91"/>
  <c r="D588" i="14"/>
  <c r="D587" i="14"/>
  <c r="D586" i="14"/>
  <c r="D585" i="14"/>
  <c r="D584" i="14"/>
  <c r="D583" i="14"/>
  <c r="D582" i="14"/>
  <c r="D581" i="14"/>
  <c r="D580" i="14"/>
  <c r="D579" i="14"/>
  <c r="D578" i="14"/>
  <c r="D577" i="14"/>
  <c r="D576" i="14"/>
  <c r="D575" i="14"/>
  <c r="D574" i="14"/>
  <c r="D573" i="14"/>
  <c r="D572" i="14"/>
  <c r="D571" i="14"/>
  <c r="D570" i="14"/>
  <c r="H532" i="91"/>
  <c r="G532" i="91"/>
  <c r="F532" i="91"/>
  <c r="E532" i="91"/>
  <c r="H528" i="91"/>
  <c r="G528" i="91"/>
  <c r="F528" i="91"/>
  <c r="E528" i="91"/>
  <c r="H524" i="91"/>
  <c r="G524" i="91"/>
  <c r="F524" i="91"/>
  <c r="E524" i="91"/>
  <c r="H520" i="91"/>
  <c r="G520" i="91"/>
  <c r="F520" i="91"/>
  <c r="E520" i="91"/>
  <c r="H516" i="91"/>
  <c r="G516" i="91"/>
  <c r="F516" i="91"/>
  <c r="E516" i="91"/>
  <c r="C585" i="14"/>
  <c r="C583" i="14"/>
  <c r="C582" i="14"/>
  <c r="C581" i="14"/>
  <c r="C578" i="14"/>
  <c r="C575" i="14"/>
  <c r="C574" i="14"/>
  <c r="H588" i="14"/>
  <c r="G588" i="14"/>
  <c r="F588" i="14"/>
  <c r="E588" i="14"/>
  <c r="H584" i="14"/>
  <c r="G584" i="14"/>
  <c r="F584" i="14"/>
  <c r="E584" i="14"/>
  <c r="H580" i="14"/>
  <c r="G580" i="14"/>
  <c r="F580" i="14"/>
  <c r="E580" i="14"/>
  <c r="H576" i="14"/>
  <c r="G576" i="14"/>
  <c r="F576" i="14"/>
  <c r="E576" i="14"/>
  <c r="H572" i="14"/>
  <c r="G572" i="14"/>
  <c r="F572" i="14"/>
  <c r="E572" i="14"/>
  <c r="C587" i="14"/>
  <c r="C570" i="14"/>
  <c r="C571" i="14"/>
  <c r="C573" i="14"/>
  <c r="C577" i="14"/>
  <c r="C579" i="14"/>
  <c r="C586" i="14"/>
  <c r="C569" i="14"/>
  <c r="H490" i="91"/>
  <c r="G490" i="91"/>
  <c r="F490" i="91"/>
  <c r="E490" i="91"/>
  <c r="H482" i="91"/>
  <c r="G482" i="91"/>
  <c r="F482" i="91"/>
  <c r="E482" i="91"/>
  <c r="E563" i="14"/>
  <c r="D563" i="14"/>
  <c r="E562" i="14"/>
  <c r="D562" i="14"/>
  <c r="E561" i="14"/>
  <c r="D561" i="14"/>
  <c r="E560" i="14"/>
  <c r="D560" i="14"/>
  <c r="E559" i="14"/>
  <c r="D559" i="14"/>
  <c r="E558" i="14"/>
  <c r="D558" i="14"/>
  <c r="E557" i="14"/>
  <c r="D557" i="14"/>
  <c r="E556" i="14"/>
  <c r="D556" i="14"/>
  <c r="E555" i="14"/>
  <c r="D555" i="14"/>
  <c r="E554" i="14"/>
  <c r="D554" i="14"/>
  <c r="E553" i="14"/>
  <c r="D553" i="14"/>
  <c r="E552" i="14"/>
  <c r="D552" i="14"/>
  <c r="C563" i="14"/>
  <c r="C562" i="14"/>
  <c r="C561" i="14"/>
  <c r="C560" i="14"/>
  <c r="C559" i="14"/>
  <c r="C558" i="14"/>
  <c r="C557" i="14"/>
  <c r="C556" i="14"/>
  <c r="C555" i="14"/>
  <c r="C554" i="14"/>
  <c r="C553" i="14"/>
  <c r="C552" i="14"/>
  <c r="F507" i="91"/>
  <c r="E507" i="91"/>
  <c r="H547" i="14"/>
  <c r="G547" i="14"/>
  <c r="F547" i="14"/>
  <c r="E547" i="14"/>
  <c r="H546" i="14"/>
  <c r="G546" i="14"/>
  <c r="F546" i="14"/>
  <c r="E546" i="14"/>
  <c r="H545" i="14"/>
  <c r="G545" i="14"/>
  <c r="F545" i="14"/>
  <c r="E545" i="14"/>
  <c r="H544" i="14"/>
  <c r="G544" i="14"/>
  <c r="F544" i="14"/>
  <c r="E544" i="14"/>
  <c r="H543" i="14"/>
  <c r="G543" i="14"/>
  <c r="F543" i="14"/>
  <c r="E543" i="14"/>
  <c r="H542" i="14"/>
  <c r="G542" i="14"/>
  <c r="F542" i="14"/>
  <c r="E542" i="14"/>
  <c r="H539" i="14"/>
  <c r="G539" i="14"/>
  <c r="F539" i="14"/>
  <c r="E539" i="14"/>
  <c r="H538" i="14"/>
  <c r="G538" i="14"/>
  <c r="F538" i="14"/>
  <c r="E538" i="14"/>
  <c r="H537" i="14"/>
  <c r="G537" i="14"/>
  <c r="F537" i="14"/>
  <c r="E537" i="14"/>
  <c r="H536" i="14"/>
  <c r="G536" i="14"/>
  <c r="F536" i="14"/>
  <c r="E536" i="14"/>
  <c r="H535" i="14"/>
  <c r="G535" i="14"/>
  <c r="F535" i="14"/>
  <c r="E535" i="14"/>
  <c r="H534" i="14"/>
  <c r="G534" i="14"/>
  <c r="F534" i="14"/>
  <c r="E534" i="14"/>
  <c r="H533" i="14"/>
  <c r="G533" i="14"/>
  <c r="F533" i="14"/>
  <c r="E533" i="14"/>
  <c r="H532" i="14"/>
  <c r="G532" i="14"/>
  <c r="F532" i="14"/>
  <c r="E532" i="14"/>
  <c r="H531" i="14"/>
  <c r="G531" i="14"/>
  <c r="F531" i="14"/>
  <c r="E531" i="14"/>
  <c r="H530" i="14"/>
  <c r="G530" i="14"/>
  <c r="F530" i="14"/>
  <c r="E530" i="14"/>
  <c r="D547" i="14"/>
  <c r="D546" i="14"/>
  <c r="D545" i="14"/>
  <c r="D544" i="14"/>
  <c r="D543" i="14"/>
  <c r="D542" i="14"/>
  <c r="D539" i="14"/>
  <c r="D538" i="14"/>
  <c r="D537" i="14"/>
  <c r="D536" i="14"/>
  <c r="D535" i="14"/>
  <c r="D534" i="14"/>
  <c r="D533" i="14"/>
  <c r="D532" i="14"/>
  <c r="D531" i="14"/>
  <c r="D530" i="14"/>
  <c r="C548" i="14"/>
  <c r="C547" i="14"/>
  <c r="C546" i="14"/>
  <c r="C545" i="14"/>
  <c r="C544" i="14"/>
  <c r="C543" i="14"/>
  <c r="C542" i="14"/>
  <c r="C540" i="14"/>
  <c r="C539" i="14"/>
  <c r="C538" i="14"/>
  <c r="C537" i="14"/>
  <c r="C536" i="14"/>
  <c r="C535" i="14"/>
  <c r="C534" i="14"/>
  <c r="F522" i="14"/>
  <c r="E522" i="14"/>
  <c r="F521" i="14"/>
  <c r="E521" i="14"/>
  <c r="F520" i="14"/>
  <c r="E520" i="14"/>
  <c r="F519" i="14"/>
  <c r="E519" i="14"/>
  <c r="F518" i="14"/>
  <c r="E518" i="14"/>
  <c r="F517" i="14"/>
  <c r="E517" i="14"/>
  <c r="F516" i="14"/>
  <c r="E516" i="14"/>
  <c r="F515" i="14"/>
  <c r="E515" i="14"/>
  <c r="F514" i="14"/>
  <c r="E514" i="14"/>
  <c r="F513" i="14"/>
  <c r="E513" i="14"/>
  <c r="D522" i="14"/>
  <c r="D521" i="14"/>
  <c r="D520" i="14"/>
  <c r="D519" i="14"/>
  <c r="D518" i="14"/>
  <c r="D517" i="14"/>
  <c r="D516" i="14"/>
  <c r="D515" i="14"/>
  <c r="D514" i="14"/>
  <c r="D513" i="14"/>
  <c r="C522" i="14"/>
  <c r="C521" i="14"/>
  <c r="C520" i="14"/>
  <c r="C519" i="14"/>
  <c r="C518" i="14"/>
  <c r="C517" i="14"/>
  <c r="C516" i="14"/>
  <c r="C515" i="14"/>
  <c r="C514" i="14"/>
  <c r="C513" i="14"/>
  <c r="M104" i="14"/>
  <c r="M105" i="14" s="1"/>
  <c r="M106" i="14" s="1"/>
  <c r="M107" i="14" s="1"/>
  <c r="M108" i="14" s="1"/>
  <c r="H99" i="14"/>
  <c r="G99" i="14"/>
  <c r="F99" i="14"/>
  <c r="E99" i="14"/>
  <c r="H98" i="14"/>
  <c r="G98" i="14"/>
  <c r="F98" i="14"/>
  <c r="E98" i="14"/>
  <c r="H97" i="14"/>
  <c r="G97" i="14"/>
  <c r="F97" i="14"/>
  <c r="E97" i="14"/>
  <c r="H96" i="14"/>
  <c r="G96" i="14"/>
  <c r="F96" i="14"/>
  <c r="E96" i="14"/>
  <c r="H95" i="14"/>
  <c r="G95" i="14"/>
  <c r="F95" i="14"/>
  <c r="E95" i="14"/>
  <c r="H94" i="14"/>
  <c r="G94" i="14"/>
  <c r="F94" i="14"/>
  <c r="E94" i="14"/>
  <c r="H93" i="14"/>
  <c r="G93" i="14"/>
  <c r="H89" i="14"/>
  <c r="G89" i="14"/>
  <c r="F89" i="14"/>
  <c r="E89" i="14"/>
  <c r="H88" i="14"/>
  <c r="G88" i="14"/>
  <c r="F88" i="14"/>
  <c r="E88" i="14"/>
  <c r="H87" i="14"/>
  <c r="G87" i="14"/>
  <c r="F87" i="14"/>
  <c r="E87" i="14"/>
  <c r="H86" i="14"/>
  <c r="G86" i="14"/>
  <c r="F86" i="14"/>
  <c r="E86" i="14"/>
  <c r="H85" i="14"/>
  <c r="G85" i="14"/>
  <c r="F85" i="14"/>
  <c r="E85" i="14"/>
  <c r="H84" i="14"/>
  <c r="G84" i="14"/>
  <c r="F84" i="14"/>
  <c r="E84" i="14"/>
  <c r="H83" i="14"/>
  <c r="G83" i="14"/>
  <c r="H79" i="14"/>
  <c r="G79" i="14"/>
  <c r="F79" i="14"/>
  <c r="E79" i="14"/>
  <c r="H78" i="14"/>
  <c r="G78" i="14"/>
  <c r="F78" i="14"/>
  <c r="E78" i="14"/>
  <c r="H77" i="14"/>
  <c r="G77" i="14"/>
  <c r="F77" i="14"/>
  <c r="E77" i="14"/>
  <c r="H76" i="14"/>
  <c r="G76" i="14"/>
  <c r="F76" i="14"/>
  <c r="E76" i="14"/>
  <c r="H75" i="14"/>
  <c r="G75" i="14"/>
  <c r="F75" i="14"/>
  <c r="E75" i="14"/>
  <c r="H74" i="14"/>
  <c r="G74" i="14"/>
  <c r="F74" i="14"/>
  <c r="E74" i="14"/>
  <c r="H73" i="14"/>
  <c r="G73" i="14"/>
  <c r="H69" i="14"/>
  <c r="G69" i="14"/>
  <c r="F69" i="14"/>
  <c r="E69" i="14"/>
  <c r="H68" i="14"/>
  <c r="G68" i="14"/>
  <c r="F68" i="14"/>
  <c r="E68" i="14"/>
  <c r="H67" i="14"/>
  <c r="G67" i="14"/>
  <c r="F67" i="14"/>
  <c r="E67" i="14"/>
  <c r="H66" i="14"/>
  <c r="G66" i="14"/>
  <c r="F66" i="14"/>
  <c r="E66" i="14"/>
  <c r="H65" i="14"/>
  <c r="G65" i="14"/>
  <c r="F65" i="14"/>
  <c r="E65" i="14"/>
  <c r="H64" i="14"/>
  <c r="G64" i="14"/>
  <c r="F64" i="14"/>
  <c r="E64" i="14"/>
  <c r="H63" i="14"/>
  <c r="G63" i="14"/>
  <c r="H59" i="14"/>
  <c r="G59" i="14"/>
  <c r="H58" i="14"/>
  <c r="G58" i="14"/>
  <c r="H57" i="14"/>
  <c r="G57" i="14"/>
  <c r="H56" i="14"/>
  <c r="G56" i="14"/>
  <c r="H55" i="14"/>
  <c r="G55" i="14"/>
  <c r="H54" i="14"/>
  <c r="G54" i="14"/>
  <c r="H53" i="14"/>
  <c r="G53" i="14"/>
  <c r="F59" i="14"/>
  <c r="F58" i="14"/>
  <c r="F57" i="14"/>
  <c r="F56" i="14"/>
  <c r="F55" i="14"/>
  <c r="F54" i="14"/>
  <c r="E55" i="14"/>
  <c r="E56" i="14"/>
  <c r="E57" i="14"/>
  <c r="E58" i="14"/>
  <c r="E59" i="14"/>
  <c r="E54" i="14"/>
  <c r="I276" i="14"/>
  <c r="H276" i="14"/>
  <c r="G276" i="14"/>
  <c r="F276" i="14"/>
  <c r="E276" i="14"/>
  <c r="I275" i="14"/>
  <c r="H275" i="14"/>
  <c r="G275" i="14"/>
  <c r="F275" i="14"/>
  <c r="E275" i="14"/>
  <c r="I274" i="14"/>
  <c r="H274" i="14"/>
  <c r="G274" i="14"/>
  <c r="F274" i="14"/>
  <c r="E274" i="14"/>
  <c r="I273" i="14"/>
  <c r="H273" i="14"/>
  <c r="G273" i="14"/>
  <c r="F273" i="14"/>
  <c r="E273" i="14"/>
  <c r="I272" i="14"/>
  <c r="H272" i="14"/>
  <c r="G272" i="14"/>
  <c r="F272" i="14"/>
  <c r="E272" i="14"/>
  <c r="I271" i="14"/>
  <c r="H271" i="14"/>
  <c r="G271" i="14"/>
  <c r="F271" i="14"/>
  <c r="E271" i="14"/>
  <c r="I270" i="14"/>
  <c r="H270" i="14"/>
  <c r="G270" i="14"/>
  <c r="F270" i="14"/>
  <c r="E270" i="14"/>
  <c r="I269" i="14"/>
  <c r="H269" i="14"/>
  <c r="G269" i="14"/>
  <c r="F269" i="14"/>
  <c r="E269" i="14"/>
  <c r="I268" i="14"/>
  <c r="H268" i="14"/>
  <c r="G268" i="14"/>
  <c r="F268" i="14"/>
  <c r="E268" i="14"/>
  <c r="I267" i="14"/>
  <c r="H267" i="14"/>
  <c r="G267" i="14"/>
  <c r="F267" i="14"/>
  <c r="E267" i="14"/>
  <c r="I263" i="14"/>
  <c r="H263" i="14"/>
  <c r="G263" i="14"/>
  <c r="F263" i="14"/>
  <c r="E263" i="14"/>
  <c r="I262" i="14"/>
  <c r="H262" i="14"/>
  <c r="G262" i="14"/>
  <c r="F262" i="14"/>
  <c r="E262" i="14"/>
  <c r="I261" i="14"/>
  <c r="H261" i="14"/>
  <c r="G261" i="14"/>
  <c r="F261" i="14"/>
  <c r="E261" i="14"/>
  <c r="I260" i="14"/>
  <c r="H260" i="14"/>
  <c r="G260" i="14"/>
  <c r="F260" i="14"/>
  <c r="E260" i="14"/>
  <c r="I259" i="14"/>
  <c r="H259" i="14"/>
  <c r="G259" i="14"/>
  <c r="F259" i="14"/>
  <c r="E259" i="14"/>
  <c r="I258" i="14"/>
  <c r="H258" i="14"/>
  <c r="G258" i="14"/>
  <c r="F258" i="14"/>
  <c r="E258" i="14"/>
  <c r="I257" i="14"/>
  <c r="H257" i="14"/>
  <c r="G257" i="14"/>
  <c r="F257" i="14"/>
  <c r="E257" i="14"/>
  <c r="I256" i="14"/>
  <c r="H256" i="14"/>
  <c r="G256" i="14"/>
  <c r="F256" i="14"/>
  <c r="E256" i="14"/>
  <c r="I255" i="14"/>
  <c r="H255" i="14"/>
  <c r="G255" i="14"/>
  <c r="F255" i="14"/>
  <c r="E255" i="14"/>
  <c r="I254" i="14"/>
  <c r="H254" i="14"/>
  <c r="G254" i="14"/>
  <c r="F254" i="14"/>
  <c r="E254" i="14"/>
  <c r="C276" i="14"/>
  <c r="C275" i="14"/>
  <c r="C274" i="14"/>
  <c r="C273" i="14"/>
  <c r="C272" i="14"/>
  <c r="C271" i="14"/>
  <c r="C270" i="14"/>
  <c r="C269" i="14"/>
  <c r="C268" i="14"/>
  <c r="C267" i="14"/>
  <c r="C263" i="14"/>
  <c r="C262" i="14"/>
  <c r="C261" i="14"/>
  <c r="C260" i="14"/>
  <c r="C259" i="14"/>
  <c r="C258" i="14"/>
  <c r="C257" i="14"/>
  <c r="C256" i="14"/>
  <c r="C255" i="14"/>
  <c r="C254" i="14"/>
  <c r="H247" i="14"/>
  <c r="G247" i="14"/>
  <c r="F247" i="14"/>
  <c r="E247" i="14"/>
  <c r="H246" i="14"/>
  <c r="G246" i="14"/>
  <c r="F246" i="14"/>
  <c r="E246" i="14"/>
  <c r="H245" i="14"/>
  <c r="G245" i="14"/>
  <c r="F245" i="14"/>
  <c r="E245" i="14"/>
  <c r="H244" i="14"/>
  <c r="G244" i="14"/>
  <c r="F244" i="14"/>
  <c r="E244" i="14"/>
  <c r="H243" i="14"/>
  <c r="G243" i="14"/>
  <c r="F243" i="14"/>
  <c r="E243" i="14"/>
  <c r="H242" i="14"/>
  <c r="G242" i="14"/>
  <c r="F242" i="14"/>
  <c r="E242" i="14"/>
  <c r="H241" i="14"/>
  <c r="G241" i="14"/>
  <c r="F241" i="14"/>
  <c r="E241" i="14"/>
  <c r="H240" i="14"/>
  <c r="G240" i="14"/>
  <c r="F240" i="14"/>
  <c r="E240" i="14"/>
  <c r="H239" i="14"/>
  <c r="G239" i="14"/>
  <c r="F239" i="14"/>
  <c r="E239" i="14"/>
  <c r="H238" i="14"/>
  <c r="G238" i="14"/>
  <c r="F238" i="14"/>
  <c r="E238" i="14"/>
  <c r="H237" i="14"/>
  <c r="G237" i="14"/>
  <c r="F237" i="14"/>
  <c r="E237" i="14"/>
  <c r="H236" i="14"/>
  <c r="G236" i="14"/>
  <c r="F236" i="14"/>
  <c r="E236" i="14"/>
  <c r="H235" i="14"/>
  <c r="G235" i="14"/>
  <c r="F235" i="14"/>
  <c r="E235" i="14"/>
  <c r="H234" i="14"/>
  <c r="G234" i="14"/>
  <c r="F234" i="14"/>
  <c r="E234" i="14"/>
  <c r="H233" i="14"/>
  <c r="G233" i="14"/>
  <c r="F233" i="14"/>
  <c r="E233" i="14"/>
  <c r="H232" i="14"/>
  <c r="G232" i="14"/>
  <c r="F232" i="14"/>
  <c r="E232" i="14"/>
  <c r="H231" i="14"/>
  <c r="G231" i="14"/>
  <c r="F231" i="14"/>
  <c r="E231" i="14"/>
  <c r="H230" i="14"/>
  <c r="G230" i="14"/>
  <c r="F230" i="14"/>
  <c r="E230" i="14"/>
  <c r="H229" i="14"/>
  <c r="G229" i="14"/>
  <c r="F229" i="14"/>
  <c r="E229" i="14"/>
  <c r="H228" i="14"/>
  <c r="G228" i="14"/>
  <c r="F228" i="14"/>
  <c r="E228" i="14"/>
  <c r="H226" i="14"/>
  <c r="G226" i="14"/>
  <c r="F226" i="14"/>
  <c r="E226" i="14"/>
  <c r="H225" i="14"/>
  <c r="G225" i="14"/>
  <c r="F225" i="14"/>
  <c r="E225" i="14"/>
  <c r="H224" i="14"/>
  <c r="G224" i="14"/>
  <c r="F224" i="14"/>
  <c r="E224" i="14"/>
  <c r="H223" i="14"/>
  <c r="G223" i="14"/>
  <c r="F223" i="14"/>
  <c r="E223" i="14"/>
  <c r="H222" i="14"/>
  <c r="G222" i="14"/>
  <c r="F222" i="14"/>
  <c r="E222" i="14"/>
  <c r="H221" i="14"/>
  <c r="G221" i="14"/>
  <c r="F221" i="14"/>
  <c r="E221" i="14"/>
  <c r="H220" i="14"/>
  <c r="G220" i="14"/>
  <c r="F220" i="14"/>
  <c r="E220" i="14"/>
  <c r="H219" i="14"/>
  <c r="G219" i="14"/>
  <c r="F219" i="14"/>
  <c r="E219" i="14"/>
  <c r="H218" i="14"/>
  <c r="G218" i="14"/>
  <c r="F218" i="14"/>
  <c r="E218" i="14"/>
  <c r="H217" i="14"/>
  <c r="G217" i="14"/>
  <c r="F217" i="14"/>
  <c r="E217" i="14"/>
  <c r="H216" i="14"/>
  <c r="G216" i="14"/>
  <c r="F216" i="14"/>
  <c r="E216" i="14"/>
  <c r="H215" i="14"/>
  <c r="G215" i="14"/>
  <c r="F215" i="14"/>
  <c r="E215" i="14"/>
  <c r="H214" i="14"/>
  <c r="G214" i="14"/>
  <c r="F214" i="14"/>
  <c r="E214" i="14"/>
  <c r="H213" i="14"/>
  <c r="G213" i="14"/>
  <c r="F213" i="14"/>
  <c r="E213" i="14"/>
  <c r="H212" i="14"/>
  <c r="G212" i="14"/>
  <c r="F212" i="14"/>
  <c r="E212" i="14"/>
  <c r="H211" i="14"/>
  <c r="G211" i="14"/>
  <c r="F211" i="14"/>
  <c r="E211" i="14"/>
  <c r="H210" i="14"/>
  <c r="G210" i="14"/>
  <c r="F210" i="14"/>
  <c r="E210" i="14"/>
  <c r="H209" i="14"/>
  <c r="G209" i="14"/>
  <c r="F209" i="14"/>
  <c r="E209" i="14"/>
  <c r="H208" i="14"/>
  <c r="G208" i="14"/>
  <c r="F208" i="14"/>
  <c r="E208" i="14"/>
  <c r="H207" i="14"/>
  <c r="G207" i="14"/>
  <c r="F207" i="14"/>
  <c r="E207" i="14"/>
  <c r="H205" i="14"/>
  <c r="G205" i="14"/>
  <c r="F205" i="14"/>
  <c r="E205" i="14"/>
  <c r="H204" i="14"/>
  <c r="G204" i="14"/>
  <c r="F204" i="14"/>
  <c r="E204" i="14"/>
  <c r="H203" i="14"/>
  <c r="G203" i="14"/>
  <c r="F203" i="14"/>
  <c r="E203" i="14"/>
  <c r="H202" i="14"/>
  <c r="G202" i="14"/>
  <c r="F202" i="14"/>
  <c r="E202" i="14"/>
  <c r="H201" i="14"/>
  <c r="G201" i="14"/>
  <c r="F201" i="14"/>
  <c r="E201" i="14"/>
  <c r="H200" i="14"/>
  <c r="G200" i="14"/>
  <c r="F200" i="14"/>
  <c r="E200" i="14"/>
  <c r="H199" i="14"/>
  <c r="G199" i="14"/>
  <c r="F199" i="14"/>
  <c r="E199" i="14"/>
  <c r="H198" i="14"/>
  <c r="G198" i="14"/>
  <c r="F198" i="14"/>
  <c r="E198" i="14"/>
  <c r="H197" i="14"/>
  <c r="G197" i="14"/>
  <c r="F197" i="14"/>
  <c r="E197" i="14"/>
  <c r="H196" i="14"/>
  <c r="G196" i="14"/>
  <c r="F196" i="14"/>
  <c r="E196" i="14"/>
  <c r="H195" i="14"/>
  <c r="G195" i="14"/>
  <c r="F195" i="14"/>
  <c r="E195" i="14"/>
  <c r="H194" i="14"/>
  <c r="G194" i="14"/>
  <c r="F194" i="14"/>
  <c r="E194" i="14"/>
  <c r="H193" i="14"/>
  <c r="G193" i="14"/>
  <c r="F193" i="14"/>
  <c r="E193" i="14"/>
  <c r="H192" i="14"/>
  <c r="G192" i="14"/>
  <c r="F192" i="14"/>
  <c r="E192" i="14"/>
  <c r="H191" i="14"/>
  <c r="G191" i="14"/>
  <c r="F191" i="14"/>
  <c r="E191" i="14"/>
  <c r="H190" i="14"/>
  <c r="G190" i="14"/>
  <c r="F190" i="14"/>
  <c r="E190" i="14"/>
  <c r="H189" i="14"/>
  <c r="G189" i="14"/>
  <c r="F189" i="14"/>
  <c r="E189" i="14"/>
  <c r="H188" i="14"/>
  <c r="G188" i="14"/>
  <c r="F188" i="14"/>
  <c r="E188" i="14"/>
  <c r="H187" i="14"/>
  <c r="G187" i="14"/>
  <c r="F187" i="14"/>
  <c r="E187" i="14"/>
  <c r="H186" i="14"/>
  <c r="G186" i="14"/>
  <c r="F186" i="14"/>
  <c r="E186" i="14"/>
  <c r="H184" i="14"/>
  <c r="G184" i="14"/>
  <c r="F184" i="14"/>
  <c r="E184" i="14"/>
  <c r="H183" i="14"/>
  <c r="G183" i="14"/>
  <c r="F183" i="14"/>
  <c r="E183" i="14"/>
  <c r="H182" i="14"/>
  <c r="G182" i="14"/>
  <c r="F182" i="14"/>
  <c r="E182" i="14"/>
  <c r="H181" i="14"/>
  <c r="G181" i="14"/>
  <c r="F181" i="14"/>
  <c r="E181" i="14"/>
  <c r="H180" i="14"/>
  <c r="G180" i="14"/>
  <c r="F180" i="14"/>
  <c r="E180" i="14"/>
  <c r="H179" i="14"/>
  <c r="G179" i="14"/>
  <c r="F179" i="14"/>
  <c r="E179" i="14"/>
  <c r="H178" i="14"/>
  <c r="G178" i="14"/>
  <c r="F178" i="14"/>
  <c r="E178" i="14"/>
  <c r="H177" i="14"/>
  <c r="G177" i="14"/>
  <c r="F177" i="14"/>
  <c r="E177" i="14"/>
  <c r="H176" i="14"/>
  <c r="G176" i="14"/>
  <c r="F176" i="14"/>
  <c r="E176" i="14"/>
  <c r="H175" i="14"/>
  <c r="G175" i="14"/>
  <c r="F175" i="14"/>
  <c r="E175" i="14"/>
  <c r="H174" i="14"/>
  <c r="G174" i="14"/>
  <c r="F174" i="14"/>
  <c r="E174" i="14"/>
  <c r="H173" i="14"/>
  <c r="G173" i="14"/>
  <c r="F173" i="14"/>
  <c r="E173" i="14"/>
  <c r="H172" i="14"/>
  <c r="G172" i="14"/>
  <c r="F172" i="14"/>
  <c r="E172" i="14"/>
  <c r="H171" i="14"/>
  <c r="G171" i="14"/>
  <c r="F171" i="14"/>
  <c r="E171" i="14"/>
  <c r="H170" i="14"/>
  <c r="G170" i="14"/>
  <c r="F170" i="14"/>
  <c r="E170" i="14"/>
  <c r="H169" i="14"/>
  <c r="G169" i="14"/>
  <c r="F169" i="14"/>
  <c r="E169" i="14"/>
  <c r="H168" i="14"/>
  <c r="G168" i="14"/>
  <c r="F168" i="14"/>
  <c r="E168" i="14"/>
  <c r="H167" i="14"/>
  <c r="G167" i="14"/>
  <c r="F167" i="14"/>
  <c r="E167" i="14"/>
  <c r="H166" i="14"/>
  <c r="G166" i="14"/>
  <c r="F166" i="14"/>
  <c r="E166" i="14"/>
  <c r="H165" i="14"/>
  <c r="G165" i="14"/>
  <c r="F165" i="14"/>
  <c r="E165" i="14"/>
  <c r="H163" i="14"/>
  <c r="G163" i="14"/>
  <c r="F163" i="14"/>
  <c r="E163" i="14"/>
  <c r="H162" i="14"/>
  <c r="G162" i="14"/>
  <c r="F162" i="14"/>
  <c r="E162" i="14"/>
  <c r="H161" i="14"/>
  <c r="G161" i="14"/>
  <c r="F161" i="14"/>
  <c r="E161" i="14"/>
  <c r="H160" i="14"/>
  <c r="G160" i="14"/>
  <c r="F160" i="14"/>
  <c r="E160" i="14"/>
  <c r="H159" i="14"/>
  <c r="G159" i="14"/>
  <c r="F159" i="14"/>
  <c r="E159" i="14"/>
  <c r="H158" i="14"/>
  <c r="G158" i="14"/>
  <c r="F158" i="14"/>
  <c r="E158" i="14"/>
  <c r="H157" i="14"/>
  <c r="G157" i="14"/>
  <c r="F157" i="14"/>
  <c r="E157" i="14"/>
  <c r="H156" i="14"/>
  <c r="G156" i="14"/>
  <c r="F156" i="14"/>
  <c r="E156" i="14"/>
  <c r="H155" i="14"/>
  <c r="G155" i="14"/>
  <c r="F155" i="14"/>
  <c r="E155" i="14"/>
  <c r="H154" i="14"/>
  <c r="G154" i="14"/>
  <c r="F154" i="14"/>
  <c r="E154" i="14"/>
  <c r="H153" i="14"/>
  <c r="G153" i="14"/>
  <c r="F153" i="14"/>
  <c r="E153" i="14"/>
  <c r="H152" i="14"/>
  <c r="G152" i="14"/>
  <c r="F152" i="14"/>
  <c r="E152" i="14"/>
  <c r="H151" i="14"/>
  <c r="G151" i="14"/>
  <c r="F151" i="14"/>
  <c r="E151" i="14"/>
  <c r="H150" i="14"/>
  <c r="G150" i="14"/>
  <c r="F150" i="14"/>
  <c r="E150" i="14"/>
  <c r="H149" i="14"/>
  <c r="G149" i="14"/>
  <c r="F149" i="14"/>
  <c r="E149" i="14"/>
  <c r="H148" i="14"/>
  <c r="G148" i="14"/>
  <c r="F148" i="14"/>
  <c r="E148" i="14"/>
  <c r="H147" i="14"/>
  <c r="G147" i="14"/>
  <c r="F147" i="14"/>
  <c r="E147" i="14"/>
  <c r="H146" i="14"/>
  <c r="G146" i="14"/>
  <c r="F146" i="14"/>
  <c r="E146" i="14"/>
  <c r="H145" i="14"/>
  <c r="G145" i="14"/>
  <c r="F145" i="14"/>
  <c r="E145" i="14"/>
  <c r="H144" i="14"/>
  <c r="G144" i="14"/>
  <c r="E144" i="14"/>
  <c r="C236" i="14"/>
  <c r="C237" i="14"/>
  <c r="C238" i="14"/>
  <c r="C239" i="14"/>
  <c r="C240" i="14"/>
  <c r="C241" i="14"/>
  <c r="C242" i="14"/>
  <c r="C243" i="14"/>
  <c r="C244" i="14"/>
  <c r="C245" i="14"/>
  <c r="C246" i="14"/>
  <c r="C247" i="14"/>
  <c r="C223" i="14"/>
  <c r="C224" i="14"/>
  <c r="C225" i="14"/>
  <c r="C226" i="14"/>
  <c r="C228" i="14"/>
  <c r="C229" i="14"/>
  <c r="C230" i="14"/>
  <c r="C231" i="14"/>
  <c r="C232" i="14"/>
  <c r="C233" i="14"/>
  <c r="C234" i="14"/>
  <c r="C235" i="14"/>
  <c r="C199" i="14"/>
  <c r="C200" i="14"/>
  <c r="C201" i="14"/>
  <c r="C202" i="14"/>
  <c r="C203" i="14"/>
  <c r="C204" i="14"/>
  <c r="C205" i="14"/>
  <c r="C207" i="14"/>
  <c r="C208" i="14"/>
  <c r="C209" i="14"/>
  <c r="C210" i="14"/>
  <c r="C211" i="14"/>
  <c r="C212" i="14"/>
  <c r="C213" i="14"/>
  <c r="C214" i="14"/>
  <c r="C215" i="14"/>
  <c r="C216" i="14"/>
  <c r="C217" i="14"/>
  <c r="C218" i="14"/>
  <c r="C219" i="14"/>
  <c r="C220" i="14"/>
  <c r="C221" i="14"/>
  <c r="C222" i="14"/>
  <c r="C165" i="14"/>
  <c r="C166" i="14"/>
  <c r="C167" i="14"/>
  <c r="C168" i="14"/>
  <c r="C169" i="14"/>
  <c r="C170" i="14"/>
  <c r="C171" i="14"/>
  <c r="C172" i="14"/>
  <c r="C173" i="14"/>
  <c r="C174" i="14"/>
  <c r="C175" i="14"/>
  <c r="C176" i="14"/>
  <c r="C177" i="14"/>
  <c r="C178" i="14"/>
  <c r="C179" i="14"/>
  <c r="C180" i="14"/>
  <c r="C181" i="14"/>
  <c r="C182" i="14"/>
  <c r="C183" i="14"/>
  <c r="C184" i="14"/>
  <c r="C186" i="14"/>
  <c r="C187" i="14"/>
  <c r="C188" i="14"/>
  <c r="C189" i="14"/>
  <c r="C190" i="14"/>
  <c r="C191" i="14"/>
  <c r="C192" i="14"/>
  <c r="C193" i="14"/>
  <c r="C194" i="14"/>
  <c r="C195" i="14"/>
  <c r="C196" i="14"/>
  <c r="C197" i="14"/>
  <c r="C198" i="14"/>
  <c r="C152" i="14"/>
  <c r="C153" i="14"/>
  <c r="C154" i="14"/>
  <c r="C162" i="14"/>
  <c r="C163" i="14"/>
  <c r="C144" i="14"/>
  <c r="H137" i="14"/>
  <c r="G137" i="14"/>
  <c r="F137" i="14"/>
  <c r="E137" i="14"/>
  <c r="H136" i="14"/>
  <c r="G136" i="14"/>
  <c r="F136" i="14"/>
  <c r="E136" i="14"/>
  <c r="H135" i="14"/>
  <c r="G135" i="14"/>
  <c r="F135" i="14"/>
  <c r="E135" i="14"/>
  <c r="H134" i="14"/>
  <c r="G134" i="14"/>
  <c r="F134" i="14"/>
  <c r="E134" i="14"/>
  <c r="H132" i="14"/>
  <c r="G132" i="14"/>
  <c r="F132" i="14"/>
  <c r="E132" i="14"/>
  <c r="H131" i="14"/>
  <c r="G131" i="14"/>
  <c r="F131" i="14"/>
  <c r="E131" i="14"/>
  <c r="H130" i="14"/>
  <c r="G130" i="14"/>
  <c r="F130" i="14"/>
  <c r="E130" i="14"/>
  <c r="H129" i="14"/>
  <c r="G129" i="14"/>
  <c r="F129" i="14"/>
  <c r="E129" i="14"/>
  <c r="H128" i="14"/>
  <c r="G128" i="14"/>
  <c r="F128" i="14"/>
  <c r="E128" i="14"/>
  <c r="H126" i="14"/>
  <c r="G126" i="14"/>
  <c r="F126" i="14"/>
  <c r="E126" i="14"/>
  <c r="H125" i="14"/>
  <c r="G125" i="14"/>
  <c r="F125" i="14"/>
  <c r="E125" i="14"/>
  <c r="H124" i="14"/>
  <c r="G124" i="14"/>
  <c r="F124" i="14"/>
  <c r="E124" i="14"/>
  <c r="H123" i="14"/>
  <c r="G123" i="14"/>
  <c r="F123" i="14"/>
  <c r="E123" i="14"/>
  <c r="H122" i="14"/>
  <c r="G122" i="14"/>
  <c r="F122" i="14"/>
  <c r="E122" i="14"/>
  <c r="E118" i="14"/>
  <c r="F118" i="14"/>
  <c r="G118" i="14"/>
  <c r="H118" i="14"/>
  <c r="E119" i="14"/>
  <c r="F119" i="14"/>
  <c r="G119" i="14"/>
  <c r="H119" i="14"/>
  <c r="E120" i="14"/>
  <c r="F120" i="14"/>
  <c r="G120" i="14"/>
  <c r="H120" i="14"/>
  <c r="H117" i="14"/>
  <c r="G117" i="14"/>
  <c r="F117" i="14"/>
  <c r="E117" i="14"/>
  <c r="H116" i="14"/>
  <c r="G116" i="14"/>
  <c r="F116" i="14"/>
  <c r="E116" i="14"/>
  <c r="H114" i="14"/>
  <c r="G114" i="14"/>
  <c r="F114" i="14"/>
  <c r="E114" i="14"/>
  <c r="H113" i="14"/>
  <c r="G113" i="14"/>
  <c r="F113" i="14"/>
  <c r="E113" i="14"/>
  <c r="C137" i="14"/>
  <c r="C136" i="14"/>
  <c r="C135" i="14"/>
  <c r="C134" i="14"/>
  <c r="C132" i="14"/>
  <c r="C131" i="14"/>
  <c r="C130" i="14"/>
  <c r="C129" i="14"/>
  <c r="C128" i="14"/>
  <c r="C126" i="14"/>
  <c r="C125" i="14"/>
  <c r="C124" i="14"/>
  <c r="C123" i="14"/>
  <c r="C122" i="14"/>
  <c r="C117" i="14"/>
  <c r="C118" i="14"/>
  <c r="C119" i="14"/>
  <c r="C120" i="14"/>
  <c r="C116" i="14"/>
  <c r="C114" i="14"/>
  <c r="C38" i="91"/>
  <c r="C37" i="14"/>
  <c r="E16" i="14"/>
  <c r="E17" i="14"/>
  <c r="E18" i="14"/>
  <c r="E19" i="14"/>
  <c r="E20" i="14"/>
  <c r="M43" i="14"/>
  <c r="M44" i="14" s="1"/>
  <c r="G17" i="94"/>
  <c r="K17" i="127" s="1"/>
  <c r="M17" i="127" s="1"/>
  <c r="E41" i="14"/>
  <c r="E40" i="14"/>
  <c r="E39" i="14"/>
  <c r="E38" i="14"/>
  <c r="E37" i="14"/>
  <c r="E34" i="14"/>
  <c r="E33" i="14"/>
  <c r="E32" i="14"/>
  <c r="E31" i="14"/>
  <c r="E30" i="14"/>
  <c r="E27" i="14"/>
  <c r="E26" i="14"/>
  <c r="E25" i="14"/>
  <c r="E24" i="14"/>
  <c r="E23" i="14"/>
  <c r="H14" i="14"/>
  <c r="C16" i="14"/>
  <c r="C17" i="14"/>
  <c r="C18" i="14"/>
  <c r="C19" i="14"/>
  <c r="C20" i="14"/>
  <c r="C23" i="14"/>
  <c r="C30" i="14" s="1"/>
  <c r="C24" i="14"/>
  <c r="C31" i="14" s="1"/>
  <c r="C25" i="14"/>
  <c r="C32" i="14" s="1"/>
  <c r="C26" i="14"/>
  <c r="C33" i="14" s="1"/>
  <c r="C27" i="14"/>
  <c r="C34" i="14" s="1"/>
  <c r="C38" i="14"/>
  <c r="C39" i="14"/>
  <c r="C40" i="14"/>
  <c r="C41" i="14"/>
  <c r="F30" i="14"/>
  <c r="H25" i="91"/>
  <c r="F31" i="14" s="1"/>
  <c r="H26" i="91"/>
  <c r="F32" i="14" s="1"/>
  <c r="H27" i="91"/>
  <c r="F33" i="14" s="1"/>
  <c r="H28" i="91"/>
  <c r="F34" i="14" s="1"/>
  <c r="H22" i="91"/>
  <c r="F27" i="14" s="1"/>
  <c r="H21" i="91"/>
  <c r="F26" i="14" s="1"/>
  <c r="H20" i="91"/>
  <c r="F25" i="14" s="1"/>
  <c r="H19" i="91"/>
  <c r="F24" i="14" s="1"/>
  <c r="H18" i="91"/>
  <c r="F23" i="14" s="1"/>
  <c r="H34" i="91"/>
  <c r="F41" i="14" s="1"/>
  <c r="H33" i="91"/>
  <c r="F40" i="14" s="1"/>
  <c r="H32" i="91"/>
  <c r="F39" i="14" s="1"/>
  <c r="H31" i="91"/>
  <c r="F38" i="14" s="1"/>
  <c r="H30" i="91"/>
  <c r="F37" i="14" s="1"/>
  <c r="H16" i="91"/>
  <c r="F20" i="14" s="1"/>
  <c r="H15" i="91"/>
  <c r="F19" i="14" s="1"/>
  <c r="H14" i="91"/>
  <c r="F18" i="14" s="1"/>
  <c r="H13" i="91"/>
  <c r="F17" i="14" s="1"/>
  <c r="F16" i="14"/>
  <c r="C8" i="91"/>
  <c r="M26" i="14" l="1"/>
  <c r="M27" i="14"/>
  <c r="M17" i="14"/>
  <c r="M69" i="14"/>
  <c r="M25" i="14"/>
  <c r="M19" i="14"/>
  <c r="M18" i="14"/>
  <c r="M68" i="14"/>
  <c r="M16" i="14"/>
  <c r="M74" i="14"/>
  <c r="M76" i="14"/>
  <c r="M78" i="14"/>
  <c r="M23" i="14"/>
  <c r="M24" i="14"/>
  <c r="M20" i="14"/>
  <c r="M75" i="14"/>
  <c r="M77" i="14"/>
  <c r="M79" i="14"/>
  <c r="M588" i="14"/>
  <c r="M585" i="14" s="1"/>
  <c r="E533" i="91"/>
  <c r="M145" i="14"/>
  <c r="M254" i="14"/>
  <c r="M113" i="14"/>
  <c r="M144" i="14"/>
  <c r="M267" i="14"/>
  <c r="M535" i="14"/>
  <c r="M538" i="14"/>
  <c r="M546" i="14"/>
  <c r="M532" i="14"/>
  <c r="M552" i="14"/>
  <c r="M558" i="14"/>
  <c r="M572" i="14"/>
  <c r="M569" i="14" s="1"/>
  <c r="M530" i="14"/>
  <c r="M533" i="14"/>
  <c r="M536" i="14"/>
  <c r="M544" i="14"/>
  <c r="M554" i="14"/>
  <c r="M560" i="14"/>
  <c r="M557" i="14"/>
  <c r="M561" i="14"/>
  <c r="M539" i="14"/>
  <c r="M543" i="14"/>
  <c r="M547" i="14"/>
  <c r="M584" i="14"/>
  <c r="M581" i="14" s="1"/>
  <c r="M555" i="14"/>
  <c r="M563" i="14"/>
  <c r="M580" i="14"/>
  <c r="M577" i="14" s="1"/>
  <c r="M576" i="14"/>
  <c r="M573" i="14" s="1"/>
  <c r="M553" i="14"/>
  <c r="M559" i="14"/>
  <c r="M556" i="14"/>
  <c r="M562" i="14"/>
  <c r="M531" i="14"/>
  <c r="M534" i="14"/>
  <c r="M537" i="14"/>
  <c r="M542" i="14"/>
  <c r="M545" i="14"/>
  <c r="M517" i="14"/>
  <c r="M518" i="14"/>
  <c r="F533" i="91"/>
  <c r="G533" i="91"/>
  <c r="H533" i="91"/>
  <c r="M514" i="14"/>
  <c r="M513" i="14"/>
  <c r="M519" i="14"/>
  <c r="M516" i="14"/>
  <c r="M522" i="14"/>
  <c r="M520" i="14"/>
  <c r="M515" i="14"/>
  <c r="M521" i="14"/>
  <c r="F589" i="14"/>
  <c r="E589" i="14"/>
  <c r="H589" i="14"/>
  <c r="G589" i="14"/>
  <c r="D564" i="14"/>
  <c r="E564" i="14"/>
  <c r="E548" i="14"/>
  <c r="F540" i="14"/>
  <c r="F548" i="14"/>
  <c r="G548" i="14"/>
  <c r="H540" i="14"/>
  <c r="H548" i="14"/>
  <c r="G540" i="14"/>
  <c r="E540" i="14"/>
  <c r="M102" i="14"/>
  <c r="E523" i="14"/>
  <c r="F523" i="14"/>
  <c r="M55" i="14"/>
  <c r="M59" i="14"/>
  <c r="M65" i="14"/>
  <c r="M87" i="14"/>
  <c r="M84" i="14"/>
  <c r="M94" i="14"/>
  <c r="M85" i="14"/>
  <c r="M58" i="14"/>
  <c r="M57" i="14"/>
  <c r="M96" i="14"/>
  <c r="M99" i="14"/>
  <c r="M97" i="14"/>
  <c r="H60" i="14"/>
  <c r="F53" i="14" s="1"/>
  <c r="F60" i="14" s="1"/>
  <c r="M66" i="14"/>
  <c r="M88" i="14"/>
  <c r="M95" i="14"/>
  <c r="M98" i="14"/>
  <c r="G60" i="14"/>
  <c r="E53" i="14" s="1"/>
  <c r="H70" i="14"/>
  <c r="F63" i="14" s="1"/>
  <c r="F70" i="14" s="1"/>
  <c r="M54" i="14"/>
  <c r="M56" i="14"/>
  <c r="M64" i="14"/>
  <c r="M67" i="14"/>
  <c r="G80" i="14"/>
  <c r="E73" i="14" s="1"/>
  <c r="M86" i="14"/>
  <c r="M89" i="14"/>
  <c r="H80" i="14"/>
  <c r="F73" i="14" s="1"/>
  <c r="F80" i="14" s="1"/>
  <c r="G70" i="14"/>
  <c r="E63" i="14" s="1"/>
  <c r="H90" i="14"/>
  <c r="F83" i="14" s="1"/>
  <c r="F90" i="14" s="1"/>
  <c r="H100" i="14"/>
  <c r="F93" i="14" s="1"/>
  <c r="F100" i="14" s="1"/>
  <c r="G90" i="14"/>
  <c r="E83" i="14" s="1"/>
  <c r="G100" i="14"/>
  <c r="E93" i="14" s="1"/>
  <c r="M255" i="14"/>
  <c r="M270" i="14"/>
  <c r="M260" i="14"/>
  <c r="M275" i="14"/>
  <c r="M276" i="14"/>
  <c r="M269" i="14"/>
  <c r="M262" i="14"/>
  <c r="M272" i="14"/>
  <c r="M274" i="14"/>
  <c r="M268" i="14"/>
  <c r="M258" i="14"/>
  <c r="M273" i="14"/>
  <c r="M263" i="14"/>
  <c r="M256" i="14"/>
  <c r="M271" i="14"/>
  <c r="M259" i="14"/>
  <c r="M261" i="14"/>
  <c r="M257" i="14"/>
  <c r="M216" i="14"/>
  <c r="M146" i="14"/>
  <c r="M149" i="14"/>
  <c r="M152" i="14"/>
  <c r="M155" i="14"/>
  <c r="M158" i="14"/>
  <c r="M161" i="14"/>
  <c r="M165" i="14"/>
  <c r="M168" i="14"/>
  <c r="M171" i="14"/>
  <c r="M174" i="14"/>
  <c r="M177" i="14"/>
  <c r="M180" i="14"/>
  <c r="M183" i="14"/>
  <c r="M187" i="14"/>
  <c r="M190" i="14"/>
  <c r="M193" i="14"/>
  <c r="M196" i="14"/>
  <c r="M199" i="14"/>
  <c r="M202" i="14"/>
  <c r="M205" i="14"/>
  <c r="M209" i="14"/>
  <c r="M212" i="14"/>
  <c r="M215" i="14"/>
  <c r="M218" i="14"/>
  <c r="M221" i="14"/>
  <c r="M224" i="14"/>
  <c r="M234" i="14"/>
  <c r="M246" i="14"/>
  <c r="M159" i="14"/>
  <c r="M147" i="14"/>
  <c r="M150" i="14"/>
  <c r="M153" i="14"/>
  <c r="M156" i="14"/>
  <c r="M162" i="14"/>
  <c r="M166" i="14"/>
  <c r="M169" i="14"/>
  <c r="M172" i="14"/>
  <c r="M175" i="14"/>
  <c r="M178" i="14"/>
  <c r="M181" i="14"/>
  <c r="M184" i="14"/>
  <c r="M188" i="14"/>
  <c r="M191" i="14"/>
  <c r="M194" i="14"/>
  <c r="M197" i="14"/>
  <c r="M200" i="14"/>
  <c r="M203" i="14"/>
  <c r="M207" i="14"/>
  <c r="M210" i="14"/>
  <c r="M213" i="14"/>
  <c r="M219" i="14"/>
  <c r="M222" i="14"/>
  <c r="M225" i="14"/>
  <c r="M229" i="14"/>
  <c r="M232" i="14"/>
  <c r="M235" i="14"/>
  <c r="M238" i="14"/>
  <c r="M241" i="14"/>
  <c r="M244" i="14"/>
  <c r="M247" i="14"/>
  <c r="M173" i="14"/>
  <c r="M208" i="14"/>
  <c r="M148" i="14"/>
  <c r="M151" i="14"/>
  <c r="M154" i="14"/>
  <c r="M157" i="14"/>
  <c r="M160" i="14"/>
  <c r="M163" i="14"/>
  <c r="M167" i="14"/>
  <c r="M170" i="14"/>
  <c r="M176" i="14"/>
  <c r="M179" i="14"/>
  <c r="M182" i="14"/>
  <c r="M186" i="14"/>
  <c r="M189" i="14"/>
  <c r="M192" i="14"/>
  <c r="M195" i="14"/>
  <c r="M198" i="14"/>
  <c r="M201" i="14"/>
  <c r="M204" i="14"/>
  <c r="M211" i="14"/>
  <c r="M214" i="14"/>
  <c r="M217" i="14"/>
  <c r="M220" i="14"/>
  <c r="M223" i="14"/>
  <c r="M226" i="14"/>
  <c r="M230" i="14"/>
  <c r="M233" i="14"/>
  <c r="M236" i="14"/>
  <c r="M239" i="14"/>
  <c r="M242" i="14"/>
  <c r="M245" i="14"/>
  <c r="M228" i="14"/>
  <c r="M237" i="14"/>
  <c r="M240" i="14"/>
  <c r="M231" i="14"/>
  <c r="M243" i="14"/>
  <c r="C151" i="14"/>
  <c r="C150" i="14"/>
  <c r="C158" i="14"/>
  <c r="C146" i="14"/>
  <c r="C157" i="14"/>
  <c r="C145" i="14"/>
  <c r="C161" i="14"/>
  <c r="C149" i="14"/>
  <c r="C160" i="14"/>
  <c r="C148" i="14"/>
  <c r="C159" i="14"/>
  <c r="C147" i="14"/>
  <c r="C156" i="14"/>
  <c r="C155" i="14"/>
  <c r="M137" i="14"/>
  <c r="M123" i="14"/>
  <c r="M125" i="14"/>
  <c r="M117" i="14"/>
  <c r="M124" i="14"/>
  <c r="M128" i="14"/>
  <c r="M131" i="14"/>
  <c r="M135" i="14"/>
  <c r="M114" i="14"/>
  <c r="M122" i="14"/>
  <c r="M129" i="14"/>
  <c r="M132" i="14"/>
  <c r="M136" i="14"/>
  <c r="M120" i="14"/>
  <c r="M119" i="14"/>
  <c r="M126" i="14"/>
  <c r="M130" i="14"/>
  <c r="M134" i="14"/>
  <c r="M118" i="14"/>
  <c r="M116" i="14"/>
  <c r="M33" i="14"/>
  <c r="M32" i="14"/>
  <c r="M37" i="14"/>
  <c r="M39" i="14"/>
  <c r="M41" i="14"/>
  <c r="M42" i="14" s="1"/>
  <c r="M40" i="14"/>
  <c r="F45" i="14"/>
  <c r="F17" i="94" s="1"/>
  <c r="E45" i="14"/>
  <c r="M31" i="14"/>
  <c r="M34" i="14"/>
  <c r="M30" i="14"/>
  <c r="M38" i="14"/>
  <c r="I17" i="94" l="1"/>
  <c r="M15" i="14"/>
  <c r="M21" i="14" s="1"/>
  <c r="M22" i="14"/>
  <c r="M28" i="14" s="1"/>
  <c r="E80" i="14"/>
  <c r="M80" i="14" s="1"/>
  <c r="M72" i="14" s="1"/>
  <c r="M73" i="14"/>
  <c r="M29" i="14"/>
  <c r="M35" i="14" s="1"/>
  <c r="M253" i="14"/>
  <c r="M252" i="14" s="1"/>
  <c r="M251" i="14" s="1"/>
  <c r="M250" i="14" s="1"/>
  <c r="M249" i="14" s="1"/>
  <c r="M589" i="14"/>
  <c r="M568" i="14" s="1"/>
  <c r="M567" i="14" s="1"/>
  <c r="M566" i="14" s="1"/>
  <c r="M564" i="14"/>
  <c r="M551" i="14" s="1"/>
  <c r="M540" i="14"/>
  <c r="M529" i="14" s="1"/>
  <c r="M548" i="14"/>
  <c r="M541" i="14" s="1"/>
  <c r="M523" i="14"/>
  <c r="M133" i="14"/>
  <c r="M53" i="14"/>
  <c r="E60" i="14"/>
  <c r="E100" i="14"/>
  <c r="M100" i="14" s="1"/>
  <c r="M92" i="14" s="1"/>
  <c r="M93" i="14"/>
  <c r="E90" i="14"/>
  <c r="M90" i="14" s="1"/>
  <c r="M82" i="14" s="1"/>
  <c r="M83" i="14"/>
  <c r="E70" i="14"/>
  <c r="M63" i="14"/>
  <c r="M266" i="14"/>
  <c r="M265" i="14" s="1"/>
  <c r="M185" i="14"/>
  <c r="M143" i="14"/>
  <c r="M227" i="14"/>
  <c r="M164" i="14"/>
  <c r="M206" i="14"/>
  <c r="M121" i="14"/>
  <c r="M127" i="14"/>
  <c r="M115" i="14"/>
  <c r="M36" i="14"/>
  <c r="M45" i="14"/>
  <c r="M71" i="14" l="1"/>
  <c r="C15" i="14"/>
  <c r="C22" i="14" s="1"/>
  <c r="C29" i="14" s="1"/>
  <c r="C36" i="14" s="1"/>
  <c r="C43" i="14" s="1"/>
  <c r="M70" i="14"/>
  <c r="M62" i="14" s="1"/>
  <c r="M61" i="14" s="1"/>
  <c r="M47" i="14"/>
  <c r="M46" i="14" s="1"/>
  <c r="M13" i="14"/>
  <c r="M11" i="14"/>
  <c r="M12" i="14"/>
  <c r="M101" i="14" s="1"/>
  <c r="M14" i="14"/>
  <c r="M512" i="14"/>
  <c r="M524" i="14"/>
  <c r="M264" i="14"/>
  <c r="M112" i="14"/>
  <c r="M111" i="14" s="1"/>
  <c r="M110" i="14" s="1"/>
  <c r="M60" i="14"/>
  <c r="M52" i="14" s="1"/>
  <c r="M528" i="14"/>
  <c r="M549" i="14" s="1"/>
  <c r="M550" i="14"/>
  <c r="M565" i="14"/>
  <c r="M81" i="14"/>
  <c r="M91" i="14"/>
  <c r="M142" i="14"/>
  <c r="M48" i="14" l="1"/>
  <c r="M510" i="14"/>
  <c r="M511" i="14" s="1"/>
  <c r="M51" i="14"/>
  <c r="M50" i="14" s="1"/>
  <c r="M527" i="14"/>
  <c r="M526" i="14" s="1"/>
  <c r="M139" i="14"/>
  <c r="M141" i="14"/>
  <c r="M140" i="14" s="1"/>
  <c r="M248" i="14"/>
  <c r="M49" i="14" l="1"/>
  <c r="N102" i="14" s="1"/>
  <c r="C102" i="14" s="1"/>
  <c r="C92" i="91" s="1"/>
  <c r="N525" i="14"/>
  <c r="N110" i="14" l="1"/>
  <c r="N140" i="14" s="1"/>
  <c r="N250" i="14" s="1"/>
  <c r="N278" i="14" s="1"/>
  <c r="N284" i="14" s="1"/>
  <c r="N308" i="14" s="1"/>
  <c r="N337" i="14" s="1"/>
  <c r="N526" i="14"/>
  <c r="C525" i="14"/>
  <c r="G35" i="94"/>
  <c r="K35" i="127" l="1"/>
  <c r="G54" i="6" s="1"/>
  <c r="C110" i="14"/>
  <c r="C526" i="14"/>
  <c r="N550" i="14"/>
  <c r="C140" i="14"/>
  <c r="C131" i="91" s="1"/>
  <c r="F54" i="87"/>
  <c r="M35" i="127" l="1"/>
  <c r="C550" i="14"/>
  <c r="C492" i="91" s="1"/>
  <c r="N566" i="14"/>
  <c r="C566" i="14" s="1"/>
  <c r="C509" i="91" s="1"/>
  <c r="C250" i="14"/>
  <c r="C242" i="91" s="1"/>
  <c r="H623" i="14"/>
  <c r="F602" i="14"/>
  <c r="H504" i="14"/>
  <c r="F604" i="14"/>
  <c r="G484" i="14"/>
  <c r="G488" i="14"/>
  <c r="F599" i="14"/>
  <c r="H621" i="14"/>
  <c r="G504" i="14"/>
  <c r="G471" i="14"/>
  <c r="F597" i="14"/>
  <c r="G481" i="14"/>
  <c r="H493" i="14"/>
  <c r="G621" i="14"/>
  <c r="H500" i="14"/>
  <c r="H488" i="14"/>
  <c r="G624" i="14"/>
  <c r="G493" i="14"/>
  <c r="G472" i="14"/>
  <c r="G497" i="14"/>
  <c r="F596" i="14"/>
  <c r="G480" i="14"/>
  <c r="G485" i="14"/>
  <c r="F598" i="14"/>
  <c r="H492" i="14"/>
  <c r="H481" i="14"/>
  <c r="G492" i="14"/>
  <c r="H501" i="14"/>
  <c r="H622" i="14"/>
  <c r="G620" i="14"/>
  <c r="G505" i="14"/>
  <c r="G489" i="14"/>
  <c r="F601" i="14"/>
  <c r="G623" i="14"/>
  <c r="F600" i="14"/>
  <c r="G496" i="14"/>
  <c r="H480" i="14"/>
  <c r="G33" i="94"/>
  <c r="F603" i="14"/>
  <c r="H624" i="14"/>
  <c r="G622" i="14"/>
  <c r="H505" i="14"/>
  <c r="H489" i="14"/>
  <c r="K33" i="127" l="1"/>
  <c r="G53" i="6" s="1"/>
  <c r="F81" i="96"/>
  <c r="C278" i="14"/>
  <c r="H506" i="14"/>
  <c r="G490" i="14"/>
  <c r="G486" i="14"/>
  <c r="H478" i="14"/>
  <c r="G478" i="14"/>
  <c r="G473" i="14"/>
  <c r="G506" i="14"/>
  <c r="G494" i="14"/>
  <c r="G482" i="14"/>
  <c r="H490" i="14"/>
  <c r="H494" i="14"/>
  <c r="H502" i="14"/>
  <c r="F650" i="14"/>
  <c r="H625" i="14"/>
  <c r="G498" i="14"/>
  <c r="F606" i="14"/>
  <c r="G26" i="94" s="1"/>
  <c r="G632" i="14"/>
  <c r="H632" i="14"/>
  <c r="G625" i="14"/>
  <c r="H482" i="14"/>
  <c r="M33" i="127" l="1"/>
  <c r="G55" i="6"/>
  <c r="K26" i="127"/>
  <c r="C284" i="14"/>
  <c r="C276" i="91" s="1"/>
  <c r="G508" i="14"/>
  <c r="G24" i="94" s="1"/>
  <c r="K24" i="127" s="1"/>
  <c r="G634" i="14"/>
  <c r="G27" i="94" s="1"/>
  <c r="K27" i="127" s="1"/>
  <c r="H634" i="14"/>
  <c r="H508" i="14"/>
  <c r="G31" i="94" s="1"/>
  <c r="K31" i="127" s="1"/>
  <c r="G36" i="94" l="1"/>
  <c r="K36" i="127" s="1"/>
  <c r="G28" i="94"/>
  <c r="K28" i="127" s="1"/>
  <c r="G56" i="6" l="1"/>
  <c r="M36" i="127"/>
  <c r="G37" i="94"/>
  <c r="M667" i="14"/>
  <c r="M642" i="14"/>
  <c r="B12" i="81"/>
  <c r="B13" i="81" s="1"/>
  <c r="B14" i="81" s="1"/>
  <c r="B15" i="81" s="1"/>
  <c r="B16" i="81" s="1"/>
  <c r="K37" i="127" l="1"/>
  <c r="I228" i="31"/>
  <c r="I229" i="31"/>
  <c r="I230" i="31"/>
  <c r="I237" i="31"/>
  <c r="I238" i="31" s="1"/>
  <c r="I211" i="31"/>
  <c r="I212" i="31"/>
  <c r="I213" i="31"/>
  <c r="I214" i="31"/>
  <c r="I210" i="31"/>
  <c r="I182" i="31"/>
  <c r="I184" i="31"/>
  <c r="I185" i="31"/>
  <c r="I186" i="31"/>
  <c r="I187" i="31"/>
  <c r="I188" i="31"/>
  <c r="I189" i="31"/>
  <c r="I196" i="31"/>
  <c r="I167" i="31"/>
  <c r="I150" i="31" s="1"/>
  <c r="I153" i="31"/>
  <c r="I154" i="31"/>
  <c r="I155" i="31"/>
  <c r="I152" i="31"/>
  <c r="I137" i="31"/>
  <c r="I136" i="31"/>
  <c r="I130" i="31"/>
  <c r="I131" i="31"/>
  <c r="I132" i="31"/>
  <c r="I133" i="31"/>
  <c r="I134" i="31"/>
  <c r="I135" i="31"/>
  <c r="I70" i="31"/>
  <c r="I71" i="31"/>
  <c r="I69" i="31"/>
  <c r="I58" i="31"/>
  <c r="I59" i="31"/>
  <c r="I60" i="31"/>
  <c r="I57" i="31"/>
  <c r="I47" i="31"/>
  <c r="I44" i="31"/>
  <c r="I45" i="31"/>
  <c r="I46" i="31"/>
  <c r="I37" i="31"/>
  <c r="I35" i="31"/>
  <c r="I36" i="31"/>
  <c r="I34" i="31"/>
  <c r="G32" i="87"/>
  <c r="F36" i="87"/>
  <c r="G36" i="87"/>
  <c r="I348" i="31"/>
  <c r="I346" i="31" s="1"/>
  <c r="I179" i="31"/>
  <c r="E215" i="31"/>
  <c r="I234" i="31"/>
  <c r="I235" i="31"/>
  <c r="I236" i="31"/>
  <c r="G58" i="87"/>
  <c r="G54" i="87"/>
  <c r="G23" i="87"/>
  <c r="G22" i="87"/>
  <c r="C13" i="84"/>
  <c r="C13" i="80"/>
  <c r="E118" i="93" s="1"/>
  <c r="C15" i="80"/>
  <c r="G1041" i="107" l="1"/>
  <c r="H197" i="105" s="1"/>
  <c r="G1039" i="107"/>
  <c r="H195" i="105" s="1"/>
  <c r="I215" i="31"/>
  <c r="I209" i="31" s="1"/>
  <c r="F22" i="87"/>
  <c r="J22" i="87" s="1"/>
  <c r="V16" i="93"/>
  <c r="N51" i="93"/>
  <c r="V51" i="93"/>
  <c r="W51" i="93"/>
  <c r="N16" i="93"/>
  <c r="W16" i="93"/>
  <c r="D91" i="92"/>
  <c r="C881" i="107"/>
  <c r="D57" i="105" s="1"/>
  <c r="C933" i="91"/>
  <c r="C349" i="92" s="1"/>
  <c r="C915" i="107"/>
  <c r="D94" i="105" s="1"/>
  <c r="E701" i="91"/>
  <c r="E226" i="31" s="1"/>
  <c r="E636" i="91"/>
  <c r="E591" i="91"/>
  <c r="E127" i="31" s="1"/>
  <c r="E111" i="31"/>
  <c r="E719" i="91"/>
  <c r="E370" i="31" s="1"/>
  <c r="E691" i="91"/>
  <c r="E209" i="31" s="1"/>
  <c r="E151" i="31"/>
  <c r="E615" i="91"/>
  <c r="E738" i="91"/>
  <c r="D917" i="91"/>
  <c r="D906" i="91"/>
  <c r="D866" i="91"/>
  <c r="C756" i="91"/>
  <c r="I345" i="31"/>
  <c r="E13" i="6"/>
  <c r="D371" i="107"/>
  <c r="D39" i="100" s="1"/>
  <c r="E1265" i="107"/>
  <c r="E159" i="96" s="1"/>
  <c r="E1138" i="107"/>
  <c r="E35" i="96" s="1"/>
  <c r="E1312" i="107"/>
  <c r="E207" i="96" s="1"/>
  <c r="E1246" i="107"/>
  <c r="E141" i="96" s="1"/>
  <c r="F371" i="107"/>
  <c r="F39" i="100" s="1"/>
  <c r="E1281" i="107"/>
  <c r="E176" i="96" s="1"/>
  <c r="D103" i="98"/>
  <c r="D458" i="107"/>
  <c r="D114" i="97" s="1"/>
  <c r="E1185" i="107"/>
  <c r="E80" i="96" s="1"/>
  <c r="E1329" i="107"/>
  <c r="E224" i="96" s="1"/>
  <c r="D33" i="107"/>
  <c r="E790" i="107"/>
  <c r="D70" i="103" s="1"/>
  <c r="D8" i="107"/>
  <c r="D230" i="107"/>
  <c r="D94" i="97" s="1"/>
  <c r="D59" i="107"/>
  <c r="D66" i="97" s="1"/>
  <c r="D721" i="107"/>
  <c r="C32" i="102" s="1"/>
  <c r="D539" i="107"/>
  <c r="D194" i="97" s="1"/>
  <c r="D563" i="107"/>
  <c r="D593" i="107"/>
  <c r="D219" i="97" s="1"/>
  <c r="D647" i="107"/>
  <c r="D271" i="97" s="1"/>
  <c r="D15" i="106"/>
  <c r="D180" i="92"/>
  <c r="D120" i="92"/>
  <c r="D225" i="92"/>
  <c r="D266" i="92"/>
  <c r="D15" i="97"/>
  <c r="D40" i="97"/>
  <c r="E178" i="31"/>
  <c r="E468" i="14"/>
  <c r="F343" i="91"/>
  <c r="C11" i="6"/>
  <c r="C11" i="87"/>
  <c r="E390" i="31"/>
  <c r="F13" i="87"/>
  <c r="E287" i="31"/>
  <c r="C11" i="94"/>
  <c r="D399" i="92"/>
  <c r="D311" i="92"/>
  <c r="E645" i="14"/>
  <c r="F279" i="91"/>
  <c r="F13" i="94"/>
  <c r="E309" i="14"/>
  <c r="E286" i="14"/>
  <c r="E338" i="14"/>
  <c r="F333" i="91"/>
  <c r="D13" i="92"/>
  <c r="D333" i="92"/>
  <c r="D374" i="92"/>
  <c r="D284" i="92"/>
  <c r="E469" i="91"/>
  <c r="E50" i="14"/>
  <c r="E40" i="91"/>
  <c r="E252" i="14"/>
  <c r="E511" i="91"/>
  <c r="E452" i="91"/>
  <c r="E111" i="14"/>
  <c r="E141" i="14"/>
  <c r="E13" i="14"/>
  <c r="E494" i="91"/>
  <c r="G10" i="91"/>
  <c r="F244" i="91"/>
  <c r="E567" i="14"/>
  <c r="E677" i="14"/>
  <c r="E595" i="14"/>
  <c r="E617" i="14"/>
  <c r="D551" i="14"/>
  <c r="C652" i="14"/>
  <c r="E527" i="14"/>
  <c r="E512" i="14"/>
  <c r="E250" i="31"/>
  <c r="E346" i="31"/>
  <c r="E267" i="31"/>
  <c r="I168" i="31"/>
  <c r="I233" i="31"/>
  <c r="I227" i="31"/>
  <c r="I239" i="31"/>
  <c r="I231" i="31"/>
  <c r="I232" i="31" s="1"/>
  <c r="I148" i="31"/>
  <c r="I149" i="31" s="1"/>
  <c r="I151" i="31"/>
  <c r="I126" i="31"/>
  <c r="I127" i="31"/>
  <c r="I68" i="31"/>
  <c r="I43" i="31"/>
  <c r="I67" i="31"/>
  <c r="I42" i="31"/>
  <c r="I79" i="31"/>
  <c r="I80" i="31" s="1"/>
  <c r="I56" i="31"/>
  <c r="I53" i="31"/>
  <c r="I54" i="31" s="1"/>
  <c r="I33" i="31"/>
  <c r="I368" i="31"/>
  <c r="I367" i="31" s="1"/>
  <c r="I387" i="31"/>
  <c r="G60" i="87"/>
  <c r="E91" i="31"/>
  <c r="E13" i="31"/>
  <c r="F32" i="87"/>
  <c r="D25" i="99" s="1"/>
  <c r="F1039" i="107" l="1"/>
  <c r="G25" i="99"/>
  <c r="D29" i="99"/>
  <c r="I208" i="31"/>
  <c r="I207" i="31"/>
  <c r="I223" i="31" s="1"/>
  <c r="I226" i="31"/>
  <c r="I225" i="31"/>
  <c r="I224" i="31"/>
  <c r="I240" i="31" s="1"/>
  <c r="I347" i="31"/>
  <c r="I32" i="31"/>
  <c r="I31" i="31" s="1"/>
  <c r="I55" i="31"/>
  <c r="I369" i="31"/>
  <c r="G29" i="99" l="1"/>
  <c r="T29" i="99" s="1"/>
  <c r="I61" i="87"/>
  <c r="I59" i="87"/>
  <c r="F58" i="87"/>
  <c r="I57" i="87"/>
  <c r="D57" i="87" s="1"/>
  <c r="I56" i="87"/>
  <c r="I53" i="87"/>
  <c r="I52" i="87"/>
  <c r="Q11" i="97" s="1"/>
  <c r="I45" i="87"/>
  <c r="I44" i="87" s="1"/>
  <c r="I46" i="87"/>
  <c r="I43" i="87"/>
  <c r="I42" i="87"/>
  <c r="D42" i="87" s="1"/>
  <c r="I41" i="87"/>
  <c r="D41" i="87" s="1"/>
  <c r="I36" i="87"/>
  <c r="I32" i="87"/>
  <c r="I23" i="87"/>
  <c r="D43" i="87" l="1"/>
  <c r="D44" i="87"/>
  <c r="I58" i="87"/>
  <c r="F60" i="87"/>
  <c r="I60" i="87" s="1"/>
  <c r="I33" i="87"/>
  <c r="I35" i="87"/>
  <c r="I54" i="87"/>
  <c r="D45" i="87"/>
  <c r="I40" i="87"/>
  <c r="I30" i="87"/>
  <c r="I31" i="87"/>
  <c r="I37" i="87"/>
  <c r="I55" i="87"/>
  <c r="I51" i="87"/>
  <c r="I34" i="87"/>
  <c r="I50" i="87" l="1"/>
  <c r="I14" i="87" l="1"/>
  <c r="I48" i="87"/>
  <c r="C50" i="87"/>
  <c r="C62" i="87" s="1"/>
  <c r="I49" i="87"/>
  <c r="I62" i="87"/>
  <c r="I63" i="87" s="1"/>
  <c r="T9" i="81" l="1"/>
  <c r="S9" i="81"/>
  <c r="T8" i="81"/>
  <c r="S8" i="81"/>
  <c r="C12" i="84"/>
  <c r="C11" i="84"/>
  <c r="C10" i="84"/>
  <c r="C9" i="84"/>
  <c r="C8" i="84"/>
  <c r="C7" i="84"/>
  <c r="N9" i="85"/>
  <c r="G9" i="85"/>
  <c r="G237" i="81" l="1"/>
  <c r="J237" i="81" s="1"/>
  <c r="G285" i="81"/>
  <c r="J285" i="81" s="1"/>
  <c r="D388" i="92" s="1"/>
  <c r="M388" i="92" s="1"/>
  <c r="G26" i="81"/>
  <c r="J26" i="81" s="1"/>
  <c r="G178" i="81"/>
  <c r="J178" i="81" s="1"/>
  <c r="D39" i="92" s="1"/>
  <c r="G166" i="81"/>
  <c r="G218" i="81"/>
  <c r="G270" i="81"/>
  <c r="J270" i="81" s="1"/>
  <c r="G23" i="81"/>
  <c r="J23" i="81" s="1"/>
  <c r="G55" i="81"/>
  <c r="J55" i="81" s="1"/>
  <c r="G71" i="81"/>
  <c r="J71" i="81" s="1"/>
  <c r="E320" i="31" s="1"/>
  <c r="G103" i="81"/>
  <c r="J103" i="81" s="1"/>
  <c r="F480" i="14" s="1"/>
  <c r="G135" i="81"/>
  <c r="J135" i="81" s="1"/>
  <c r="E623" i="14" s="1"/>
  <c r="G167" i="81"/>
  <c r="G199" i="81"/>
  <c r="J199" i="81" s="1"/>
  <c r="E134" i="92" s="1"/>
  <c r="G247" i="81"/>
  <c r="J247" i="81" s="1"/>
  <c r="D243" i="92" s="1"/>
  <c r="G295" i="81"/>
  <c r="J295" i="81" s="1"/>
  <c r="G94" i="81"/>
  <c r="J94" i="81" s="1"/>
  <c r="G36" i="81"/>
  <c r="J36" i="81" s="1"/>
  <c r="G68" i="81"/>
  <c r="J68" i="81" s="1"/>
  <c r="E317" i="31" s="1"/>
  <c r="G132" i="81"/>
  <c r="J132" i="81" s="1"/>
  <c r="E620" i="14" s="1"/>
  <c r="G164" i="81"/>
  <c r="J164" i="81" s="1"/>
  <c r="E688" i="14" s="1"/>
  <c r="M688" i="14" s="1"/>
  <c r="G212" i="81"/>
  <c r="J212" i="81" s="1"/>
  <c r="D148" i="92" s="1"/>
  <c r="G74" i="81"/>
  <c r="J74" i="81" s="1"/>
  <c r="E323" i="31" s="1"/>
  <c r="I323" i="31" s="1"/>
  <c r="G242" i="81"/>
  <c r="J242" i="81" s="1"/>
  <c r="G294" i="81"/>
  <c r="J294" i="81" s="1"/>
  <c r="G282" i="81"/>
  <c r="J282" i="81" s="1"/>
  <c r="D384" i="92" s="1"/>
  <c r="M384" i="92" s="1"/>
  <c r="G151" i="81"/>
  <c r="J151" i="81" s="1"/>
  <c r="F631" i="14" s="1"/>
  <c r="G215" i="81"/>
  <c r="J215" i="81" s="1"/>
  <c r="E151" i="92" s="1"/>
  <c r="G263" i="81"/>
  <c r="J263" i="81" s="1"/>
  <c r="G279" i="81"/>
  <c r="G138" i="81"/>
  <c r="J138" i="81" s="1"/>
  <c r="E628" i="14" s="1"/>
  <c r="G20" i="81"/>
  <c r="J20" i="81" s="1"/>
  <c r="G84" i="81"/>
  <c r="J84" i="81" s="1"/>
  <c r="G116" i="81"/>
  <c r="J116" i="81" s="1"/>
  <c r="E497" i="14" s="1"/>
  <c r="M497" i="14" s="1"/>
  <c r="G148" i="81"/>
  <c r="J148" i="81" s="1"/>
  <c r="F628" i="14" s="1"/>
  <c r="G253" i="81"/>
  <c r="J253" i="81" s="1"/>
  <c r="D260" i="92" s="1"/>
  <c r="G269" i="81"/>
  <c r="J269" i="81" s="1"/>
  <c r="G126" i="81"/>
  <c r="J126" i="81" s="1"/>
  <c r="E599" i="14" s="1"/>
  <c r="M599" i="14" s="1"/>
  <c r="G230" i="81"/>
  <c r="J230" i="81" s="1"/>
  <c r="E164" i="92" s="1"/>
  <c r="G206" i="81"/>
  <c r="J206" i="81" s="1"/>
  <c r="E139" i="92" s="1"/>
  <c r="G39" i="81"/>
  <c r="J39" i="81" s="1"/>
  <c r="G87" i="81"/>
  <c r="J87" i="81" s="1"/>
  <c r="G119" i="81"/>
  <c r="J119" i="81" s="1"/>
  <c r="E504" i="14" s="1"/>
  <c r="G183" i="81"/>
  <c r="J183" i="81" s="1"/>
  <c r="D69" i="92" s="1"/>
  <c r="G231" i="81"/>
  <c r="J231" i="81" s="1"/>
  <c r="E166" i="92" s="1"/>
  <c r="G46" i="81"/>
  <c r="J46" i="81" s="1"/>
  <c r="G52" i="81"/>
  <c r="J52" i="81" s="1"/>
  <c r="G100" i="81"/>
  <c r="J100" i="81" s="1"/>
  <c r="E481" i="14" s="1"/>
  <c r="G180" i="81"/>
  <c r="J180" i="81" s="1"/>
  <c r="D51" i="92" s="1"/>
  <c r="G196" i="81"/>
  <c r="J196" i="81" s="1"/>
  <c r="E130" i="92" s="1"/>
  <c r="G276" i="81"/>
  <c r="J276" i="81" s="1"/>
  <c r="G134" i="81"/>
  <c r="J134" i="81" s="1"/>
  <c r="E622" i="14" s="1"/>
  <c r="G65" i="81"/>
  <c r="J65" i="81" s="1"/>
  <c r="G129" i="81"/>
  <c r="J129" i="81" s="1"/>
  <c r="E602" i="14" s="1"/>
  <c r="M602" i="14" s="1"/>
  <c r="G193" i="81"/>
  <c r="J193" i="81" s="1"/>
  <c r="D131" i="92" s="1"/>
  <c r="G257" i="81"/>
  <c r="J257" i="81" s="1"/>
  <c r="G90" i="81"/>
  <c r="J90" i="81" s="1"/>
  <c r="G182" i="81"/>
  <c r="J182" i="81" s="1"/>
  <c r="D62" i="92" s="1"/>
  <c r="G298" i="81"/>
  <c r="J298" i="81" s="1"/>
  <c r="D418" i="92" s="1"/>
  <c r="M418" i="92" s="1"/>
  <c r="G273" i="81"/>
  <c r="J273" i="81" s="1"/>
  <c r="G246" i="81"/>
  <c r="J246" i="81" s="1"/>
  <c r="G222" i="81"/>
  <c r="J222" i="81" s="1"/>
  <c r="E156" i="92" s="1"/>
  <c r="G86" i="81"/>
  <c r="J86" i="81" s="1"/>
  <c r="G49" i="81"/>
  <c r="J49" i="81" s="1"/>
  <c r="G177" i="81"/>
  <c r="J177" i="81" s="1"/>
  <c r="D37" i="92" s="1"/>
  <c r="M37" i="92" s="1"/>
  <c r="G241" i="81"/>
  <c r="J241" i="81" s="1"/>
  <c r="G258" i="81"/>
  <c r="J258" i="81" s="1"/>
  <c r="G228" i="81"/>
  <c r="J228" i="81" s="1"/>
  <c r="E165" i="92" s="1"/>
  <c r="G292" i="81"/>
  <c r="J292" i="81" s="1"/>
  <c r="G17" i="81"/>
  <c r="J17" i="81" s="1"/>
  <c r="G81" i="81"/>
  <c r="J81" i="81" s="1"/>
  <c r="E330" i="31" s="1"/>
  <c r="I330" i="31" s="1"/>
  <c r="G145" i="81"/>
  <c r="J145" i="81" s="1"/>
  <c r="F623" i="14" s="1"/>
  <c r="G209" i="81"/>
  <c r="J209" i="81" s="1"/>
  <c r="E144" i="92" s="1"/>
  <c r="G142" i="81"/>
  <c r="J142" i="81" s="1"/>
  <c r="F620" i="14" s="1"/>
  <c r="G260" i="81"/>
  <c r="J260" i="81" s="1"/>
  <c r="G113" i="81"/>
  <c r="J113" i="81" s="1"/>
  <c r="F492" i="14" s="1"/>
  <c r="G38" i="81"/>
  <c r="J38" i="81" s="1"/>
  <c r="G234" i="81"/>
  <c r="J234" i="81" s="1"/>
  <c r="G244" i="81"/>
  <c r="J244" i="81" s="1"/>
  <c r="G42" i="81"/>
  <c r="J42" i="81" s="1"/>
  <c r="G33" i="81"/>
  <c r="J33" i="81" s="1"/>
  <c r="G97" i="81"/>
  <c r="J97" i="81" s="1"/>
  <c r="E476" i="14" s="1"/>
  <c r="G161" i="81"/>
  <c r="J161" i="81" s="1"/>
  <c r="E684" i="14" s="1"/>
  <c r="M684" i="14" s="1"/>
  <c r="G225" i="81"/>
  <c r="J225" i="81" s="1"/>
  <c r="D163" i="92" s="1"/>
  <c r="G289" i="81"/>
  <c r="J289" i="81" s="1"/>
  <c r="G194" i="81"/>
  <c r="J194" i="81" s="1"/>
  <c r="D132" i="92" s="1"/>
  <c r="G170" i="81"/>
  <c r="J170" i="81" s="1"/>
  <c r="E694" i="14" s="1"/>
  <c r="M694" i="14" s="1"/>
  <c r="G286" i="81"/>
  <c r="J286" i="81" s="1"/>
  <c r="G11" i="81"/>
  <c r="G173" i="81"/>
  <c r="J173" i="81" s="1"/>
  <c r="G109" i="81"/>
  <c r="J109" i="81" s="1"/>
  <c r="F488" i="14" s="1"/>
  <c r="G45" i="81"/>
  <c r="J45" i="81" s="1"/>
  <c r="G78" i="81"/>
  <c r="J78" i="81" s="1"/>
  <c r="E327" i="31" s="1"/>
  <c r="I327" i="31" s="1"/>
  <c r="G256" i="81"/>
  <c r="J256" i="81" s="1"/>
  <c r="G192" i="81"/>
  <c r="J192" i="81" s="1"/>
  <c r="D130" i="92" s="1"/>
  <c r="G128" i="81"/>
  <c r="J128" i="81" s="1"/>
  <c r="E601" i="14" s="1"/>
  <c r="M601" i="14" s="1"/>
  <c r="G64" i="81"/>
  <c r="J64" i="81" s="1"/>
  <c r="G130" i="81"/>
  <c r="J130" i="81" s="1"/>
  <c r="E603" i="14" s="1"/>
  <c r="M603" i="14" s="1"/>
  <c r="G275" i="81"/>
  <c r="J275" i="81" s="1"/>
  <c r="G211" i="81"/>
  <c r="J211" i="81" s="1"/>
  <c r="E146" i="92" s="1"/>
  <c r="G147" i="81"/>
  <c r="J147" i="81" s="1"/>
  <c r="F627" i="14" s="1"/>
  <c r="G83" i="81"/>
  <c r="J83" i="81" s="1"/>
  <c r="E342" i="31" s="1"/>
  <c r="G19" i="81"/>
  <c r="J19" i="81" s="1"/>
  <c r="G202" i="81"/>
  <c r="J202" i="81" s="1"/>
  <c r="D139" i="92" s="1"/>
  <c r="G226" i="81"/>
  <c r="J226" i="81" s="1"/>
  <c r="D164" i="92" s="1"/>
  <c r="G18" i="81"/>
  <c r="J18" i="81" s="1"/>
  <c r="G233" i="81"/>
  <c r="J233" i="81" s="1"/>
  <c r="G169" i="81"/>
  <c r="J169" i="81" s="1"/>
  <c r="E693" i="14" s="1"/>
  <c r="M693" i="14" s="1"/>
  <c r="G105" i="81"/>
  <c r="J105" i="81" s="1"/>
  <c r="E484" i="14" s="1"/>
  <c r="G41" i="81"/>
  <c r="J41" i="81" s="1"/>
  <c r="G66" i="81"/>
  <c r="J66" i="81" s="1"/>
  <c r="E315" i="31" s="1"/>
  <c r="G252" i="81"/>
  <c r="J252" i="81" s="1"/>
  <c r="D258" i="92" s="1"/>
  <c r="G188" i="81"/>
  <c r="J188" i="81" s="1"/>
  <c r="D123" i="92" s="1"/>
  <c r="G124" i="81"/>
  <c r="J124" i="81" s="1"/>
  <c r="E597" i="14" s="1"/>
  <c r="M597" i="14" s="1"/>
  <c r="G60" i="81"/>
  <c r="J60" i="81" s="1"/>
  <c r="E307" i="31" s="1"/>
  <c r="I307" i="31" s="1"/>
  <c r="G118" i="81"/>
  <c r="J118" i="81" s="1"/>
  <c r="F501" i="14" s="1"/>
  <c r="M501" i="14" s="1"/>
  <c r="G271" i="81"/>
  <c r="J271" i="81" s="1"/>
  <c r="G207" i="81"/>
  <c r="J207" i="81" s="1"/>
  <c r="E141" i="92" s="1"/>
  <c r="G143" i="81"/>
  <c r="J143" i="81" s="1"/>
  <c r="F621" i="14" s="1"/>
  <c r="G79" i="81"/>
  <c r="J79" i="81" s="1"/>
  <c r="E328" i="31" s="1"/>
  <c r="I328" i="31" s="1"/>
  <c r="G15" i="81"/>
  <c r="J15" i="81" s="1"/>
  <c r="G186" i="81"/>
  <c r="J186" i="81" s="1"/>
  <c r="D74" i="92" s="1"/>
  <c r="G210" i="81"/>
  <c r="J210" i="81" s="1"/>
  <c r="D146" i="92" s="1"/>
  <c r="G293" i="81"/>
  <c r="J293" i="81" s="1"/>
  <c r="G229" i="81"/>
  <c r="J229" i="81" s="1"/>
  <c r="E163" i="92" s="1"/>
  <c r="G165" i="81"/>
  <c r="J165" i="81" s="1"/>
  <c r="E689" i="14" s="1"/>
  <c r="M689" i="14" s="1"/>
  <c r="G101" i="81"/>
  <c r="J101" i="81" s="1"/>
  <c r="F476" i="14" s="1"/>
  <c r="G37" i="81"/>
  <c r="J37" i="81" s="1"/>
  <c r="G54" i="81"/>
  <c r="J54" i="81" s="1"/>
  <c r="G248" i="81"/>
  <c r="J248" i="81" s="1"/>
  <c r="G184" i="81"/>
  <c r="J184" i="81" s="1"/>
  <c r="D70" i="92" s="1"/>
  <c r="M70" i="92" s="1"/>
  <c r="G120" i="81"/>
  <c r="J120" i="81" s="1"/>
  <c r="E505" i="14" s="1"/>
  <c r="G56" i="81"/>
  <c r="J56" i="81" s="1"/>
  <c r="G106" i="81"/>
  <c r="J106" i="81" s="1"/>
  <c r="E485" i="14" s="1"/>
  <c r="M485" i="14" s="1"/>
  <c r="G267" i="81"/>
  <c r="J267" i="81" s="1"/>
  <c r="G203" i="81"/>
  <c r="J203" i="81" s="1"/>
  <c r="D141" i="92" s="1"/>
  <c r="G139" i="81"/>
  <c r="J139" i="81" s="1"/>
  <c r="E629" i="14" s="1"/>
  <c r="G75" i="81"/>
  <c r="J75" i="81" s="1"/>
  <c r="E324" i="31" s="1"/>
  <c r="I324" i="31" s="1"/>
  <c r="G111" i="81"/>
  <c r="J111" i="81" s="1"/>
  <c r="E492" i="14" s="1"/>
  <c r="G174" i="81"/>
  <c r="J174" i="81" s="1"/>
  <c r="D22" i="92" s="1"/>
  <c r="G261" i="81"/>
  <c r="J261" i="81" s="1"/>
  <c r="G133" i="81"/>
  <c r="J133" i="81" s="1"/>
  <c r="E621" i="14" s="1"/>
  <c r="G216" i="81"/>
  <c r="J216" i="81" s="1"/>
  <c r="D154" i="92" s="1"/>
  <c r="G152" i="81"/>
  <c r="J152" i="81" s="1"/>
  <c r="E647" i="14" s="1"/>
  <c r="E759" i="91" s="1"/>
  <c r="G235" i="81"/>
  <c r="J235" i="81" s="1"/>
  <c r="G171" i="81"/>
  <c r="J171" i="81" s="1"/>
  <c r="E696" i="14" s="1"/>
  <c r="M696" i="14" s="1"/>
  <c r="G125" i="81"/>
  <c r="J125" i="81" s="1"/>
  <c r="E598" i="14" s="1"/>
  <c r="M598" i="14" s="1"/>
  <c r="G122" i="81"/>
  <c r="J122" i="81" s="1"/>
  <c r="F505" i="14" s="1"/>
  <c r="G144" i="81"/>
  <c r="J144" i="81" s="1"/>
  <c r="F622" i="14" s="1"/>
  <c r="G16" i="81"/>
  <c r="J16" i="81" s="1"/>
  <c r="G227" i="81"/>
  <c r="J227" i="81" s="1"/>
  <c r="D166" i="92" s="1"/>
  <c r="G99" i="81"/>
  <c r="J99" i="81" s="1"/>
  <c r="E480" i="14" s="1"/>
  <c r="G290" i="81"/>
  <c r="J290" i="81" s="1"/>
  <c r="G121" i="81"/>
  <c r="J121" i="81" s="1"/>
  <c r="F504" i="14" s="1"/>
  <c r="G110" i="81"/>
  <c r="J110" i="81" s="1"/>
  <c r="F489" i="14" s="1"/>
  <c r="G204" i="81"/>
  <c r="J204" i="81" s="1"/>
  <c r="E137" i="92" s="1"/>
  <c r="G12" i="81"/>
  <c r="J12" i="81" s="1"/>
  <c r="G223" i="81"/>
  <c r="J223" i="81" s="1"/>
  <c r="E158" i="92" s="1"/>
  <c r="G31" i="81"/>
  <c r="J31" i="81" s="1"/>
  <c r="G274" i="81"/>
  <c r="J274" i="81" s="1"/>
  <c r="G181" i="81"/>
  <c r="J181" i="81" s="1"/>
  <c r="D58" i="92" s="1"/>
  <c r="G98" i="81"/>
  <c r="J98" i="81" s="1"/>
  <c r="E477" i="14" s="1"/>
  <c r="G200" i="81"/>
  <c r="J200" i="81" s="1"/>
  <c r="D137" i="92" s="1"/>
  <c r="G150" i="81"/>
  <c r="J150" i="81" s="1"/>
  <c r="F630" i="14" s="1"/>
  <c r="G219" i="81"/>
  <c r="J219" i="81" s="1"/>
  <c r="D158" i="92" s="1"/>
  <c r="G221" i="81"/>
  <c r="J221" i="81" s="1"/>
  <c r="E155" i="92" s="1"/>
  <c r="G157" i="81"/>
  <c r="J157" i="81" s="1"/>
  <c r="E680" i="14" s="1"/>
  <c r="M680" i="14" s="1"/>
  <c r="G93" i="81"/>
  <c r="J93" i="81" s="1"/>
  <c r="G29" i="81"/>
  <c r="J29" i="81" s="1"/>
  <c r="G30" i="81"/>
  <c r="J30" i="81" s="1"/>
  <c r="G240" i="81"/>
  <c r="J240" i="81" s="1"/>
  <c r="G176" i="81"/>
  <c r="J176" i="81" s="1"/>
  <c r="D36" i="92" s="1"/>
  <c r="G112" i="81"/>
  <c r="J112" i="81" s="1"/>
  <c r="E493" i="14" s="1"/>
  <c r="G48" i="81"/>
  <c r="J48" i="81" s="1"/>
  <c r="G82" i="81"/>
  <c r="J82" i="81" s="1"/>
  <c r="E331" i="31" s="1"/>
  <c r="I331" i="31" s="1"/>
  <c r="G259" i="81"/>
  <c r="J259" i="81" s="1"/>
  <c r="G195" i="81"/>
  <c r="J195" i="81" s="1"/>
  <c r="D134" i="92" s="1"/>
  <c r="G131" i="81"/>
  <c r="J131" i="81" s="1"/>
  <c r="E604" i="14" s="1"/>
  <c r="M604" i="14" s="1"/>
  <c r="G67" i="81"/>
  <c r="J67" i="81" s="1"/>
  <c r="E316" i="31" s="1"/>
  <c r="G254" i="81"/>
  <c r="J254" i="81" s="1"/>
  <c r="G278" i="81"/>
  <c r="J278" i="81" s="1"/>
  <c r="G162" i="81"/>
  <c r="J162" i="81" s="1"/>
  <c r="E686" i="14" s="1"/>
  <c r="G281" i="81"/>
  <c r="J281" i="81" s="1"/>
  <c r="D383" i="92" s="1"/>
  <c r="M383" i="92" s="1"/>
  <c r="G217" i="81"/>
  <c r="J217" i="81" s="1"/>
  <c r="D155" i="92" s="1"/>
  <c r="G153" i="81"/>
  <c r="J153" i="81" s="1"/>
  <c r="G89" i="81"/>
  <c r="J89" i="81" s="1"/>
  <c r="G25" i="81"/>
  <c r="J25" i="81" s="1"/>
  <c r="G14" i="81"/>
  <c r="J14" i="81" s="1"/>
  <c r="G236" i="81"/>
  <c r="J236" i="81" s="1"/>
  <c r="G172" i="81"/>
  <c r="J172" i="81" s="1"/>
  <c r="G108" i="81"/>
  <c r="J108" i="81" s="1"/>
  <c r="E489" i="14" s="1"/>
  <c r="G44" i="81"/>
  <c r="J44" i="81" s="1"/>
  <c r="G70" i="81"/>
  <c r="J70" i="81" s="1"/>
  <c r="E319" i="31" s="1"/>
  <c r="G255" i="81"/>
  <c r="J255" i="81" s="1"/>
  <c r="G191" i="81"/>
  <c r="J191" i="81" s="1"/>
  <c r="D127" i="92" s="1"/>
  <c r="M127" i="92" s="1"/>
  <c r="M126" i="92" s="1"/>
  <c r="G127" i="81"/>
  <c r="J127" i="81" s="1"/>
  <c r="E600" i="14" s="1"/>
  <c r="M600" i="14" s="1"/>
  <c r="G63" i="81"/>
  <c r="J63" i="81" s="1"/>
  <c r="G238" i="81"/>
  <c r="J238" i="81" s="1"/>
  <c r="D193" i="92" s="1"/>
  <c r="G262" i="81"/>
  <c r="J262" i="81" s="1"/>
  <c r="G154" i="81"/>
  <c r="J154" i="81" s="1"/>
  <c r="G277" i="81"/>
  <c r="J277" i="81" s="1"/>
  <c r="G213" i="81"/>
  <c r="J213" i="81" s="1"/>
  <c r="E148" i="92" s="1"/>
  <c r="G149" i="81"/>
  <c r="J149" i="81" s="1"/>
  <c r="F629" i="14" s="1"/>
  <c r="G85" i="81"/>
  <c r="J85" i="81" s="1"/>
  <c r="G21" i="81"/>
  <c r="J21" i="81" s="1"/>
  <c r="G296" i="81"/>
  <c r="J296" i="81" s="1"/>
  <c r="G232" i="81"/>
  <c r="J232" i="81" s="1"/>
  <c r="G168" i="81"/>
  <c r="J168" i="81" s="1"/>
  <c r="E692" i="14" s="1"/>
  <c r="M692" i="14" s="1"/>
  <c r="G104" i="81"/>
  <c r="J104" i="81" s="1"/>
  <c r="F481" i="14" s="1"/>
  <c r="G40" i="81"/>
  <c r="J40" i="81" s="1"/>
  <c r="G58" i="81"/>
  <c r="J58" i="81" s="1"/>
  <c r="E305" i="31" s="1"/>
  <c r="I305" i="31" s="1"/>
  <c r="G251" i="81"/>
  <c r="J251" i="81" s="1"/>
  <c r="D256" i="92" s="1"/>
  <c r="G187" i="81"/>
  <c r="J187" i="81" s="1"/>
  <c r="D78" i="92" s="1"/>
  <c r="M78" i="92" s="1"/>
  <c r="M79" i="92" s="1"/>
  <c r="G123" i="81"/>
  <c r="J123" i="81" s="1"/>
  <c r="E596" i="14" s="1"/>
  <c r="G59" i="81"/>
  <c r="J59" i="81" s="1"/>
  <c r="E306" i="31" s="1"/>
  <c r="I306" i="31" s="1"/>
  <c r="G175" i="81"/>
  <c r="J175" i="81" s="1"/>
  <c r="D29" i="92" s="1"/>
  <c r="G198" i="81"/>
  <c r="J198" i="81" s="1"/>
  <c r="E132" i="92" s="1"/>
  <c r="G102" i="81"/>
  <c r="J102" i="81" s="1"/>
  <c r="F477" i="14" s="1"/>
  <c r="G69" i="81"/>
  <c r="J69" i="81" s="1"/>
  <c r="E318" i="31" s="1"/>
  <c r="G280" i="81"/>
  <c r="J280" i="81" s="1"/>
  <c r="D382" i="92" s="1"/>
  <c r="M382" i="92" s="1"/>
  <c r="G88" i="81"/>
  <c r="J88" i="81" s="1"/>
  <c r="G297" i="81"/>
  <c r="J297" i="81" s="1"/>
  <c r="G107" i="81"/>
  <c r="J107" i="81" s="1"/>
  <c r="E488" i="14" s="1"/>
  <c r="G189" i="81"/>
  <c r="J189" i="81" s="1"/>
  <c r="D124" i="92" s="1"/>
  <c r="G61" i="81"/>
  <c r="J61" i="81" s="1"/>
  <c r="G208" i="81"/>
  <c r="J208" i="81" s="1"/>
  <c r="D144" i="92" s="1"/>
  <c r="G80" i="81"/>
  <c r="J80" i="81" s="1"/>
  <c r="E329" i="31" s="1"/>
  <c r="I329" i="31" s="1"/>
  <c r="G163" i="81"/>
  <c r="J163" i="81" s="1"/>
  <c r="E687" i="14" s="1"/>
  <c r="M687" i="14" s="1"/>
  <c r="G266" i="81"/>
  <c r="J266" i="81" s="1"/>
  <c r="G62" i="81"/>
  <c r="J62" i="81" s="1"/>
  <c r="G185" i="81"/>
  <c r="J185" i="81" s="1"/>
  <c r="D72" i="92" s="1"/>
  <c r="M72" i="92" s="1"/>
  <c r="G57" i="81"/>
  <c r="J57" i="81" s="1"/>
  <c r="G140" i="81"/>
  <c r="J140" i="81" s="1"/>
  <c r="E630" i="14" s="1"/>
  <c r="G76" i="81"/>
  <c r="J76" i="81" s="1"/>
  <c r="E325" i="31" s="1"/>
  <c r="I325" i="31" s="1"/>
  <c r="G159" i="81"/>
  <c r="J159" i="81" s="1"/>
  <c r="E682" i="14" s="1"/>
  <c r="M682" i="14" s="1"/>
  <c r="G250" i="81"/>
  <c r="J250" i="81" s="1"/>
  <c r="G50" i="81"/>
  <c r="J50" i="81" s="1"/>
  <c r="G117" i="81"/>
  <c r="J117" i="81" s="1"/>
  <c r="G264" i="81"/>
  <c r="J264" i="81" s="1"/>
  <c r="G136" i="81"/>
  <c r="J136" i="81" s="1"/>
  <c r="E624" i="14" s="1"/>
  <c r="G283" i="81"/>
  <c r="J283" i="81" s="1"/>
  <c r="G155" i="81"/>
  <c r="J155" i="81" s="1"/>
  <c r="E678" i="14" s="1"/>
  <c r="M678" i="14" s="1"/>
  <c r="C678" i="14" s="1"/>
  <c r="C679" i="14" s="1"/>
  <c r="G27" i="81"/>
  <c r="J27" i="81" s="1"/>
  <c r="G205" i="81"/>
  <c r="J205" i="81" s="1"/>
  <c r="E138" i="92" s="1"/>
  <c r="G141" i="81"/>
  <c r="J141" i="81" s="1"/>
  <c r="E631" i="14" s="1"/>
  <c r="G77" i="81"/>
  <c r="J77" i="81" s="1"/>
  <c r="E326" i="31" s="1"/>
  <c r="I326" i="31" s="1"/>
  <c r="G13" i="81"/>
  <c r="J13" i="81" s="1"/>
  <c r="G288" i="81"/>
  <c r="J288" i="81" s="1"/>
  <c r="G224" i="81"/>
  <c r="J224" i="81" s="1"/>
  <c r="G160" i="81"/>
  <c r="J160" i="81" s="1"/>
  <c r="E683" i="14" s="1"/>
  <c r="M683" i="14" s="1"/>
  <c r="G96" i="81"/>
  <c r="J96" i="81" s="1"/>
  <c r="E472" i="14" s="1"/>
  <c r="M472" i="14" s="1"/>
  <c r="G32" i="81"/>
  <c r="J32" i="81" s="1"/>
  <c r="G34" i="81"/>
  <c r="J34" i="81" s="1"/>
  <c r="G243" i="81"/>
  <c r="J243" i="81" s="1"/>
  <c r="G179" i="81"/>
  <c r="J179" i="81" s="1"/>
  <c r="D42" i="92" s="1"/>
  <c r="M42" i="92" s="1"/>
  <c r="O44" i="92" s="1"/>
  <c r="C44" i="92" s="1"/>
  <c r="G115" i="81"/>
  <c r="J115" i="81" s="1"/>
  <c r="E496" i="14" s="1"/>
  <c r="G51" i="81"/>
  <c r="J51" i="81" s="1"/>
  <c r="G190" i="81"/>
  <c r="J190" i="81" s="1"/>
  <c r="D125" i="92" s="1"/>
  <c r="G214" i="81"/>
  <c r="J214" i="81" s="1"/>
  <c r="D151" i="92" s="1"/>
  <c r="G114" i="81"/>
  <c r="J114" i="81" s="1"/>
  <c r="F493" i="14" s="1"/>
  <c r="G265" i="81"/>
  <c r="J265" i="81" s="1"/>
  <c r="G201" i="81"/>
  <c r="J201" i="81" s="1"/>
  <c r="D138" i="92" s="1"/>
  <c r="G137" i="81"/>
  <c r="J137" i="81" s="1"/>
  <c r="E627" i="14" s="1"/>
  <c r="G73" i="81"/>
  <c r="J73" i="81" s="1"/>
  <c r="E322" i="31" s="1"/>
  <c r="I322" i="31" s="1"/>
  <c r="G158" i="81"/>
  <c r="J158" i="81" s="1"/>
  <c r="E681" i="14" s="1"/>
  <c r="M681" i="14" s="1"/>
  <c r="G284" i="81"/>
  <c r="J284" i="81" s="1"/>
  <c r="D387" i="92" s="1"/>
  <c r="M387" i="92" s="1"/>
  <c r="G220" i="81"/>
  <c r="J220" i="81" s="1"/>
  <c r="E154" i="92" s="1"/>
  <c r="G156" i="81"/>
  <c r="J156" i="81" s="1"/>
  <c r="E679" i="14" s="1"/>
  <c r="M679" i="14" s="1"/>
  <c r="G92" i="81"/>
  <c r="J92" i="81" s="1"/>
  <c r="G28" i="81"/>
  <c r="J28" i="81" s="1"/>
  <c r="G22" i="81"/>
  <c r="J22" i="81" s="1"/>
  <c r="G239" i="81"/>
  <c r="J239" i="81" s="1"/>
  <c r="G47" i="81"/>
  <c r="J47" i="81" s="1"/>
  <c r="G197" i="81"/>
  <c r="J197" i="81" s="1"/>
  <c r="E131" i="92" s="1"/>
  <c r="G146" i="81"/>
  <c r="J146" i="81" s="1"/>
  <c r="F624" i="14" s="1"/>
  <c r="G24" i="81"/>
  <c r="J24" i="81" s="1"/>
  <c r="G43" i="81"/>
  <c r="J43" i="81" s="1"/>
  <c r="G272" i="81"/>
  <c r="J272" i="81" s="1"/>
  <c r="G291" i="81"/>
  <c r="J291" i="81" s="1"/>
  <c r="G35" i="81"/>
  <c r="J35" i="81" s="1"/>
  <c r="G249" i="81"/>
  <c r="J249" i="81" s="1"/>
  <c r="D246" i="92" s="1"/>
  <c r="G268" i="81"/>
  <c r="J268" i="81" s="1"/>
  <c r="G287" i="81"/>
  <c r="J287" i="81" s="1"/>
  <c r="G95" i="81"/>
  <c r="J95" i="81" s="1"/>
  <c r="E471" i="14" s="1"/>
  <c r="G245" i="81"/>
  <c r="J245" i="81" s="1"/>
  <c r="G53" i="81"/>
  <c r="J53" i="81" s="1"/>
  <c r="G72" i="81"/>
  <c r="J72" i="81" s="1"/>
  <c r="E321" i="31" s="1"/>
  <c r="I321" i="31" s="1"/>
  <c r="G91" i="81"/>
  <c r="J91" i="81" s="1"/>
  <c r="J166" i="81"/>
  <c r="E690" i="14" s="1"/>
  <c r="M690" i="14" s="1"/>
  <c r="J279" i="81"/>
  <c r="D381" i="92" s="1"/>
  <c r="M381" i="92" s="1"/>
  <c r="J218" i="81"/>
  <c r="D156" i="92" s="1"/>
  <c r="J167" i="81"/>
  <c r="E691" i="14" s="1"/>
  <c r="M691" i="14" s="1"/>
  <c r="R9" i="81"/>
  <c r="R8" i="81"/>
  <c r="F302" i="31"/>
  <c r="U8" i="81"/>
  <c r="U9" i="81"/>
  <c r="V9" i="81"/>
  <c r="V8" i="81"/>
  <c r="E167" i="92" l="1"/>
  <c r="M342" i="31"/>
  <c r="I342" i="31"/>
  <c r="M320" i="31"/>
  <c r="I320" i="31"/>
  <c r="E700" i="14"/>
  <c r="F35" i="94" s="1"/>
  <c r="E648" i="14"/>
  <c r="E760" i="91" s="1"/>
  <c r="E655" i="14"/>
  <c r="I759" i="91"/>
  <c r="M628" i="14"/>
  <c r="D894" i="91"/>
  <c r="D254" i="92"/>
  <c r="L254" i="92" s="1"/>
  <c r="D885" i="91"/>
  <c r="D245" i="92"/>
  <c r="D262" i="92" s="1"/>
  <c r="F57" i="94" s="1"/>
  <c r="D876" i="91"/>
  <c r="D235" i="92"/>
  <c r="L235" i="92" s="1"/>
  <c r="M260" i="92"/>
  <c r="M261" i="92" s="1"/>
  <c r="D899" i="91"/>
  <c r="M256" i="92"/>
  <c r="M257" i="92" s="1"/>
  <c r="D895" i="91"/>
  <c r="M246" i="92"/>
  <c r="D886" i="91"/>
  <c r="M258" i="92"/>
  <c r="M259" i="92" s="1"/>
  <c r="D897" i="91"/>
  <c r="L243" i="92"/>
  <c r="D883" i="91"/>
  <c r="E846" i="91"/>
  <c r="E847" i="91" s="1"/>
  <c r="E852" i="91" s="1"/>
  <c r="E637" i="91"/>
  <c r="M489" i="14"/>
  <c r="M505" i="14"/>
  <c r="D165" i="92"/>
  <c r="D167" i="92" s="1"/>
  <c r="M477" i="14"/>
  <c r="M630" i="14"/>
  <c r="E157" i="92"/>
  <c r="E159" i="92" s="1"/>
  <c r="E140" i="92"/>
  <c r="E142" i="92" s="1"/>
  <c r="E133" i="92"/>
  <c r="E135" i="92" s="1"/>
  <c r="M624" i="14"/>
  <c r="M629" i="14"/>
  <c r="M686" i="14"/>
  <c r="M685" i="14" s="1"/>
  <c r="L36" i="92"/>
  <c r="M36" i="92"/>
  <c r="M30" i="92" s="1"/>
  <c r="L22" i="92"/>
  <c r="M22" i="92"/>
  <c r="F625" i="14"/>
  <c r="M69" i="92"/>
  <c r="M63" i="92" s="1"/>
  <c r="L69" i="92"/>
  <c r="L29" i="92"/>
  <c r="M29" i="92"/>
  <c r="M23" i="92" s="1"/>
  <c r="M623" i="14"/>
  <c r="E506" i="14"/>
  <c r="M504" i="14"/>
  <c r="M492" i="14"/>
  <c r="E494" i="14"/>
  <c r="F482" i="14"/>
  <c r="E473" i="14"/>
  <c r="M471" i="14"/>
  <c r="D157" i="92"/>
  <c r="D140" i="92"/>
  <c r="D142" i="92" s="1"/>
  <c r="D75" i="92"/>
  <c r="M74" i="92"/>
  <c r="M73" i="92" s="1"/>
  <c r="M620" i="14"/>
  <c r="C620" i="14" s="1"/>
  <c r="E625" i="14"/>
  <c r="M481" i="14"/>
  <c r="G766" i="91"/>
  <c r="F33" i="94"/>
  <c r="E81" i="96" s="1"/>
  <c r="D385" i="92"/>
  <c r="M385" i="92" s="1"/>
  <c r="D389" i="92"/>
  <c r="M389" i="92" s="1"/>
  <c r="M622" i="14"/>
  <c r="M58" i="92"/>
  <c r="M52" i="92" s="1"/>
  <c r="L58" i="92"/>
  <c r="M631" i="14"/>
  <c r="M621" i="14"/>
  <c r="E500" i="14"/>
  <c r="F500" i="14"/>
  <c r="F502" i="14" s="1"/>
  <c r="F490" i="14"/>
  <c r="F478" i="14"/>
  <c r="M39" i="92"/>
  <c r="M38" i="92" s="1"/>
  <c r="D40" i="92"/>
  <c r="M40" i="92" s="1"/>
  <c r="M14" i="92" s="1"/>
  <c r="D126" i="92"/>
  <c r="D128" i="92" s="1"/>
  <c r="M128" i="92" s="1"/>
  <c r="M122" i="92" s="1"/>
  <c r="O129" i="92" s="1"/>
  <c r="C129" i="92" s="1"/>
  <c r="C680" i="14"/>
  <c r="C681" i="14" s="1"/>
  <c r="C682" i="14" s="1"/>
  <c r="C683" i="14" s="1"/>
  <c r="C684" i="14" s="1"/>
  <c r="C685" i="14" s="1"/>
  <c r="F632" i="14"/>
  <c r="M596" i="14"/>
  <c r="C596" i="14" s="1"/>
  <c r="C597" i="14" s="1"/>
  <c r="C598" i="14" s="1"/>
  <c r="C599" i="14" s="1"/>
  <c r="C600" i="14" s="1"/>
  <c r="C601" i="14" s="1"/>
  <c r="C602" i="14" s="1"/>
  <c r="C603" i="14" s="1"/>
  <c r="C604" i="14" s="1"/>
  <c r="E606" i="14"/>
  <c r="M496" i="14"/>
  <c r="E498" i="14"/>
  <c r="M498" i="14" s="1"/>
  <c r="M495" i="14" s="1"/>
  <c r="M488" i="14"/>
  <c r="E490" i="14"/>
  <c r="E482" i="14"/>
  <c r="M480" i="14"/>
  <c r="M51" i="92"/>
  <c r="M44" i="92" s="1"/>
  <c r="L51" i="92"/>
  <c r="D133" i="92"/>
  <c r="D135" i="92" s="1"/>
  <c r="M493" i="14"/>
  <c r="M62" i="92"/>
  <c r="M59" i="92" s="1"/>
  <c r="L62" i="92"/>
  <c r="M71" i="92"/>
  <c r="M627" i="14"/>
  <c r="C627" i="14" s="1"/>
  <c r="E632" i="14"/>
  <c r="F506" i="14"/>
  <c r="F494" i="14"/>
  <c r="E486" i="14"/>
  <c r="M486" i="14" s="1"/>
  <c r="M483" i="14" s="1"/>
  <c r="M484" i="14"/>
  <c r="M476" i="14"/>
  <c r="E478" i="14"/>
  <c r="F117" i="31"/>
  <c r="F269" i="31"/>
  <c r="F317" i="31"/>
  <c r="I317" i="31" s="1"/>
  <c r="F301" i="31"/>
  <c r="F303" i="31"/>
  <c r="F293" i="31"/>
  <c r="F294" i="31"/>
  <c r="F295" i="31"/>
  <c r="F298" i="31"/>
  <c r="F288" i="31"/>
  <c r="F252" i="31"/>
  <c r="F313" i="31"/>
  <c r="F315" i="31"/>
  <c r="I315" i="31" s="1"/>
  <c r="F123" i="31"/>
  <c r="F316" i="31"/>
  <c r="I316" i="31" s="1"/>
  <c r="F180" i="31"/>
  <c r="F181" i="31" s="1"/>
  <c r="F183" i="31" s="1"/>
  <c r="G21" i="87" s="1"/>
  <c r="F311" i="31"/>
  <c r="F270" i="31"/>
  <c r="F253" i="31"/>
  <c r="F296" i="31"/>
  <c r="F254" i="31"/>
  <c r="F309" i="31"/>
  <c r="F290" i="31"/>
  <c r="F319" i="31"/>
  <c r="I319" i="31" s="1"/>
  <c r="F251" i="31"/>
  <c r="F289" i="31"/>
  <c r="F318" i="31"/>
  <c r="I318" i="31" s="1"/>
  <c r="F291" i="31"/>
  <c r="F255" i="31"/>
  <c r="F272" i="31"/>
  <c r="F310" i="31"/>
  <c r="F304" i="31"/>
  <c r="F300" i="31"/>
  <c r="F274" i="31"/>
  <c r="F312" i="31"/>
  <c r="F114" i="31"/>
  <c r="F21" i="31"/>
  <c r="F92" i="31"/>
  <c r="F116" i="31"/>
  <c r="F120" i="31"/>
  <c r="F25" i="31"/>
  <c r="F27" i="31"/>
  <c r="F119" i="31"/>
  <c r="F113" i="31"/>
  <c r="F98" i="31"/>
  <c r="F112" i="31"/>
  <c r="F97" i="31"/>
  <c r="F115" i="31"/>
  <c r="F118" i="31"/>
  <c r="F95" i="31"/>
  <c r="F15" i="31"/>
  <c r="F16" i="31"/>
  <c r="F22" i="31"/>
  <c r="F96" i="31"/>
  <c r="F125" i="93"/>
  <c r="G26" i="87" s="1"/>
  <c r="D183" i="92"/>
  <c r="E180" i="31"/>
  <c r="C6" i="84"/>
  <c r="C5" i="84"/>
  <c r="C4" i="84"/>
  <c r="C3" i="84"/>
  <c r="C2" i="84"/>
  <c r="C1" i="84"/>
  <c r="C628" i="14"/>
  <c r="F343" i="31" l="1"/>
  <c r="G104" i="6"/>
  <c r="H115" i="6" s="1"/>
  <c r="AH123" i="31"/>
  <c r="G17" i="6"/>
  <c r="G24" i="6"/>
  <c r="I655" i="14"/>
  <c r="G765" i="91"/>
  <c r="G767" i="91" s="1"/>
  <c r="M235" i="92"/>
  <c r="M478" i="14"/>
  <c r="M475" i="14" s="1"/>
  <c r="M245" i="92"/>
  <c r="M244" i="92" s="1"/>
  <c r="M254" i="92"/>
  <c r="M262" i="92"/>
  <c r="M263" i="92" s="1"/>
  <c r="M264" i="92" s="1"/>
  <c r="D901" i="91"/>
  <c r="M490" i="14"/>
  <c r="M487" i="14" s="1"/>
  <c r="E169" i="92"/>
  <c r="F61" i="94" s="1"/>
  <c r="M632" i="14"/>
  <c r="M626" i="14" s="1"/>
  <c r="M482" i="14"/>
  <c r="M479" i="14" s="1"/>
  <c r="O52" i="92"/>
  <c r="C52" i="92" s="1"/>
  <c r="M43" i="92"/>
  <c r="M15" i="92"/>
  <c r="M16" i="92"/>
  <c r="O23" i="92" s="1"/>
  <c r="C23" i="92" s="1"/>
  <c r="M700" i="14"/>
  <c r="M500" i="14"/>
  <c r="E502" i="14"/>
  <c r="M502" i="14" s="1"/>
  <c r="M499" i="14" s="1"/>
  <c r="M473" i="14"/>
  <c r="M470" i="14" s="1"/>
  <c r="C470" i="14" s="1"/>
  <c r="C474" i="14" s="1"/>
  <c r="F26" i="94"/>
  <c r="M606" i="14"/>
  <c r="F508" i="14"/>
  <c r="F31" i="94" s="1"/>
  <c r="D77" i="92"/>
  <c r="M75" i="92"/>
  <c r="M41" i="92" s="1"/>
  <c r="M506" i="14"/>
  <c r="M503" i="14" s="1"/>
  <c r="I33" i="94"/>
  <c r="E634" i="14"/>
  <c r="M625" i="14"/>
  <c r="M619" i="14" s="1"/>
  <c r="M494" i="14"/>
  <c r="M491" i="14" s="1"/>
  <c r="F34" i="94"/>
  <c r="F1041" i="107" s="1"/>
  <c r="H766" i="91"/>
  <c r="E650" i="14"/>
  <c r="D159" i="92"/>
  <c r="M159" i="92" s="1"/>
  <c r="M153" i="92" s="1"/>
  <c r="M152" i="92" s="1"/>
  <c r="M157" i="92"/>
  <c r="F634" i="14"/>
  <c r="F36" i="94" s="1"/>
  <c r="F18" i="31"/>
  <c r="F276" i="31"/>
  <c r="G25" i="87" s="1"/>
  <c r="F23" i="31"/>
  <c r="F256" i="31"/>
  <c r="F197" i="31"/>
  <c r="E181" i="31"/>
  <c r="E183" i="31" s="1"/>
  <c r="E197" i="31" s="1"/>
  <c r="D184" i="92"/>
  <c r="M184" i="92" s="1"/>
  <c r="M183" i="92"/>
  <c r="E96" i="31"/>
  <c r="E53" i="6" l="1"/>
  <c r="F37" i="94"/>
  <c r="H119" i="6"/>
  <c r="G27" i="87"/>
  <c r="G24" i="87"/>
  <c r="K250" i="31"/>
  <c r="K252" i="31" s="1"/>
  <c r="K255" i="31" s="1"/>
  <c r="I26" i="87"/>
  <c r="H41" i="6"/>
  <c r="O246" i="92"/>
  <c r="C246" i="92" s="1"/>
  <c r="C886" i="91" s="1"/>
  <c r="I57" i="94"/>
  <c r="D57" i="94" s="1"/>
  <c r="M474" i="14"/>
  <c r="C483" i="14" s="1"/>
  <c r="C487" i="14" s="1"/>
  <c r="O59" i="92"/>
  <c r="C59" i="92" s="1"/>
  <c r="I760" i="91"/>
  <c r="E656" i="14"/>
  <c r="O30" i="92"/>
  <c r="O37" i="92" s="1"/>
  <c r="D169" i="92"/>
  <c r="F52" i="94" s="1"/>
  <c r="E508" i="14"/>
  <c r="M508" i="14" s="1"/>
  <c r="C619" i="14"/>
  <c r="C626" i="14" s="1"/>
  <c r="D80" i="92"/>
  <c r="M77" i="92"/>
  <c r="M76" i="92" s="1"/>
  <c r="E56" i="6"/>
  <c r="I36" i="94"/>
  <c r="I766" i="91"/>
  <c r="F27" i="94"/>
  <c r="E57" i="6" s="1"/>
  <c r="M634" i="14"/>
  <c r="M247" i="92"/>
  <c r="M225" i="92"/>
  <c r="M227" i="92"/>
  <c r="O248" i="92"/>
  <c r="M593" i="14"/>
  <c r="M592" i="14" s="1"/>
  <c r="M607" i="14"/>
  <c r="M595" i="14"/>
  <c r="M594" i="14"/>
  <c r="M605" i="14"/>
  <c r="M699" i="14"/>
  <c r="M701" i="14"/>
  <c r="M675" i="14"/>
  <c r="M677" i="14"/>
  <c r="M676" i="14"/>
  <c r="I34" i="94"/>
  <c r="D34" i="94" s="1"/>
  <c r="D33" i="94"/>
  <c r="I26" i="94"/>
  <c r="E55" i="6"/>
  <c r="I35" i="94"/>
  <c r="E54" i="6"/>
  <c r="F29" i="31"/>
  <c r="I180" i="31"/>
  <c r="D185" i="92"/>
  <c r="M185" i="92" s="1"/>
  <c r="I181" i="31"/>
  <c r="E92" i="31"/>
  <c r="E95" i="31"/>
  <c r="E97" i="31"/>
  <c r="E98" i="31"/>
  <c r="F9" i="81" l="1"/>
  <c r="G28" i="87"/>
  <c r="E48" i="6"/>
  <c r="O63" i="92"/>
  <c r="C63" i="92" s="1"/>
  <c r="I656" i="14"/>
  <c r="L658" i="14" s="1"/>
  <c r="H765" i="91"/>
  <c r="C30" i="92"/>
  <c r="F24" i="94"/>
  <c r="I27" i="94"/>
  <c r="I29" i="94" s="1"/>
  <c r="I37" i="94"/>
  <c r="I30" i="94" s="1"/>
  <c r="M226" i="92"/>
  <c r="M224" i="92"/>
  <c r="M223" i="92" s="1"/>
  <c r="M222" i="92" s="1"/>
  <c r="F50" i="94"/>
  <c r="M80" i="92"/>
  <c r="M11" i="92" s="1"/>
  <c r="I32" i="94"/>
  <c r="C37" i="92"/>
  <c r="O39" i="92"/>
  <c r="C39" i="92" s="1"/>
  <c r="M507" i="14"/>
  <c r="M467" i="14"/>
  <c r="M466" i="14"/>
  <c r="M509" i="14"/>
  <c r="M468" i="14"/>
  <c r="M469" i="14"/>
  <c r="O256" i="92"/>
  <c r="C248" i="92"/>
  <c r="C888" i="91" s="1"/>
  <c r="M635" i="14"/>
  <c r="M633" i="14"/>
  <c r="M617" i="14"/>
  <c r="M615" i="14"/>
  <c r="M614" i="14" s="1"/>
  <c r="M616" i="14"/>
  <c r="M618" i="14"/>
  <c r="I52" i="94"/>
  <c r="M182" i="92"/>
  <c r="D188" i="92"/>
  <c r="M188" i="92" s="1"/>
  <c r="I197" i="31"/>
  <c r="I183" i="31"/>
  <c r="E112" i="31"/>
  <c r="F34" i="99" s="1"/>
  <c r="G34" i="99" s="1"/>
  <c r="E100" i="31"/>
  <c r="F124" i="31"/>
  <c r="G17" i="87" s="1"/>
  <c r="E104" i="6" l="1"/>
  <c r="F115" i="6" s="1"/>
  <c r="AG123" i="31"/>
  <c r="I24" i="94"/>
  <c r="O70" i="92"/>
  <c r="O72" i="92" s="1"/>
  <c r="I765" i="91"/>
  <c r="H767" i="91"/>
  <c r="F28" i="94"/>
  <c r="C256" i="92"/>
  <c r="C895" i="91" s="1"/>
  <c r="O258" i="92"/>
  <c r="M12" i="92"/>
  <c r="M13" i="92" s="1"/>
  <c r="M10" i="92"/>
  <c r="I50" i="94"/>
  <c r="D52" i="94" s="1"/>
  <c r="I112" i="31"/>
  <c r="E24" i="6"/>
  <c r="F41" i="6" s="1"/>
  <c r="O187" i="92"/>
  <c r="C187" i="92" s="1"/>
  <c r="M181" i="92"/>
  <c r="D189" i="92"/>
  <c r="M189" i="92" s="1"/>
  <c r="I178" i="31"/>
  <c r="I176" i="31"/>
  <c r="I177" i="31"/>
  <c r="E27" i="31"/>
  <c r="I27" i="31" s="1"/>
  <c r="E113" i="31"/>
  <c r="C70" i="92" l="1"/>
  <c r="I28" i="94"/>
  <c r="I23" i="94" s="1"/>
  <c r="D50" i="94"/>
  <c r="D51" i="94"/>
  <c r="C72" i="92"/>
  <c r="O74" i="92"/>
  <c r="C74" i="92" s="1"/>
  <c r="C258" i="92"/>
  <c r="C897" i="91" s="1"/>
  <c r="O260" i="92"/>
  <c r="C260" i="92" s="1"/>
  <c r="C899" i="91" s="1"/>
  <c r="F119" i="6"/>
  <c r="D190" i="92"/>
  <c r="M190" i="92" s="1"/>
  <c r="M187" i="92" s="1"/>
  <c r="I205" i="31"/>
  <c r="I175" i="31"/>
  <c r="I28" i="31"/>
  <c r="E251" i="31"/>
  <c r="M253" i="31" s="1"/>
  <c r="I113" i="31"/>
  <c r="O192" i="92" l="1"/>
  <c r="C192" i="92" s="1"/>
  <c r="M186" i="92"/>
  <c r="M193" i="92"/>
  <c r="I251" i="31"/>
  <c r="C113" i="31"/>
  <c r="D194" i="92" l="1"/>
  <c r="M194" i="92" s="1"/>
  <c r="M192" i="92" s="1"/>
  <c r="O194" i="92"/>
  <c r="C194" i="92" s="1"/>
  <c r="E304" i="31"/>
  <c r="I304" i="31" s="1"/>
  <c r="E289" i="31"/>
  <c r="E288" i="31"/>
  <c r="E274" i="31"/>
  <c r="I274" i="31" s="1"/>
  <c r="E272" i="31"/>
  <c r="I272" i="31" s="1"/>
  <c r="E270" i="31"/>
  <c r="I270" i="31" s="1"/>
  <c r="E269" i="31"/>
  <c r="E255" i="31"/>
  <c r="I255" i="31" s="1"/>
  <c r="E254" i="31"/>
  <c r="I254" i="31" s="1"/>
  <c r="E253" i="31"/>
  <c r="I253" i="31" s="1"/>
  <c r="E252" i="31"/>
  <c r="E123" i="31"/>
  <c r="E120" i="31"/>
  <c r="E119" i="31"/>
  <c r="E118" i="31"/>
  <c r="E117" i="31"/>
  <c r="E116" i="31"/>
  <c r="E115" i="31"/>
  <c r="E114" i="31"/>
  <c r="E25" i="31"/>
  <c r="I25" i="31" s="1"/>
  <c r="I26" i="31" s="1"/>
  <c r="E21" i="31"/>
  <c r="I21" i="31" s="1"/>
  <c r="E16" i="31"/>
  <c r="I16" i="31" s="1"/>
  <c r="I123" i="31" l="1"/>
  <c r="F37" i="99"/>
  <c r="G37" i="99" s="1"/>
  <c r="E256" i="31"/>
  <c r="I256" i="31" s="1"/>
  <c r="M191" i="92"/>
  <c r="O196" i="92"/>
  <c r="C196" i="92" s="1"/>
  <c r="D197" i="92"/>
  <c r="M197" i="92" s="1"/>
  <c r="E302" i="31"/>
  <c r="I302" i="31" s="1"/>
  <c r="E303" i="31"/>
  <c r="I303" i="31" s="1"/>
  <c r="E290" i="31"/>
  <c r="E291" i="31"/>
  <c r="E293" i="31"/>
  <c r="E294" i="31"/>
  <c r="N294" i="31" s="1"/>
  <c r="E309" i="31"/>
  <c r="M309" i="31" s="1"/>
  <c r="E295" i="31"/>
  <c r="N295" i="31" s="1"/>
  <c r="E310" i="31"/>
  <c r="M310" i="31" s="1"/>
  <c r="E296" i="31"/>
  <c r="N296" i="31" s="1"/>
  <c r="E311" i="31"/>
  <c r="E298" i="31"/>
  <c r="E312" i="31"/>
  <c r="E300" i="31"/>
  <c r="E313" i="31"/>
  <c r="E301" i="31"/>
  <c r="I301" i="31" s="1"/>
  <c r="I269" i="31"/>
  <c r="C270" i="31" s="1"/>
  <c r="E276" i="31"/>
  <c r="I275" i="31"/>
  <c r="I273" i="31"/>
  <c r="E22" i="31"/>
  <c r="I22" i="31" s="1"/>
  <c r="I252" i="31"/>
  <c r="C252" i="31" s="1"/>
  <c r="I119" i="31"/>
  <c r="I120" i="31"/>
  <c r="I114" i="31"/>
  <c r="I115" i="31"/>
  <c r="C115" i="31" s="1"/>
  <c r="I116" i="31"/>
  <c r="C116" i="31" s="1"/>
  <c r="I118" i="31"/>
  <c r="I117" i="31"/>
  <c r="G8" i="81"/>
  <c r="G9" i="81"/>
  <c r="H9" i="81"/>
  <c r="H8" i="81"/>
  <c r="E343" i="31" l="1"/>
  <c r="M300" i="31"/>
  <c r="I300" i="31"/>
  <c r="N293" i="31"/>
  <c r="H19" i="125"/>
  <c r="E21" i="126" s="1"/>
  <c r="N298" i="31"/>
  <c r="C120" i="31"/>
  <c r="C119" i="31"/>
  <c r="M141" i="92"/>
  <c r="M140" i="92" s="1"/>
  <c r="G158" i="92"/>
  <c r="M158" i="92" s="1"/>
  <c r="M146" i="92"/>
  <c r="G156" i="92"/>
  <c r="M156" i="92" s="1"/>
  <c r="M163" i="92"/>
  <c r="G155" i="92"/>
  <c r="M155" i="92" s="1"/>
  <c r="M138" i="92"/>
  <c r="M134" i="92"/>
  <c r="M133" i="92" s="1"/>
  <c r="G154" i="92"/>
  <c r="M166" i="92"/>
  <c r="M151" i="92"/>
  <c r="M150" i="92" s="1"/>
  <c r="M132" i="92"/>
  <c r="M164" i="92"/>
  <c r="M148" i="92"/>
  <c r="M131" i="92"/>
  <c r="M144" i="92"/>
  <c r="M139" i="92"/>
  <c r="C253" i="31"/>
  <c r="C118" i="31"/>
  <c r="C117" i="31"/>
  <c r="C254" i="31"/>
  <c r="G16" i="87"/>
  <c r="G1040" i="107" s="1"/>
  <c r="H196" i="105" s="1"/>
  <c r="I313" i="31"/>
  <c r="I309" i="31"/>
  <c r="I311" i="31"/>
  <c r="I290" i="31"/>
  <c r="I295" i="31"/>
  <c r="I293" i="31"/>
  <c r="I289" i="31"/>
  <c r="I312" i="31"/>
  <c r="I310" i="31"/>
  <c r="I291" i="31"/>
  <c r="D198" i="92"/>
  <c r="M198" i="92" s="1"/>
  <c r="M196" i="92" s="1"/>
  <c r="O200" i="92" s="1"/>
  <c r="O198" i="92"/>
  <c r="C198" i="92" s="1"/>
  <c r="I296" i="31"/>
  <c r="I298" i="31"/>
  <c r="I294" i="31"/>
  <c r="I288" i="31"/>
  <c r="O289" i="31" s="1"/>
  <c r="C289" i="31" s="1"/>
  <c r="C268" i="31"/>
  <c r="C269" i="31"/>
  <c r="I268" i="31"/>
  <c r="C272" i="31" s="1"/>
  <c r="I23" i="31"/>
  <c r="I24" i="31" s="1"/>
  <c r="I20" i="31"/>
  <c r="C255" i="31"/>
  <c r="I264" i="31"/>
  <c r="I250" i="31"/>
  <c r="I249" i="31"/>
  <c r="I248" i="31"/>
  <c r="I247" i="31" s="1"/>
  <c r="I111" i="31"/>
  <c r="C114" i="31"/>
  <c r="G18" i="87" l="1"/>
  <c r="G157" i="92"/>
  <c r="G159" i="92" s="1"/>
  <c r="M154" i="92"/>
  <c r="M149" i="92"/>
  <c r="M162" i="92"/>
  <c r="G140" i="92"/>
  <c r="G142" i="92" s="1"/>
  <c r="M142" i="92" s="1"/>
  <c r="M136" i="92" s="1"/>
  <c r="M137" i="92"/>
  <c r="G133" i="92"/>
  <c r="G135" i="92" s="1"/>
  <c r="M135" i="92" s="1"/>
  <c r="M129" i="92" s="1"/>
  <c r="O136" i="92" s="1"/>
  <c r="M130" i="92"/>
  <c r="M143" i="92"/>
  <c r="M147" i="92"/>
  <c r="M145" i="92"/>
  <c r="C274" i="31"/>
  <c r="I343" i="31"/>
  <c r="I344" i="31" s="1"/>
  <c r="O290" i="31"/>
  <c r="M195" i="92"/>
  <c r="C200" i="92"/>
  <c r="D201" i="92"/>
  <c r="M201" i="92" s="1"/>
  <c r="O202" i="92" s="1"/>
  <c r="I285" i="31"/>
  <c r="I284" i="31" s="1"/>
  <c r="I287" i="31"/>
  <c r="I286" i="31"/>
  <c r="I271" i="31"/>
  <c r="I276" i="31"/>
  <c r="I277" i="31" s="1"/>
  <c r="I265" i="31"/>
  <c r="I266" i="31"/>
  <c r="I267" i="31"/>
  <c r="I110" i="31"/>
  <c r="I109" i="31"/>
  <c r="I108" i="31" s="1"/>
  <c r="G167" i="92" l="1"/>
  <c r="M165" i="92"/>
  <c r="O144" i="92"/>
  <c r="C136" i="92"/>
  <c r="O291" i="31"/>
  <c r="C290" i="31"/>
  <c r="D202" i="92"/>
  <c r="M202" i="92" s="1"/>
  <c r="O203" i="92" s="1"/>
  <c r="C202" i="92"/>
  <c r="C144" i="92" l="1"/>
  <c r="O146" i="92"/>
  <c r="G169" i="92"/>
  <c r="M167" i="92"/>
  <c r="M161" i="92" s="1"/>
  <c r="C291" i="31"/>
  <c r="C203" i="92"/>
  <c r="D203" i="92"/>
  <c r="M203" i="92" s="1"/>
  <c r="O204" i="92" s="1"/>
  <c r="G61" i="94" l="1"/>
  <c r="M169" i="92"/>
  <c r="C146" i="92"/>
  <c r="O148" i="92"/>
  <c r="O294" i="31"/>
  <c r="C293" i="31"/>
  <c r="J8" i="91"/>
  <c r="E12" i="92"/>
  <c r="C204" i="92"/>
  <c r="D204" i="92"/>
  <c r="F208" i="31"/>
  <c r="F249" i="31"/>
  <c r="F286" i="31"/>
  <c r="F345" i="31" s="1"/>
  <c r="H12" i="14" s="1"/>
  <c r="H49" i="14" s="1"/>
  <c r="H110" i="14" s="1"/>
  <c r="H140" i="14" s="1"/>
  <c r="F354" i="14" s="1"/>
  <c r="H616" i="14" s="1"/>
  <c r="F644" i="14" s="1"/>
  <c r="F676" i="14" s="1"/>
  <c r="E90" i="92" s="1"/>
  <c r="W14" i="93" s="1"/>
  <c r="E193" i="97" s="1"/>
  <c r="E34" i="96" s="1"/>
  <c r="F79" i="96" s="1"/>
  <c r="F266" i="31"/>
  <c r="F225" i="31"/>
  <c r="F389" i="31"/>
  <c r="F369" i="31"/>
  <c r="F177" i="31"/>
  <c r="F158" i="96" l="1"/>
  <c r="F206" i="96" s="1"/>
  <c r="E120" i="96"/>
  <c r="K61" i="127"/>
  <c r="G47" i="6" s="1"/>
  <c r="E47" i="6"/>
  <c r="C148" i="92"/>
  <c r="O150" i="92"/>
  <c r="M168" i="92"/>
  <c r="M170" i="92"/>
  <c r="M119" i="92"/>
  <c r="I61" i="94"/>
  <c r="O295" i="31"/>
  <c r="C294" i="31"/>
  <c r="M204" i="92"/>
  <c r="M200" i="92" s="1"/>
  <c r="M199" i="92" s="1"/>
  <c r="D205" i="92"/>
  <c r="F53" i="94" s="1"/>
  <c r="D286" i="92"/>
  <c r="M61" i="127" l="1"/>
  <c r="E50" i="6"/>
  <c r="M120" i="92"/>
  <c r="M121" i="92" s="1"/>
  <c r="M118" i="92"/>
  <c r="C150" i="92"/>
  <c r="O153" i="92"/>
  <c r="I53" i="94"/>
  <c r="D53" i="94" s="1"/>
  <c r="F54" i="94"/>
  <c r="M205" i="92"/>
  <c r="M178" i="92" s="1"/>
  <c r="O296" i="31"/>
  <c r="C295" i="31"/>
  <c r="D27" i="94"/>
  <c r="I31" i="94"/>
  <c r="M286" i="92"/>
  <c r="D287" i="92"/>
  <c r="M287" i="92" s="1"/>
  <c r="C287" i="92" s="1"/>
  <c r="C153" i="92" l="1"/>
  <c r="O161" i="92"/>
  <c r="C161" i="92" s="1"/>
  <c r="D36" i="94"/>
  <c r="I43" i="94"/>
  <c r="I54" i="94"/>
  <c r="M177" i="92"/>
  <c r="M180" i="92"/>
  <c r="O289" i="92"/>
  <c r="C289" i="92" s="1"/>
  <c r="M179" i="92"/>
  <c r="C296" i="31"/>
  <c r="D24" i="94"/>
  <c r="D26" i="94"/>
  <c r="D31" i="94"/>
  <c r="D32" i="94"/>
  <c r="D35" i="94"/>
  <c r="D289" i="92"/>
  <c r="M289" i="92" s="1"/>
  <c r="D288" i="92"/>
  <c r="M288" i="92" s="1"/>
  <c r="I38" i="94" l="1"/>
  <c r="C298" i="31"/>
  <c r="I55" i="94"/>
  <c r="D290" i="92"/>
  <c r="M290" i="92" s="1"/>
  <c r="O292" i="92"/>
  <c r="C292" i="92" s="1"/>
  <c r="C43" i="94" l="1"/>
  <c r="O301" i="31"/>
  <c r="D291" i="92"/>
  <c r="M291" i="92" s="1"/>
  <c r="D292" i="92"/>
  <c r="O302" i="31" l="1"/>
  <c r="C301" i="31"/>
  <c r="M292" i="92"/>
  <c r="O295" i="92" s="1"/>
  <c r="C295" i="92" s="1"/>
  <c r="D293" i="92"/>
  <c r="M293" i="92" s="1"/>
  <c r="C14" i="80"/>
  <c r="C16" i="80"/>
  <c r="F118" i="93" l="1"/>
  <c r="F13" i="31"/>
  <c r="O51" i="93"/>
  <c r="E16" i="93"/>
  <c r="O16" i="93"/>
  <c r="X16" i="93"/>
  <c r="E51" i="93"/>
  <c r="X51" i="93"/>
  <c r="E91" i="92"/>
  <c r="J915" i="107"/>
  <c r="K94" i="105" s="1"/>
  <c r="C941" i="91"/>
  <c r="C357" i="92" s="1"/>
  <c r="J881" i="107"/>
  <c r="K57" i="105" s="1"/>
  <c r="E866" i="91"/>
  <c r="C769" i="91"/>
  <c r="G906" i="91"/>
  <c r="E917" i="91"/>
  <c r="E371" i="107"/>
  <c r="E39" i="100" s="1"/>
  <c r="F719" i="91"/>
  <c r="F370" i="31" s="1"/>
  <c r="F111" i="31"/>
  <c r="F691" i="91"/>
  <c r="F209" i="31" s="1"/>
  <c r="F615" i="91"/>
  <c r="F701" i="91"/>
  <c r="F226" i="31" s="1"/>
  <c r="F151" i="31"/>
  <c r="F738" i="91"/>
  <c r="F636" i="91"/>
  <c r="I144" i="31" s="1"/>
  <c r="F591" i="91"/>
  <c r="F127" i="31" s="1"/>
  <c r="F1312" i="107"/>
  <c r="F207" i="96" s="1"/>
  <c r="F1246" i="107"/>
  <c r="F141" i="96" s="1"/>
  <c r="G371" i="107"/>
  <c r="G39" i="100" s="1"/>
  <c r="F1185" i="107"/>
  <c r="F80" i="96" s="1"/>
  <c r="F1329" i="107"/>
  <c r="F224" i="96" s="1"/>
  <c r="E458" i="107"/>
  <c r="E114" i="97" s="1"/>
  <c r="F1265" i="107"/>
  <c r="F159" i="96" s="1"/>
  <c r="F103" i="98"/>
  <c r="F1138" i="107"/>
  <c r="F35" i="96" s="1"/>
  <c r="G13" i="6"/>
  <c r="I706" i="107"/>
  <c r="H17" i="102" s="1"/>
  <c r="E33" i="107"/>
  <c r="E721" i="107"/>
  <c r="D32" i="102" s="1"/>
  <c r="E230" i="107"/>
  <c r="E94" i="97" s="1"/>
  <c r="F790" i="107"/>
  <c r="E70" i="103" s="1"/>
  <c r="E8" i="107"/>
  <c r="E563" i="107"/>
  <c r="E647" i="107"/>
  <c r="E271" i="97" s="1"/>
  <c r="E539" i="107"/>
  <c r="E194" i="97" s="1"/>
  <c r="E593" i="107"/>
  <c r="E219" i="97" s="1"/>
  <c r="E180" i="92"/>
  <c r="F120" i="92"/>
  <c r="E225" i="92"/>
  <c r="G266" i="92"/>
  <c r="E15" i="106"/>
  <c r="E15" i="97"/>
  <c r="E40" i="97"/>
  <c r="G468" i="14"/>
  <c r="G343" i="91"/>
  <c r="E399" i="92"/>
  <c r="E311" i="92"/>
  <c r="G279" i="91"/>
  <c r="F286" i="14"/>
  <c r="G13" i="94"/>
  <c r="G338" i="14"/>
  <c r="G309" i="14"/>
  <c r="H333" i="91"/>
  <c r="F645" i="14"/>
  <c r="E13" i="92"/>
  <c r="E333" i="92"/>
  <c r="E374" i="92"/>
  <c r="E284" i="92"/>
  <c r="G50" i="14"/>
  <c r="G40" i="91"/>
  <c r="G252" i="14"/>
  <c r="G511" i="91"/>
  <c r="F494" i="91"/>
  <c r="F452" i="91"/>
  <c r="G111" i="14"/>
  <c r="E265" i="14"/>
  <c r="G265" i="14" s="1"/>
  <c r="H257" i="91" s="1"/>
  <c r="G469" i="91"/>
  <c r="G13" i="14"/>
  <c r="G141" i="14"/>
  <c r="F257" i="91"/>
  <c r="H244" i="91"/>
  <c r="G567" i="14"/>
  <c r="E551" i="14"/>
  <c r="C660" i="14"/>
  <c r="G617" i="14"/>
  <c r="F677" i="14"/>
  <c r="F595" i="14"/>
  <c r="G527" i="14"/>
  <c r="F512" i="14"/>
  <c r="I10" i="91"/>
  <c r="F390" i="31"/>
  <c r="G13" i="87"/>
  <c r="F178" i="31"/>
  <c r="F287" i="31"/>
  <c r="F346" i="31"/>
  <c r="F267" i="31"/>
  <c r="F250" i="31"/>
  <c r="O303" i="31"/>
  <c r="C302" i="31"/>
  <c r="M295" i="92"/>
  <c r="D294" i="92"/>
  <c r="M294" i="92" s="1"/>
  <c r="F91" i="31"/>
  <c r="O304" i="31" l="1"/>
  <c r="C303" i="31"/>
  <c r="O298" i="92"/>
  <c r="C298" i="92" s="1"/>
  <c r="D296" i="92"/>
  <c r="M296" i="92" s="1"/>
  <c r="F27" i="87"/>
  <c r="J27" i="87" s="1"/>
  <c r="I22" i="87"/>
  <c r="F42" i="99" l="1"/>
  <c r="G42" i="99" s="1"/>
  <c r="O305" i="31"/>
  <c r="C304" i="31"/>
  <c r="D298" i="92"/>
  <c r="M298" i="92" s="1"/>
  <c r="D297" i="92"/>
  <c r="M297" i="92" s="1"/>
  <c r="F21" i="87"/>
  <c r="J21" i="87" s="1"/>
  <c r="F24" i="87"/>
  <c r="J24" i="87" s="1"/>
  <c r="F25" i="87"/>
  <c r="J25" i="87" s="1"/>
  <c r="F40" i="99" l="1"/>
  <c r="G40" i="99" s="1"/>
  <c r="I24" i="87"/>
  <c r="F28" i="87"/>
  <c r="J28" i="87" s="1"/>
  <c r="I21" i="87"/>
  <c r="O306" i="31"/>
  <c r="C305" i="31"/>
  <c r="D299" i="92"/>
  <c r="M299" i="92" s="1"/>
  <c r="O301" i="92"/>
  <c r="C301" i="92" s="1"/>
  <c r="I25" i="87"/>
  <c r="H1041" i="107" l="1"/>
  <c r="G197" i="105"/>
  <c r="I197" i="105" s="1"/>
  <c r="H1039" i="107"/>
  <c r="G195" i="105"/>
  <c r="I195" i="105" s="1"/>
  <c r="D23" i="87"/>
  <c r="D22" i="87"/>
  <c r="D24" i="87"/>
  <c r="D21" i="87"/>
  <c r="D26" i="87"/>
  <c r="C306" i="31"/>
  <c r="O307" i="31"/>
  <c r="D300" i="92"/>
  <c r="M300" i="92" s="1"/>
  <c r="D301" i="92"/>
  <c r="D25" i="87"/>
  <c r="C307" i="31" l="1"/>
  <c r="M301" i="92"/>
  <c r="O304" i="92" s="1"/>
  <c r="C304" i="92" s="1"/>
  <c r="D302" i="92"/>
  <c r="M302" i="92" s="1"/>
  <c r="O310" i="31" l="1"/>
  <c r="C309" i="31"/>
  <c r="D304" i="92"/>
  <c r="D303" i="92"/>
  <c r="M303" i="92" s="1"/>
  <c r="E124" i="31"/>
  <c r="E23" i="31"/>
  <c r="J11" i="81"/>
  <c r="F8" i="81"/>
  <c r="E419" i="92" s="1"/>
  <c r="E420" i="92" s="1"/>
  <c r="E421" i="92" s="1"/>
  <c r="G62" i="94" s="1"/>
  <c r="G63" i="94" l="1"/>
  <c r="G1042" i="107" s="1"/>
  <c r="H198" i="105" s="1"/>
  <c r="K62" i="127"/>
  <c r="J9" i="81"/>
  <c r="J8" i="81"/>
  <c r="O311" i="31"/>
  <c r="C310" i="31"/>
  <c r="D305" i="92"/>
  <c r="M305" i="92" s="1"/>
  <c r="M304" i="92"/>
  <c r="I124" i="31"/>
  <c r="I125" i="31" s="1"/>
  <c r="F17" i="87"/>
  <c r="J17" i="87" s="1"/>
  <c r="I9" i="81"/>
  <c r="I8" i="81"/>
  <c r="K63" i="127" l="1"/>
  <c r="H191" i="105"/>
  <c r="G65" i="94"/>
  <c r="K65" i="127" s="1"/>
  <c r="G1035" i="107"/>
  <c r="M62" i="127"/>
  <c r="G49" i="6"/>
  <c r="H60" i="6" s="1"/>
  <c r="I17" i="87"/>
  <c r="D18" i="87" s="1"/>
  <c r="C311" i="31"/>
  <c r="O312" i="31"/>
  <c r="D306" i="92"/>
  <c r="D335" i="92"/>
  <c r="E59" i="99" s="1"/>
  <c r="G59" i="99" s="1"/>
  <c r="E15" i="31"/>
  <c r="E62" i="99" l="1"/>
  <c r="C17" i="87"/>
  <c r="C18" i="87" s="1"/>
  <c r="O313" i="31"/>
  <c r="O315" i="31" s="1"/>
  <c r="O316" i="31" s="1"/>
  <c r="O317" i="31" s="1"/>
  <c r="O318" i="31" s="1"/>
  <c r="O319" i="31" s="1"/>
  <c r="O320" i="31" s="1"/>
  <c r="C320" i="31" s="1"/>
  <c r="C312" i="31"/>
  <c r="M335" i="92"/>
  <c r="D336" i="92"/>
  <c r="M336" i="92" s="1"/>
  <c r="M306" i="92"/>
  <c r="D308" i="92"/>
  <c r="E45" i="6" s="1"/>
  <c r="E18" i="31"/>
  <c r="E29" i="31" s="1"/>
  <c r="F16" i="87" s="1"/>
  <c r="J16" i="87" s="1"/>
  <c r="I15" i="31"/>
  <c r="O321" i="31" l="1"/>
  <c r="O322" i="31" s="1"/>
  <c r="M308" i="92"/>
  <c r="M284" i="92" s="1"/>
  <c r="C313" i="31"/>
  <c r="D337" i="92"/>
  <c r="M337" i="92" s="1"/>
  <c r="M334" i="92" s="1"/>
  <c r="O339" i="92" s="1"/>
  <c r="C339" i="92" s="1"/>
  <c r="I14" i="31"/>
  <c r="I18" i="31"/>
  <c r="I19" i="31" s="1"/>
  <c r="I29" i="31"/>
  <c r="I30" i="31" s="1"/>
  <c r="O323" i="31" l="1"/>
  <c r="O324" i="31" s="1"/>
  <c r="C322" i="31"/>
  <c r="C321" i="31"/>
  <c r="C20" i="31"/>
  <c r="M310" i="92"/>
  <c r="M283" i="92"/>
  <c r="M309" i="92"/>
  <c r="M282" i="92"/>
  <c r="M285" i="92"/>
  <c r="I58" i="94"/>
  <c r="D340" i="92"/>
  <c r="M340" i="92" s="1"/>
  <c r="I16" i="87"/>
  <c r="F18" i="87"/>
  <c r="I13" i="31"/>
  <c r="C25" i="31"/>
  <c r="F30" i="87" l="1"/>
  <c r="J30" i="87" s="1"/>
  <c r="J18" i="87"/>
  <c r="C323" i="31"/>
  <c r="O325" i="31"/>
  <c r="C324" i="31"/>
  <c r="D58" i="94"/>
  <c r="C315" i="31"/>
  <c r="D341" i="92"/>
  <c r="M341" i="92" s="1"/>
  <c r="I12" i="31"/>
  <c r="I10" i="31"/>
  <c r="I11" i="31"/>
  <c r="I18" i="87"/>
  <c r="F34" i="87" l="1"/>
  <c r="O326" i="31"/>
  <c r="C325" i="31"/>
  <c r="C316" i="31"/>
  <c r="D342" i="92"/>
  <c r="M342" i="92" s="1"/>
  <c r="M339" i="92" s="1"/>
  <c r="F38" i="87" l="1"/>
  <c r="F48" i="87" s="1"/>
  <c r="C5" i="133" s="1"/>
  <c r="C7" i="133" s="1"/>
  <c r="C9" i="133" s="1"/>
  <c r="F1044" i="107" s="1"/>
  <c r="O327" i="31"/>
  <c r="C326" i="31"/>
  <c r="C317" i="31"/>
  <c r="D343" i="92"/>
  <c r="D344" i="92"/>
  <c r="M344" i="92" s="1"/>
  <c r="M343" i="92" s="1"/>
  <c r="F15" i="6" l="1"/>
  <c r="F42" i="6" s="1"/>
  <c r="J47" i="87"/>
  <c r="O328" i="31"/>
  <c r="C327" i="31"/>
  <c r="G30" i="87"/>
  <c r="I27" i="87"/>
  <c r="D27" i="87" s="1"/>
  <c r="C318" i="31"/>
  <c r="C319" i="31"/>
  <c r="D345" i="92"/>
  <c r="J45" i="87" l="1"/>
  <c r="F64" i="87"/>
  <c r="E442" i="14"/>
  <c r="H15" i="6"/>
  <c r="I39" i="87"/>
  <c r="G34" i="87"/>
  <c r="O329" i="31"/>
  <c r="C328" i="31"/>
  <c r="F59" i="94"/>
  <c r="F1040" i="107" s="1"/>
  <c r="I28" i="87"/>
  <c r="C20" i="87" s="1"/>
  <c r="C30" i="87" s="1"/>
  <c r="C32" i="87" s="1"/>
  <c r="C34" i="87" s="1"/>
  <c r="I19" i="87"/>
  <c r="M345" i="92"/>
  <c r="D541" i="107" l="1"/>
  <c r="D543" i="107" s="1"/>
  <c r="D198" i="97" s="1"/>
  <c r="F1043" i="107"/>
  <c r="G199" i="105" s="1"/>
  <c r="E46" i="6"/>
  <c r="G196" i="105"/>
  <c r="I196" i="105" s="1"/>
  <c r="G38" i="87"/>
  <c r="G48" i="87" s="1"/>
  <c r="K47" i="87" s="1"/>
  <c r="H42" i="6"/>
  <c r="D549" i="107"/>
  <c r="D204" i="97" s="1"/>
  <c r="F430" i="91"/>
  <c r="O330" i="31"/>
  <c r="C329" i="31"/>
  <c r="I59" i="94"/>
  <c r="C36" i="87"/>
  <c r="C38" i="87"/>
  <c r="M347" i="92"/>
  <c r="M346" i="92"/>
  <c r="M333" i="92"/>
  <c r="I20" i="87"/>
  <c r="D30" i="87"/>
  <c r="D34" i="87" s="1"/>
  <c r="D38" i="87" s="1"/>
  <c r="D546" i="107" l="1"/>
  <c r="D201" i="97" s="1"/>
  <c r="D196" i="97"/>
  <c r="F442" i="14"/>
  <c r="F455" i="14" s="1"/>
  <c r="I38" i="87"/>
  <c r="G64" i="87"/>
  <c r="G430" i="91" s="1"/>
  <c r="H430" i="91" s="1"/>
  <c r="K45" i="87"/>
  <c r="K49" i="87"/>
  <c r="D551" i="107"/>
  <c r="D206" i="97" s="1"/>
  <c r="H1040" i="107"/>
  <c r="D211" i="92"/>
  <c r="I211" i="92" s="1"/>
  <c r="M211" i="92" s="1"/>
  <c r="M207" i="92" s="1"/>
  <c r="I859" i="91"/>
  <c r="D352" i="92"/>
  <c r="I936" i="91"/>
  <c r="O331" i="31"/>
  <c r="C330" i="31"/>
  <c r="C40" i="87"/>
  <c r="M332" i="92"/>
  <c r="M331" i="92"/>
  <c r="M364" i="92"/>
  <c r="M349" i="92"/>
  <c r="M348" i="92"/>
  <c r="M351" i="92"/>
  <c r="M353" i="92"/>
  <c r="M354" i="92"/>
  <c r="M358" i="92"/>
  <c r="M356" i="92"/>
  <c r="M363" i="92"/>
  <c r="M350" i="92"/>
  <c r="M362" i="92"/>
  <c r="M361" i="92"/>
  <c r="M352" i="92"/>
  <c r="M360" i="92"/>
  <c r="M359" i="92"/>
  <c r="M355" i="92"/>
  <c r="M357" i="92"/>
  <c r="D59" i="94"/>
  <c r="M442" i="14" l="1"/>
  <c r="G443" i="91"/>
  <c r="F428" i="91" s="1"/>
  <c r="E541" i="107"/>
  <c r="E546" i="107" s="1"/>
  <c r="E549" i="107"/>
  <c r="E551" i="107" s="1"/>
  <c r="G1043" i="107"/>
  <c r="E440" i="14"/>
  <c r="E455" i="14" s="1"/>
  <c r="F457" i="14"/>
  <c r="G18" i="94" s="1"/>
  <c r="G20" i="94" s="1"/>
  <c r="D553" i="107"/>
  <c r="D208" i="97" s="1"/>
  <c r="I352" i="92"/>
  <c r="M208" i="92"/>
  <c r="M209" i="92" s="1"/>
  <c r="M206" i="92"/>
  <c r="C342" i="31"/>
  <c r="C331" i="31"/>
  <c r="D64" i="87"/>
  <c r="C48" i="87"/>
  <c r="D48" i="87"/>
  <c r="D376" i="92"/>
  <c r="F153" i="6" s="1"/>
  <c r="H1043" i="107" l="1"/>
  <c r="H199" i="105"/>
  <c r="I199" i="105" s="1"/>
  <c r="G1044" i="107"/>
  <c r="H200" i="105" s="1"/>
  <c r="G1038" i="107"/>
  <c r="H194" i="105" s="1"/>
  <c r="G445" i="91"/>
  <c r="E196" i="97"/>
  <c r="E204" i="97"/>
  <c r="E543" i="107"/>
  <c r="E198" i="97" s="1"/>
  <c r="M440" i="14"/>
  <c r="L355" i="92"/>
  <c r="G1036" i="107"/>
  <c r="H192" i="105" s="1"/>
  <c r="K18" i="127"/>
  <c r="M18" i="127" s="1"/>
  <c r="D558" i="107"/>
  <c r="D213" i="97" s="1"/>
  <c r="F68" i="87" s="1"/>
  <c r="C55" i="87"/>
  <c r="C52" i="87"/>
  <c r="C53" i="87"/>
  <c r="E201" i="97"/>
  <c r="G67" i="87" s="1"/>
  <c r="G39" i="94"/>
  <c r="E441" i="14"/>
  <c r="F443" i="91"/>
  <c r="E553" i="107"/>
  <c r="E206" i="97"/>
  <c r="M376" i="92"/>
  <c r="O377" i="92" s="1"/>
  <c r="C377" i="92" s="1"/>
  <c r="D377" i="92"/>
  <c r="C60" i="87"/>
  <c r="C64" i="87" l="1"/>
  <c r="C66" i="87" s="1"/>
  <c r="L64" i="94"/>
  <c r="L65" i="94" s="1"/>
  <c r="K20" i="127"/>
  <c r="M441" i="14"/>
  <c r="E457" i="14"/>
  <c r="E558" i="107"/>
  <c r="E213" i="97" s="1"/>
  <c r="E208" i="97"/>
  <c r="F445" i="91"/>
  <c r="M377" i="92"/>
  <c r="O378" i="92" s="1"/>
  <c r="C378" i="92" s="1"/>
  <c r="D378" i="92"/>
  <c r="K39" i="127" l="1"/>
  <c r="F18" i="94"/>
  <c r="M455" i="14"/>
  <c r="M439" i="14" s="1"/>
  <c r="M456" i="14" s="1"/>
  <c r="M457" i="14" s="1"/>
  <c r="M354" i="14" s="1"/>
  <c r="M355" i="14" s="1"/>
  <c r="M378" i="92"/>
  <c r="O379" i="92" s="1"/>
  <c r="C379" i="92" s="1"/>
  <c r="F158" i="6"/>
  <c r="F159" i="6" s="1"/>
  <c r="G68" i="87"/>
  <c r="D380" i="92"/>
  <c r="M380" i="92" s="1"/>
  <c r="M379" i="92" s="1"/>
  <c r="F1036" i="107" l="1"/>
  <c r="G192" i="105" s="1"/>
  <c r="F20" i="94"/>
  <c r="I18" i="94"/>
  <c r="I16" i="94" s="1"/>
  <c r="I14" i="94" s="1"/>
  <c r="M465" i="14"/>
  <c r="M458" i="14"/>
  <c r="M352" i="14"/>
  <c r="D386" i="92"/>
  <c r="D400" i="92"/>
  <c r="M400" i="92" s="1"/>
  <c r="O401" i="92" s="1"/>
  <c r="C401" i="92" s="1"/>
  <c r="I20" i="94" l="1"/>
  <c r="F1038" i="107"/>
  <c r="D18" i="94"/>
  <c r="E18" i="94"/>
  <c r="E19" i="94" s="1"/>
  <c r="E21" i="94" s="1"/>
  <c r="E24" i="94" s="1"/>
  <c r="E26" i="94" s="1"/>
  <c r="I15" i="94"/>
  <c r="C16" i="94" s="1"/>
  <c r="C21" i="94" s="1"/>
  <c r="C23" i="94" s="1"/>
  <c r="C30" i="94" s="1"/>
  <c r="F1045" i="107"/>
  <c r="H1045" i="107" s="1"/>
  <c r="I201" i="105" s="1"/>
  <c r="F39" i="94"/>
  <c r="G194" i="105"/>
  <c r="I194" i="105" s="1"/>
  <c r="H1044" i="107"/>
  <c r="G200" i="105"/>
  <c r="I200" i="105" s="1"/>
  <c r="C14" i="94"/>
  <c r="D390" i="92"/>
  <c r="F60" i="94" s="1"/>
  <c r="D402" i="92"/>
  <c r="F66" i="99" l="1"/>
  <c r="G66" i="99" s="1"/>
  <c r="G69" i="99" s="1"/>
  <c r="I39" i="94"/>
  <c r="I40" i="94" s="1"/>
  <c r="C354" i="14"/>
  <c r="C16" i="109" s="1"/>
  <c r="G201" i="105"/>
  <c r="H1038" i="107"/>
  <c r="I60" i="94"/>
  <c r="M386" i="92"/>
  <c r="M375" i="92" s="1"/>
  <c r="O387" i="92" s="1"/>
  <c r="C387" i="92" s="1"/>
  <c r="M390" i="92"/>
  <c r="M391" i="92" s="1"/>
  <c r="M402" i="92"/>
  <c r="D403" i="92"/>
  <c r="M403" i="92" s="1"/>
  <c r="T66" i="99" l="1"/>
  <c r="F69" i="99"/>
  <c r="C341" i="91"/>
  <c r="C32" i="109"/>
  <c r="E31" i="94"/>
  <c r="E32" i="94" s="1"/>
  <c r="O388" i="92"/>
  <c r="C388" i="92" s="1"/>
  <c r="M374" i="92"/>
  <c r="M373" i="92" s="1"/>
  <c r="M372" i="92" s="1"/>
  <c r="D61" i="94"/>
  <c r="D404" i="92"/>
  <c r="M404" i="92" s="1"/>
  <c r="T69" i="99" l="1"/>
  <c r="C466" i="14"/>
  <c r="C24" i="109" s="1"/>
  <c r="O389" i="92"/>
  <c r="C389" i="92" s="1"/>
  <c r="C593" i="14"/>
  <c r="C40" i="109" s="1"/>
  <c r="C615" i="14"/>
  <c r="C48" i="109" s="1"/>
  <c r="D60" i="94"/>
  <c r="D405" i="92"/>
  <c r="D407" i="92"/>
  <c r="C448" i="91" l="1"/>
  <c r="C643" i="14"/>
  <c r="C56" i="109" s="1"/>
  <c r="M407" i="92"/>
  <c r="O408" i="92" s="1"/>
  <c r="C408" i="92" s="1"/>
  <c r="D408" i="92"/>
  <c r="M408" i="92" s="1"/>
  <c r="C754" i="91" l="1"/>
  <c r="E35" i="94"/>
  <c r="D411" i="92"/>
  <c r="D409" i="92"/>
  <c r="C675" i="14" l="1"/>
  <c r="C64" i="109" s="1"/>
  <c r="M411" i="92"/>
  <c r="O412" i="92" s="1"/>
  <c r="C412" i="92" s="1"/>
  <c r="D412" i="92"/>
  <c r="M412" i="92" s="1"/>
  <c r="C13" i="93" l="1"/>
  <c r="D415" i="92"/>
  <c r="D413" i="92"/>
  <c r="C11" i="92" l="1"/>
  <c r="C72" i="109" s="1"/>
  <c r="M415" i="92"/>
  <c r="O416" i="92" s="1"/>
  <c r="C416" i="92" s="1"/>
  <c r="D416" i="92"/>
  <c r="M416" i="92" s="1"/>
  <c r="O417" i="92" l="1"/>
  <c r="C417" i="92" s="1"/>
  <c r="D417" i="92"/>
  <c r="M417" i="92" s="1"/>
  <c r="D420" i="92" l="1"/>
  <c r="C119" i="92"/>
  <c r="C88" i="109" s="1"/>
  <c r="C178" i="92"/>
  <c r="C96" i="109" s="1"/>
  <c r="O418" i="92"/>
  <c r="C418" i="92" s="1"/>
  <c r="C207" i="92" l="1"/>
  <c r="C854" i="91" s="1"/>
  <c r="C864" i="91" l="1"/>
  <c r="C223" i="92"/>
  <c r="C104" i="109" s="1"/>
  <c r="C282" i="92"/>
  <c r="C112" i="109" s="1"/>
  <c r="D421" i="92"/>
  <c r="F62" i="94" s="1"/>
  <c r="I62" i="94" l="1"/>
  <c r="E49" i="6"/>
  <c r="C347" i="92"/>
  <c r="C931" i="91" s="1"/>
  <c r="M420" i="92"/>
  <c r="M414" i="92" s="1"/>
  <c r="M421" i="92"/>
  <c r="M399" i="92" s="1"/>
  <c r="M398" i="92" s="1"/>
  <c r="M397" i="92" s="1"/>
  <c r="M405" i="92"/>
  <c r="M401" i="92" s="1"/>
  <c r="O406" i="92" s="1"/>
  <c r="C406" i="92" s="1"/>
  <c r="M409" i="92"/>
  <c r="M406" i="92" s="1"/>
  <c r="M413" i="92"/>
  <c r="M410" i="92" s="1"/>
  <c r="F63" i="94"/>
  <c r="F1042" i="107" l="1"/>
  <c r="H1042" i="107" s="1"/>
  <c r="F60" i="6"/>
  <c r="F61" i="6" s="1"/>
  <c r="F63" i="6" s="1"/>
  <c r="I63" i="94"/>
  <c r="I64" i="94" s="1"/>
  <c r="C331" i="92"/>
  <c r="C120" i="109" s="1"/>
  <c r="O410" i="92"/>
  <c r="C410" i="92" s="1"/>
  <c r="F65" i="94"/>
  <c r="F1035" i="107"/>
  <c r="H1035" i="107" s="1"/>
  <c r="M422" i="92"/>
  <c r="G198" i="105" l="1"/>
  <c r="I198" i="105" s="1"/>
  <c r="K64" i="94"/>
  <c r="K65" i="94" s="1"/>
  <c r="F58" i="99"/>
  <c r="G58" i="99" s="1"/>
  <c r="G62" i="99" s="1"/>
  <c r="F140" i="6"/>
  <c r="F143" i="6" s="1"/>
  <c r="J65" i="94"/>
  <c r="J66" i="94" s="1"/>
  <c r="J68" i="94" s="1"/>
  <c r="I56" i="94"/>
  <c r="I42" i="94" s="1"/>
  <c r="C372" i="92"/>
  <c r="C128" i="109" s="1"/>
  <c r="I65" i="94"/>
  <c r="O414" i="92"/>
  <c r="C414" i="92" s="1"/>
  <c r="G191" i="105"/>
  <c r="I191" i="105" s="1"/>
  <c r="D62" i="94"/>
  <c r="M123" i="92"/>
  <c r="M125" i="92"/>
  <c r="M124" i="92"/>
  <c r="J143" i="6" l="1"/>
  <c r="J145" i="6" s="1"/>
  <c r="J159" i="6"/>
  <c r="F62" i="99"/>
  <c r="C397" i="92"/>
  <c r="C136" i="109" s="1"/>
  <c r="E16" i="87"/>
  <c r="I66" i="94"/>
  <c r="T62" i="99" l="1"/>
  <c r="C89" i="31"/>
  <c r="C152" i="109" s="1"/>
  <c r="C11" i="31"/>
  <c r="C144" i="109" s="1"/>
  <c r="E17" i="87"/>
  <c r="I41" i="94"/>
  <c r="I13" i="94" s="1"/>
  <c r="C56" i="94"/>
  <c r="C536" i="91" l="1"/>
  <c r="E21" i="87"/>
  <c r="C109" i="31"/>
  <c r="J12" i="94"/>
  <c r="J11" i="94"/>
  <c r="J9" i="94"/>
  <c r="C41" i="94"/>
  <c r="C588" i="91" l="1"/>
  <c r="C160" i="109"/>
  <c r="C176" i="31"/>
  <c r="C168" i="109" s="1"/>
  <c r="E22" i="87"/>
  <c r="M381" i="14"/>
  <c r="M389" i="14"/>
  <c r="C308" i="14"/>
  <c r="C302" i="91" s="1"/>
  <c r="D308" i="14"/>
  <c r="C207" i="31" l="1"/>
  <c r="C176" i="109" s="1"/>
  <c r="E23" i="87"/>
  <c r="C689" i="91"/>
  <c r="F67" i="87"/>
  <c r="C224" i="31" l="1"/>
  <c r="C184" i="109" s="1"/>
  <c r="E24" i="87"/>
  <c r="C248" i="31" s="1"/>
  <c r="C699" i="91"/>
  <c r="I92" i="31"/>
  <c r="I98" i="31"/>
  <c r="I96" i="31"/>
  <c r="I97" i="31"/>
  <c r="I95" i="31"/>
  <c r="F100" i="31"/>
  <c r="E25" i="87" l="1"/>
  <c r="C192" i="109"/>
  <c r="I94" i="31"/>
  <c r="C94" i="31" s="1"/>
  <c r="E27" i="87" l="1"/>
  <c r="C285" i="31" s="1"/>
  <c r="C265" i="31"/>
  <c r="C200" i="109" s="1"/>
  <c r="I100" i="31"/>
  <c r="I101" i="31" s="1"/>
  <c r="I99" i="31"/>
  <c r="I91" i="31"/>
  <c r="I89" i="31" s="1"/>
  <c r="I88" i="31" s="1"/>
  <c r="I87" i="31" s="1"/>
  <c r="I93" i="31"/>
  <c r="E32" i="87" l="1"/>
  <c r="C368" i="31" s="1"/>
  <c r="I90" i="31"/>
  <c r="C634" i="91" l="1"/>
  <c r="C208" i="109"/>
  <c r="E36" i="87"/>
  <c r="C717" i="91"/>
  <c r="AE115" i="93"/>
  <c r="AE51" i="93" s="1"/>
  <c r="AE50" i="93" l="1"/>
  <c r="D116" i="93"/>
  <c r="E26" i="87" s="1"/>
  <c r="C11" i="96" s="1"/>
  <c r="E52" i="87"/>
  <c r="E55" i="87" s="1"/>
  <c r="C388" i="31"/>
  <c r="C736" i="91"/>
  <c r="AE52" i="93"/>
  <c r="AE53" i="93" s="1"/>
  <c r="E53" i="87" l="1"/>
  <c r="E60" i="87"/>
  <c r="C11" i="97"/>
  <c r="C589" i="107" l="1"/>
  <c r="C215" i="97" s="1"/>
  <c r="C11" i="99"/>
  <c r="N630" i="14" l="1"/>
  <c r="N629" i="14"/>
  <c r="N621" i="14"/>
  <c r="N623" i="14"/>
  <c r="C537" i="107"/>
  <c r="C50" i="98"/>
  <c r="B11" i="103"/>
  <c r="B11" i="101"/>
  <c r="C96" i="98"/>
  <c r="C11" i="100"/>
  <c r="B11" i="102"/>
  <c r="C11" i="106"/>
  <c r="C629" i="14"/>
  <c r="C621" i="14"/>
  <c r="E25" i="94" l="1"/>
  <c r="C89" i="92"/>
  <c r="C80" i="109" s="1"/>
  <c r="N678" i="14"/>
  <c r="C491" i="14"/>
  <c r="C495" i="14" s="1"/>
  <c r="C499" i="14" s="1"/>
  <c r="C503" i="14" s="1"/>
  <c r="C734" i="107"/>
  <c r="B14" i="103" s="1"/>
  <c r="C66" i="103"/>
  <c r="L10" i="75"/>
  <c r="C622" i="14"/>
  <c r="C623" i="14"/>
  <c r="C630" i="14"/>
  <c r="L11" i="75" l="1"/>
  <c r="C13" i="105"/>
  <c r="C631" i="14"/>
  <c r="C624" i="14"/>
  <c r="L12" i="75" l="1"/>
  <c r="L13" i="75" l="1"/>
  <c r="L16" i="75" l="1"/>
  <c r="L19" i="75" l="1"/>
  <c r="L20" i="75" l="1"/>
  <c r="L21" i="75" l="1"/>
  <c r="L22" i="75" l="1"/>
  <c r="L23" i="75" l="1"/>
  <c r="L24" i="75" l="1"/>
  <c r="L25" i="75" l="1"/>
  <c r="C179" i="105"/>
  <c r="L26" i="75" l="1"/>
  <c r="C212" i="105" l="1"/>
  <c r="L27" i="75"/>
  <c r="L28" i="75" l="1"/>
  <c r="L29" i="75" l="1"/>
  <c r="L30" i="75" l="1"/>
  <c r="L31" i="75" l="1"/>
  <c r="I25" i="122" l="1"/>
  <c r="D25" i="122" s="1"/>
  <c r="I51" i="122"/>
  <c r="G54" i="122" l="1"/>
  <c r="I58" i="122" l="1"/>
  <c r="D58" i="122" l="1"/>
  <c r="I50" i="122" l="1"/>
  <c r="D50" i="122" l="1"/>
  <c r="D51" i="122"/>
  <c r="I33" i="122" l="1"/>
  <c r="D33" i="122" s="1"/>
  <c r="I26" i="122" l="1"/>
  <c r="D26" i="122" s="1"/>
  <c r="I34" i="122"/>
  <c r="I35" i="122" l="1"/>
  <c r="G28" i="122"/>
  <c r="I36" i="122"/>
  <c r="I32" i="122"/>
  <c r="D34" i="122"/>
  <c r="I27" i="122"/>
  <c r="G37" i="122"/>
  <c r="I31" i="122"/>
  <c r="D31" i="122" s="1"/>
  <c r="F37" i="122"/>
  <c r="I37" i="122" l="1"/>
  <c r="I38" i="122" s="1"/>
  <c r="G39" i="122"/>
  <c r="D36" i="122"/>
  <c r="D35" i="122"/>
  <c r="I24" i="122"/>
  <c r="F28" i="122"/>
  <c r="D32" i="122"/>
  <c r="I29" i="122"/>
  <c r="D27" i="122"/>
  <c r="I30" i="122" l="1"/>
  <c r="I28" i="122"/>
  <c r="F39" i="122"/>
  <c r="D24" i="122"/>
  <c r="E24" i="122"/>
  <c r="E26" i="122" s="1"/>
  <c r="E27" i="122" s="1"/>
  <c r="E31" i="122" s="1"/>
  <c r="E32" i="122" s="1"/>
  <c r="E35" i="122" s="1"/>
  <c r="E36" i="122" s="1"/>
  <c r="E45" i="122" s="1"/>
  <c r="E46" i="122" l="1"/>
  <c r="E47" i="122"/>
  <c r="E48" i="122" s="1"/>
  <c r="E50" i="122" s="1"/>
  <c r="I39" i="122"/>
  <c r="I40" i="122" s="1"/>
  <c r="I23" i="122"/>
  <c r="I14" i="122" s="1"/>
  <c r="I15" i="122"/>
  <c r="C16" i="122" s="1"/>
  <c r="C21" i="122" s="1"/>
  <c r="C23" i="122" l="1"/>
  <c r="C30" i="122" s="1"/>
  <c r="C14" i="122"/>
  <c r="I52" i="122" l="1"/>
  <c r="D52" i="122" l="1"/>
  <c r="E52" i="122"/>
  <c r="I61" i="122" l="1"/>
  <c r="G63" i="122"/>
  <c r="G65" i="122" l="1"/>
  <c r="I53" i="122" l="1"/>
  <c r="F54" i="122"/>
  <c r="I54" i="122" l="1"/>
  <c r="I43" i="122"/>
  <c r="I55" i="122"/>
  <c r="D53" i="122"/>
  <c r="E53" i="122"/>
  <c r="E57" i="122" s="1"/>
  <c r="E58" i="122" s="1"/>
  <c r="C43" i="122" l="1"/>
  <c r="I59" i="122" l="1"/>
  <c r="D59" i="122" l="1"/>
  <c r="E59" i="122"/>
  <c r="I60" i="122" l="1"/>
  <c r="D60" i="122" l="1"/>
  <c r="D61" i="122"/>
  <c r="E60" i="122"/>
  <c r="E61" i="122" s="1"/>
  <c r="I62" i="122" l="1"/>
  <c r="H61" i="6"/>
  <c r="H63" i="6" s="1"/>
  <c r="F63" i="122"/>
  <c r="I63" i="122" l="1"/>
  <c r="F65" i="122"/>
  <c r="J65" i="122" s="1"/>
  <c r="K65" i="122" s="1"/>
  <c r="D62" i="122"/>
  <c r="E62" i="122"/>
  <c r="H140" i="6" l="1"/>
  <c r="H143" i="6" s="1"/>
  <c r="K143" i="6" s="1"/>
  <c r="K145" i="6" s="1"/>
  <c r="I65" i="122"/>
  <c r="I66" i="122" s="1"/>
  <c r="R66" i="122"/>
  <c r="I64" i="122"/>
  <c r="I56" i="122"/>
  <c r="C56" i="122" l="1"/>
  <c r="I42" i="122"/>
  <c r="I41" i="122"/>
  <c r="C41" i="122" l="1"/>
  <c r="J9" i="122"/>
  <c r="J12" i="122"/>
  <c r="J11" i="122"/>
  <c r="I13" i="122"/>
  <c r="B17" i="81" l="1"/>
  <c r="B18" i="81" s="1"/>
  <c r="B19" i="81" s="1"/>
  <c r="B20" i="81" s="1"/>
  <c r="B21" i="81" s="1"/>
  <c r="B22" i="81" s="1"/>
  <c r="B23" i="81" s="1"/>
  <c r="B24" i="81" s="1"/>
  <c r="B25" i="81" s="1"/>
  <c r="B26" i="81" s="1"/>
  <c r="B27" i="81" s="1"/>
  <c r="B28" i="81" s="1"/>
  <c r="B29" i="81" s="1"/>
  <c r="B30" i="81" s="1"/>
  <c r="B31" i="81" s="1"/>
  <c r="B32" i="81" s="1"/>
  <c r="B33" i="81" s="1"/>
  <c r="B34" i="81" s="1"/>
  <c r="B35" i="81" s="1"/>
  <c r="B36" i="81" s="1"/>
  <c r="B37" i="81" s="1"/>
  <c r="B38" i="81" s="1"/>
  <c r="B39" i="81" s="1"/>
  <c r="B40" i="81" s="1"/>
  <c r="B41" i="81" s="1"/>
  <c r="B42" i="81" s="1"/>
  <c r="B43" i="81" s="1"/>
  <c r="B44" i="81" s="1"/>
  <c r="B45" i="81" s="1"/>
  <c r="B46" i="81" s="1"/>
  <c r="B47" i="81" s="1"/>
  <c r="B48" i="81" s="1"/>
  <c r="B49" i="81" s="1"/>
  <c r="B50" i="81" s="1"/>
  <c r="B51" i="81" s="1"/>
  <c r="B52" i="81" s="1"/>
  <c r="B53" i="81" s="1"/>
  <c r="B54" i="81" s="1"/>
  <c r="B55" i="81" s="1"/>
  <c r="B56" i="81" s="1"/>
  <c r="B57" i="81" s="1"/>
  <c r="B58" i="81" s="1"/>
  <c r="B59" i="81" s="1"/>
  <c r="B60" i="81" s="1"/>
  <c r="B61" i="81" s="1"/>
  <c r="B62" i="81" s="1"/>
  <c r="B63" i="81" s="1"/>
  <c r="B64" i="81" s="1"/>
  <c r="B65" i="81" s="1"/>
  <c r="B66" i="81" s="1"/>
  <c r="B67" i="81" s="1"/>
  <c r="B68" i="81" s="1"/>
  <c r="B69" i="81" s="1"/>
  <c r="B70" i="81" s="1"/>
  <c r="B71" i="81" s="1"/>
  <c r="B72" i="81" s="1"/>
  <c r="B73" i="81" s="1"/>
  <c r="B74" i="81" s="1"/>
  <c r="B75" i="81" s="1"/>
  <c r="B76" i="81" s="1"/>
  <c r="B77" i="81" s="1"/>
  <c r="B78" i="81" s="1"/>
  <c r="B79" i="81" s="1"/>
  <c r="B80" i="81" s="1"/>
  <c r="B81" i="81" s="1"/>
  <c r="B82" i="81" s="1"/>
  <c r="B83" i="81" s="1"/>
  <c r="B84" i="81" s="1"/>
  <c r="B85" i="81" s="1"/>
  <c r="B86" i="81" s="1"/>
  <c r="B87" i="81" s="1"/>
  <c r="B88" i="81" s="1"/>
  <c r="B89" i="81" s="1"/>
  <c r="B90" i="81" s="1"/>
  <c r="B91" i="81" s="1"/>
  <c r="B92" i="81" s="1"/>
  <c r="B93" i="81" s="1"/>
  <c r="B94" i="81" s="1"/>
  <c r="B95" i="81" s="1"/>
  <c r="B96" i="81" s="1"/>
  <c r="B97" i="81" s="1"/>
  <c r="B98" i="81" s="1"/>
  <c r="B99" i="81" s="1"/>
  <c r="B100" i="81" s="1"/>
  <c r="B101" i="81" s="1"/>
  <c r="B102" i="81" s="1"/>
  <c r="B103" i="81" s="1"/>
  <c r="B104" i="81" s="1"/>
  <c r="B105" i="81" s="1"/>
  <c r="B106" i="81" s="1"/>
  <c r="B107" i="81" s="1"/>
  <c r="B108" i="81" s="1"/>
  <c r="B109" i="81" s="1"/>
  <c r="B110" i="81" s="1"/>
  <c r="B111" i="81" s="1"/>
  <c r="B112" i="81" s="1"/>
  <c r="B113" i="81" s="1"/>
  <c r="B114" i="81" s="1"/>
  <c r="B115" i="81" s="1"/>
  <c r="B116" i="81" s="1"/>
  <c r="B117" i="81" s="1"/>
  <c r="B118" i="81" s="1"/>
  <c r="B119" i="81" s="1"/>
  <c r="B120" i="81" s="1"/>
  <c r="B121" i="81" s="1"/>
  <c r="B122" i="81" s="1"/>
  <c r="B123" i="81" s="1"/>
  <c r="B124" i="81" s="1"/>
  <c r="B125" i="81" s="1"/>
  <c r="B126" i="81" s="1"/>
  <c r="B127" i="81" s="1"/>
  <c r="B128" i="81" s="1"/>
  <c r="B129" i="81" s="1"/>
  <c r="B130" i="81" s="1"/>
  <c r="B131" i="81" s="1"/>
  <c r="B132" i="81" s="1"/>
  <c r="B133" i="81" s="1"/>
  <c r="B134" i="81" s="1"/>
  <c r="B135" i="81" s="1"/>
  <c r="B136" i="81" s="1"/>
  <c r="B137" i="81" s="1"/>
  <c r="B138" i="81" s="1"/>
  <c r="B139" i="81" s="1"/>
  <c r="B140" i="81" s="1"/>
  <c r="B141" i="81" s="1"/>
  <c r="B142" i="81" s="1"/>
  <c r="B143" i="81" s="1"/>
  <c r="B144" i="81" s="1"/>
  <c r="B145" i="81" s="1"/>
  <c r="B146" i="81" s="1"/>
  <c r="B147" i="81" s="1"/>
  <c r="B148" i="81" s="1"/>
  <c r="B149" i="81" s="1"/>
  <c r="B150" i="81" s="1"/>
  <c r="B151" i="81" s="1"/>
  <c r="B152" i="81" s="1"/>
  <c r="B153" i="81" s="1"/>
  <c r="B154" i="81" s="1"/>
  <c r="B155" i="81" s="1"/>
  <c r="B156" i="81" s="1"/>
  <c r="B157" i="81" s="1"/>
  <c r="B158" i="81" s="1"/>
  <c r="B159" i="81" s="1"/>
  <c r="B160" i="81" s="1"/>
  <c r="B161" i="81" s="1"/>
  <c r="B162" i="81" s="1"/>
  <c r="B163" i="81" s="1"/>
  <c r="B164" i="81" s="1"/>
  <c r="B165" i="81" s="1"/>
  <c r="B166" i="81" s="1"/>
  <c r="B167" i="81" s="1"/>
  <c r="B168" i="81" s="1"/>
  <c r="B169" i="81" s="1"/>
  <c r="B170" i="81" s="1"/>
  <c r="B171" i="81" s="1"/>
  <c r="B172" i="81" s="1"/>
  <c r="B173" i="81" s="1"/>
  <c r="B174" i="81" s="1"/>
  <c r="B175" i="81" s="1"/>
  <c r="B176" i="81" s="1"/>
  <c r="B177" i="81" s="1"/>
  <c r="B178" i="81" s="1"/>
  <c r="B179" i="81" s="1"/>
  <c r="B180" i="81" s="1"/>
  <c r="B181" i="81" s="1"/>
  <c r="B182" i="81" s="1"/>
  <c r="B183" i="81" s="1"/>
  <c r="B184" i="81" s="1"/>
  <c r="B185" i="81" s="1"/>
  <c r="B186" i="81" s="1"/>
  <c r="B187" i="81" s="1"/>
  <c r="B188" i="81" s="1"/>
  <c r="B189" i="81" s="1"/>
  <c r="B190" i="81" s="1"/>
  <c r="B191" i="81" s="1"/>
  <c r="B192" i="81" s="1"/>
  <c r="B193" i="81" s="1"/>
  <c r="B194" i="81" s="1"/>
  <c r="B195" i="81" s="1"/>
  <c r="B196" i="81" s="1"/>
  <c r="B197" i="81" s="1"/>
  <c r="B198" i="81" s="1"/>
  <c r="B199" i="81" s="1"/>
  <c r="B200" i="81" s="1"/>
  <c r="B201" i="81" s="1"/>
  <c r="B202" i="81" s="1"/>
  <c r="B203" i="81" s="1"/>
  <c r="B204" i="81" s="1"/>
  <c r="B205" i="81" s="1"/>
  <c r="B206" i="81" s="1"/>
  <c r="B207" i="81" s="1"/>
  <c r="B208" i="81" s="1"/>
  <c r="B209" i="81" s="1"/>
  <c r="B210" i="81" s="1"/>
  <c r="B211" i="81" s="1"/>
  <c r="B212" i="81" s="1"/>
  <c r="B213" i="81" s="1"/>
  <c r="B214" i="81" s="1"/>
  <c r="B215" i="81" s="1"/>
  <c r="B216" i="81" s="1"/>
  <c r="B217" i="81" s="1"/>
  <c r="B218" i="81" s="1"/>
  <c r="B219" i="81" s="1"/>
  <c r="B220" i="81" s="1"/>
  <c r="B221" i="81" s="1"/>
  <c r="B222" i="81" s="1"/>
  <c r="B223" i="81" s="1"/>
  <c r="B224" i="81" s="1"/>
  <c r="B225" i="81" s="1"/>
  <c r="B226" i="81" s="1"/>
  <c r="B227" i="81" s="1"/>
  <c r="B228" i="81" s="1"/>
  <c r="B229" i="81" s="1"/>
  <c r="B230" i="81" s="1"/>
  <c r="B231" i="81" s="1"/>
  <c r="B232" i="81" s="1"/>
  <c r="B233" i="81" s="1"/>
  <c r="B234" i="81" s="1"/>
  <c r="B235" i="81" s="1"/>
  <c r="B236" i="81" s="1"/>
  <c r="B237" i="81" s="1"/>
  <c r="B238" i="81" s="1"/>
  <c r="B239" i="81" s="1"/>
  <c r="B240" i="81" s="1"/>
  <c r="B241" i="81" s="1"/>
  <c r="B242" i="81" s="1"/>
  <c r="B243" i="81" s="1"/>
  <c r="B244" i="81" s="1"/>
  <c r="B245" i="81" s="1"/>
  <c r="B246" i="81" s="1"/>
  <c r="B247" i="81" s="1"/>
  <c r="B248" i="81" s="1"/>
  <c r="B249" i="81" s="1"/>
  <c r="B250" i="81" s="1"/>
  <c r="B251" i="81" s="1"/>
  <c r="B252" i="81" s="1"/>
  <c r="B253" i="81" s="1"/>
  <c r="B254" i="81" s="1"/>
  <c r="B255" i="81" s="1"/>
  <c r="B256" i="81" s="1"/>
  <c r="B257" i="81" s="1"/>
  <c r="B258" i="81" s="1"/>
  <c r="B259" i="81" s="1"/>
  <c r="B260" i="81" s="1"/>
  <c r="B261" i="81" s="1"/>
  <c r="B262" i="81" s="1"/>
  <c r="B263" i="81" s="1"/>
  <c r="B264" i="81" s="1"/>
  <c r="B265" i="81" s="1"/>
  <c r="B266" i="81" s="1"/>
  <c r="B267" i="81" s="1"/>
  <c r="B268" i="81" s="1"/>
  <c r="B269" i="81" s="1"/>
  <c r="B270" i="81" s="1"/>
  <c r="B271" i="81" s="1"/>
  <c r="B272" i="81" s="1"/>
  <c r="B273" i="81" s="1"/>
  <c r="B274" i="81" s="1"/>
  <c r="B275" i="81" s="1"/>
  <c r="B276" i="81" s="1"/>
  <c r="B277" i="81" s="1"/>
  <c r="B278" i="81" s="1"/>
  <c r="B279" i="81" s="1"/>
  <c r="B280" i="81" s="1"/>
  <c r="B281" i="81" s="1"/>
  <c r="B282" i="81" s="1"/>
  <c r="B283" i="81" s="1"/>
  <c r="B284" i="81" s="1"/>
  <c r="B285" i="81" s="1"/>
  <c r="B286" i="81" s="1"/>
  <c r="B287" i="81" s="1"/>
  <c r="B288" i="81" s="1"/>
  <c r="B289" i="81" s="1"/>
  <c r="B290" i="81" s="1"/>
  <c r="B291" i="81" s="1"/>
  <c r="B292" i="81" s="1"/>
  <c r="B293" i="81" s="1"/>
  <c r="B294" i="81" s="1"/>
  <c r="B295" i="81" s="1"/>
  <c r="B296" i="81" s="1"/>
  <c r="B297" i="81" s="1"/>
  <c r="B298" i="81" s="1"/>
  <c r="B299" i="81" s="1"/>
  <c r="B300" i="81" s="1"/>
  <c r="B301" i="81" s="1"/>
  <c r="B302" i="81" s="1"/>
  <c r="B303" i="81" s="1"/>
  <c r="B304" i="81" s="1"/>
  <c r="B305" i="81" s="1"/>
  <c r="B306" i="81" s="1"/>
  <c r="B307" i="81" s="1"/>
  <c r="B308" i="81" s="1"/>
  <c r="B309" i="81" s="1"/>
  <c r="B310" i="81" s="1"/>
  <c r="B311" i="81" s="1"/>
  <c r="B312" i="81" s="1"/>
  <c r="B313" i="81" s="1"/>
  <c r="B314" i="81" s="1"/>
  <c r="D433" i="107" l="1"/>
  <c r="D89" i="100" s="1"/>
  <c r="G43" i="123"/>
  <c r="K33" i="123" s="1"/>
  <c r="K34" i="123" l="1"/>
  <c r="E1270" i="107" s="1"/>
  <c r="E165" i="96" s="1"/>
  <c r="E166" i="96" s="1"/>
  <c r="E18" i="126"/>
  <c r="E17" i="126" l="1"/>
  <c r="E20" i="126" s="1"/>
  <c r="H17" i="125"/>
</calcChain>
</file>

<file path=xl/comments1.xml><?xml version="1.0" encoding="utf-8"?>
<comments xmlns="http://schemas.openxmlformats.org/spreadsheetml/2006/main">
  <authors>
    <author>admin</author>
  </authors>
  <commentList>
    <comment ref="C98" authorId="0" shapeId="0">
      <text>
        <r>
          <rPr>
            <b/>
            <sz val="9"/>
            <color indexed="81"/>
            <rFont val="Tahoma"/>
            <family val="2"/>
          </rPr>
          <t>admin:</t>
        </r>
        <r>
          <rPr>
            <sz val="9"/>
            <color indexed="81"/>
            <rFont val="Tahoma"/>
            <family val="2"/>
          </rPr>
          <t xml:space="preserve">
please format these pages</t>
        </r>
      </text>
    </comment>
  </commentList>
</comments>
</file>

<file path=xl/connections.xml><?xml version="1.0" encoding="utf-8"?>
<connections xmlns="http://schemas.openxmlformats.org/spreadsheetml/2006/main">
  <connection id="1" keepAlive="1" name="Query - Deleted Ledgers(1)" description="Connection to the 'Deleted Ledgers' query in the workbook." type="5" refreshedVersion="0" background="1">
    <dbPr connection="Provider=Microsoft.Mashup.OleDb.1;Data Source=$Workbook$;Location=&quot;Deleted Ledgers&quot;;Extended Properties=&quot;&quot;" command="SELECT * FROM [Deleted Ledgers]"/>
  </connection>
  <connection id="2" keepAlive="1" name="Query - Existing" description="Connection to the 'Existing' query in the workbook." type="5" refreshedVersion="0" background="1">
    <dbPr connection="Provider=Microsoft.Mashup.OleDb.1;Data Source=$Workbook$;Location=Existing;Extended Properties=&quot;&quot;" command="SELECT * FROM [Existing]"/>
  </connection>
  <connection id="3" keepAlive="1" name="Query - Final TB" description="Connection to the 'Final TB' query in the workbook." type="5" refreshedVersion="8" background="1" saveData="1">
    <dbPr connection="Provider=Microsoft.Mashup.OleDb.1;Data Source=$Workbook$;Location=&quot;Final TB&quot;;Extended Properties=&quot;&quot;" command="SELECT * FROM [Final TB]"/>
  </connection>
  <connection id="4" keepAlive="1" name="Query - Latest TB" description="Connection to the 'Latest TB' query in the workbook." type="5" refreshedVersion="8" background="1" saveData="1">
    <dbPr connection="Provider=Microsoft.Mashup.OleDb.1;Data Source=$Workbook$;Location=&quot;Latest TB&quot;;Extended Properties=&quot;&quot;" command="SELECT * FROM [Latest TB]"/>
  </connection>
  <connection id="5" keepAlive="1" name="Query - Matched And Deleted" description="Connection to the 'Matched And Deleted' query in the workbook." type="5" refreshedVersion="0" background="1">
    <dbPr connection="Provider=Microsoft.Mashup.OleDb.1;Data Source=$Workbook$;Location=&quot;Matched And Deleted&quot;;Extended Properties=&quot;&quot;" command="SELECT * FROM [Matched And Deleted]"/>
  </connection>
  <connection id="6" keepAlive="1" name="Query - Matched Ledgers" description="Connection to the 'Matched Ledgers' query in the workbook." type="5" refreshedVersion="0" background="1">
    <dbPr connection="Provider=Microsoft.Mashup.OleDb.1;Data Source=$Workbook$;Location=&quot;Matched Ledgers&quot;;Extended Properties=&quot;&quot;" command="SELECT * FROM [Matched Ledgers]"/>
  </connection>
  <connection id="7" keepAlive="1" name="Query - New Ledgers" description="Connection to the 'New Ledgers' query in the workbook." type="5" refreshedVersion="8" background="1" saveData="1">
    <dbPr connection="Provider=Microsoft.Mashup.OleDb.1;Data Source=$Workbook$;Location=&quot;New Ledgers&quot;;Extended Properties=&quot;&quot;" command="SELECT * FROM [New Ledgers]"/>
  </connection>
  <connection id="8" keepAlive="1" name="Query - PYTBGrouping" description="Connection to the 'PYTBGrouping' query in the workbook." type="5" refreshedVersion="8" background="1" saveData="1">
    <dbPr connection="Provider=Microsoft.Mashup.OleDb.1;Data Source=$Workbook$;Location=PYTBGrouping;Extended Properties=&quot;&quot;" command="SELECT * FROM [PYTBGrouping]"/>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<sst xmlns="http://schemas.openxmlformats.org/spreadsheetml/2006/main" count="18264" uniqueCount="3948">
  <si>
    <t xml:space="preserve"> Note No.</t>
  </si>
  <si>
    <t>`</t>
  </si>
  <si>
    <t>A</t>
  </si>
  <si>
    <t>EQUITY AND LIABILITIES</t>
  </si>
  <si>
    <t>Shareholders’ funds</t>
  </si>
  <si>
    <t xml:space="preserve">(a) Share capital </t>
  </si>
  <si>
    <t>Share application money pending allotment</t>
  </si>
  <si>
    <t>Non-current liabilities</t>
  </si>
  <si>
    <t>Current liabilities</t>
  </si>
  <si>
    <t>B</t>
  </si>
  <si>
    <t>ASSETS</t>
  </si>
  <si>
    <t>Non-current assets</t>
  </si>
  <si>
    <t>Current assets</t>
  </si>
  <si>
    <t xml:space="preserve">In terms of our report attached. </t>
  </si>
  <si>
    <t xml:space="preserve">For and on behalf of the Board of Directors </t>
  </si>
  <si>
    <t>Chartered Accountants</t>
  </si>
  <si>
    <t xml:space="preserve">                      </t>
  </si>
  <si>
    <t>XXX</t>
  </si>
  <si>
    <t xml:space="preserve">Partner
 </t>
  </si>
  <si>
    <t xml:space="preserve"> </t>
  </si>
  <si>
    <t>Particulars</t>
  </si>
  <si>
    <t>Note No.</t>
  </si>
  <si>
    <t>CONTINUING OPERATIONS</t>
  </si>
  <si>
    <t>Other income</t>
  </si>
  <si>
    <t>Expenses</t>
  </si>
  <si>
    <t>Total expenses</t>
  </si>
  <si>
    <t>Extraordinary items</t>
  </si>
  <si>
    <t>DISCONTINUING OPERATIONS</t>
  </si>
  <si>
    <t>Profit / (Loss) from discontinuing operations (before tax)</t>
  </si>
  <si>
    <t>Gain / (Loss) on disposal of assets / settlement of liabilities attributable to the discontinuing operations</t>
  </si>
  <si>
    <t>(a) on ordinary activities attributable to the discontinuing operations</t>
  </si>
  <si>
    <t>TOTAL OPERATIONS</t>
  </si>
  <si>
    <t>(a) Basic</t>
  </si>
  <si>
    <t>(b) Diluted</t>
  </si>
  <si>
    <t>In terms of our report attached.</t>
  </si>
  <si>
    <t>Total</t>
  </si>
  <si>
    <t>Finance costs</t>
  </si>
  <si>
    <t>Depreciation and amortisation expense</t>
  </si>
  <si>
    <t>A. Cash flow from operating activities</t>
  </si>
  <si>
    <t>Adjustments for:</t>
  </si>
  <si>
    <t>Depreciation and amortisation</t>
  </si>
  <si>
    <t>Expense on employee stock option scheme</t>
  </si>
  <si>
    <t>Interest income</t>
  </si>
  <si>
    <t>Dividend income</t>
  </si>
  <si>
    <t>Rental income from investment properties</t>
  </si>
  <si>
    <t>Rental income from operating leases</t>
  </si>
  <si>
    <t>Share of profit from partnership firms</t>
  </si>
  <si>
    <t>Share of profit from LLPs</t>
  </si>
  <si>
    <t>Liabilities / provisions no longer required written back</t>
  </si>
  <si>
    <t>Adjustments to the carrying amount of investments</t>
  </si>
  <si>
    <t>Provision for losses of subsidiary companies</t>
  </si>
  <si>
    <t>Provision for doubtful trade and other receivables, loans and advances</t>
  </si>
  <si>
    <t>Provision for warranty</t>
  </si>
  <si>
    <t>Provision for contingencies</t>
  </si>
  <si>
    <t>Other non-cash charges (specify)</t>
  </si>
  <si>
    <t xml:space="preserve">Net unrealised exchange (gain) / loss </t>
  </si>
  <si>
    <t>Operating profit / (loss) before working capital changes</t>
  </si>
  <si>
    <t>Changes in working capital:</t>
  </si>
  <si>
    <t>Inventories</t>
  </si>
  <si>
    <t>Trade receivables</t>
  </si>
  <si>
    <t>Trade payables</t>
  </si>
  <si>
    <t>Cash flow from extraordinary items</t>
  </si>
  <si>
    <t>Cash generated from operations</t>
  </si>
  <si>
    <t>Net cash flow from / (used in) operating activities (A)</t>
  </si>
  <si>
    <t>B. Cash flow from investing activities</t>
  </si>
  <si>
    <t>Proceeds from sale of fixed assets</t>
  </si>
  <si>
    <t>Inter-corporate deposits (net)</t>
  </si>
  <si>
    <t xml:space="preserve">  - Subsidiaries </t>
  </si>
  <si>
    <t xml:space="preserve">  - Associates</t>
  </si>
  <si>
    <t xml:space="preserve">  - Joint ventures</t>
  </si>
  <si>
    <t xml:space="preserve">  - Business units</t>
  </si>
  <si>
    <t xml:space="preserve">  - Others</t>
  </si>
  <si>
    <t>Loans given</t>
  </si>
  <si>
    <t>Loans realised</t>
  </si>
  <si>
    <t>Interest received</t>
  </si>
  <si>
    <t>Dividend received</t>
  </si>
  <si>
    <t>C. Cash flow from financing activities</t>
  </si>
  <si>
    <t>Proceeds from issue of equity shares</t>
  </si>
  <si>
    <t>Proceeds from issue of preference shares</t>
  </si>
  <si>
    <t>Redemption / buy back of preference / equity shares</t>
  </si>
  <si>
    <t>Proceeds from issue of share warrants</t>
  </si>
  <si>
    <t>Share application money received / (refunded)</t>
  </si>
  <si>
    <t>Proceeds from other short-term borrowings</t>
  </si>
  <si>
    <t>Repayment of other short-term borrowings</t>
  </si>
  <si>
    <t>Dividends paid</t>
  </si>
  <si>
    <t>Tax on dividend</t>
  </si>
  <si>
    <t>Net cash flow from / (used in) financing activities (C)</t>
  </si>
  <si>
    <t>Cash and cash equivalents at the beginning of the year</t>
  </si>
  <si>
    <t>Cash and cash equivalents at the end of the year</t>
  </si>
  <si>
    <t>Notes:</t>
  </si>
  <si>
    <t>Notes forming part of the financial statements</t>
  </si>
  <si>
    <t>Corporate information</t>
  </si>
  <si>
    <t>Basis of accounting and preparation of financial statements</t>
  </si>
  <si>
    <t>Use of estimates</t>
  </si>
  <si>
    <t>Revenue recognition</t>
  </si>
  <si>
    <t>Sale of goods</t>
  </si>
  <si>
    <t xml:space="preserve">Income from services </t>
  </si>
  <si>
    <t>Capital work-in-progress:</t>
  </si>
  <si>
    <t>Intangible assets</t>
  </si>
  <si>
    <t>Foreign currency transactions and translations</t>
  </si>
  <si>
    <t>Investments</t>
  </si>
  <si>
    <t>Employee benefits</t>
  </si>
  <si>
    <t>Defined contribution plans</t>
  </si>
  <si>
    <t>Defined benefit plans</t>
  </si>
  <si>
    <t>Short-term employee benefits</t>
  </si>
  <si>
    <t>Employee share based payments</t>
  </si>
  <si>
    <t>Borrowing costs</t>
  </si>
  <si>
    <t>Segment reporting</t>
  </si>
  <si>
    <t>Leases</t>
  </si>
  <si>
    <t>Earnings per share</t>
  </si>
  <si>
    <t>Taxes on income</t>
  </si>
  <si>
    <t>Research and development expenses</t>
  </si>
  <si>
    <t>Impairment of assets</t>
  </si>
  <si>
    <t>The estimated liability for product warranties is recorded when products are sold. These estimates are established using historical information on the nature, frequency and average cost of warranty claims and management estimates regarding possible future incidence based on corrective actions on product failures. The timing of outflows will vary as and when warranty claim will arise - being typically upto three years.</t>
  </si>
  <si>
    <t>Hedge accounting</t>
  </si>
  <si>
    <t>Derivative contracts</t>
  </si>
  <si>
    <t>Insurance claims</t>
  </si>
  <si>
    <t>Service tax input credit</t>
  </si>
  <si>
    <t>Fresh issue</t>
  </si>
  <si>
    <t xml:space="preserve">Bonus </t>
  </si>
  <si>
    <t>ESOP</t>
  </si>
  <si>
    <t>Conversion</t>
  </si>
  <si>
    <t xml:space="preserve">Buy back </t>
  </si>
  <si>
    <t>Other changes (give details)</t>
  </si>
  <si>
    <t>Equity shares with voting rights</t>
  </si>
  <si>
    <t>- Number of shares</t>
  </si>
  <si>
    <t>Equity shares with differential voting rights</t>
  </si>
  <si>
    <t>Compulsorily convertible preference shares</t>
  </si>
  <si>
    <t>Optionally convertible preference shares</t>
  </si>
  <si>
    <t>Redeemable preference shares</t>
  </si>
  <si>
    <t>Subsidiaries of the holding company</t>
  </si>
  <si>
    <t>Associates of the holding company</t>
  </si>
  <si>
    <t>Subsidiaries of the ultimate holding company</t>
  </si>
  <si>
    <t>Associates of the ultimate holding company</t>
  </si>
  <si>
    <t xml:space="preserve">% holding in that class of shares </t>
  </si>
  <si>
    <t>Shareholder 1</t>
  </si>
  <si>
    <t>Shareholder 2</t>
  </si>
  <si>
    <t xml:space="preserve">Particulars </t>
  </si>
  <si>
    <t>Fully paid up pursuant to contract(s) without payment being received in cash</t>
  </si>
  <si>
    <t>Fully paid up by way of bonus shares</t>
  </si>
  <si>
    <t>Shares bought back</t>
  </si>
  <si>
    <t>Aggregate of calls unpaid</t>
  </si>
  <si>
    <t>- by directors</t>
  </si>
  <si>
    <t>- by officers</t>
  </si>
  <si>
    <t>- by others</t>
  </si>
  <si>
    <t>(viii) Details of forfeited shares</t>
  </si>
  <si>
    <t>Class of shares</t>
  </si>
  <si>
    <t>(a) Capital reserve</t>
  </si>
  <si>
    <t>Opening balance</t>
  </si>
  <si>
    <t>Less: Utilised / transferred during the year (give details)</t>
  </si>
  <si>
    <t>Closing balance</t>
  </si>
  <si>
    <t>(b) Capital redemption reserve</t>
  </si>
  <si>
    <t xml:space="preserve">Add: Additions during the year </t>
  </si>
  <si>
    <t>Add : Premium on shares issued during the year</t>
  </si>
  <si>
    <t>Less : Utilised during the year for:</t>
  </si>
  <si>
    <t>(d) Debenture redemption reserve</t>
  </si>
  <si>
    <t>(e) Revaluation reserve</t>
  </si>
  <si>
    <t>Add: Addition on revaluations during the year</t>
  </si>
  <si>
    <t>(g) General reserve</t>
  </si>
  <si>
    <t>Less: Utilised / transferred during the year for:</t>
  </si>
  <si>
    <t xml:space="preserve">(h) Foreign currency translation reserve </t>
  </si>
  <si>
    <t>Add / (Less): Effect of foreign exchange rate variations during the year</t>
  </si>
  <si>
    <t>(i) Hedging reserve</t>
  </si>
  <si>
    <t>Add / (Less): Transferred to Statement of Profit and Loss</t>
  </si>
  <si>
    <t>General reserve</t>
  </si>
  <si>
    <t xml:space="preserve">Less:  Interim dividend </t>
  </si>
  <si>
    <t xml:space="preserve">Transferred to: </t>
  </si>
  <si>
    <t>Capital redemption reserve</t>
  </si>
  <si>
    <t>Debenture redemption reserve</t>
  </si>
  <si>
    <t>__% Redeemable bonds / debentures</t>
  </si>
  <si>
    <t>Others</t>
  </si>
  <si>
    <t>Total - Bonds / debentures</t>
  </si>
  <si>
    <t>Term loans from banks:</t>
  </si>
  <si>
    <t>XXX Bank</t>
  </si>
  <si>
    <t>Bonds / debentures</t>
  </si>
  <si>
    <t>Term loans from banks</t>
  </si>
  <si>
    <t>Term loans from other parties</t>
  </si>
  <si>
    <t>Period of default</t>
  </si>
  <si>
    <t>Principal</t>
  </si>
  <si>
    <t>Interest</t>
  </si>
  <si>
    <t>A.</t>
  </si>
  <si>
    <t>Tangible assets</t>
  </si>
  <si>
    <t>Additions</t>
  </si>
  <si>
    <t>Amount</t>
  </si>
  <si>
    <t>Total - Trade (A)</t>
  </si>
  <si>
    <t>Total - Other investments (B)</t>
  </si>
  <si>
    <t>Total (A+B)</t>
  </si>
  <si>
    <t>Secured, considered good</t>
  </si>
  <si>
    <t>Unsecured, considered good</t>
  </si>
  <si>
    <t>Doubtful</t>
  </si>
  <si>
    <t>Less: Provision for doubtful advances</t>
  </si>
  <si>
    <t>Less: Provision for doubtful loans and advances</t>
  </si>
  <si>
    <t xml:space="preserve">Note: Details of inventory of work-in-progress </t>
  </si>
  <si>
    <t>Product X1</t>
  </si>
  <si>
    <t>Product Y1</t>
  </si>
  <si>
    <t>Product Z1</t>
  </si>
  <si>
    <t>Other items</t>
  </si>
  <si>
    <t>(a) Cash on hand</t>
  </si>
  <si>
    <t>(b) Cheques, drafts on hand</t>
  </si>
  <si>
    <t>(c) Balances with banks</t>
  </si>
  <si>
    <t>(i) In current accounts</t>
  </si>
  <si>
    <t>(ii) In EEFC accounts</t>
  </si>
  <si>
    <t>(a)</t>
  </si>
  <si>
    <t>Note</t>
  </si>
  <si>
    <t>Manufactured goods</t>
  </si>
  <si>
    <t>Product X</t>
  </si>
  <si>
    <t>Product Y</t>
  </si>
  <si>
    <t>Product Z</t>
  </si>
  <si>
    <t xml:space="preserve">Others </t>
  </si>
  <si>
    <t>Total - Sale of manufactured goods</t>
  </si>
  <si>
    <t>Traded goods</t>
  </si>
  <si>
    <t>Total - Sale of services</t>
  </si>
  <si>
    <t xml:space="preserve">Sale of scrap </t>
  </si>
  <si>
    <t>Total - Other operating revenues</t>
  </si>
  <si>
    <t>Interest income comprises:</t>
  </si>
  <si>
    <t>other balances</t>
  </si>
  <si>
    <t>Interest on loans and advances</t>
  </si>
  <si>
    <t xml:space="preserve">Interest on overdue trade receivables </t>
  </si>
  <si>
    <t>Interest income from current investments</t>
  </si>
  <si>
    <t>Other interest</t>
  </si>
  <si>
    <t>Total - Interest income</t>
  </si>
  <si>
    <t>Other non-operating income comprises:</t>
  </si>
  <si>
    <t>Total - Other non-operating income</t>
  </si>
  <si>
    <t>Opening stock</t>
  </si>
  <si>
    <t>Add: Purchases</t>
  </si>
  <si>
    <t>Less: Closing stock</t>
  </si>
  <si>
    <t>Finished goods</t>
  </si>
  <si>
    <t>Work-in-progress</t>
  </si>
  <si>
    <t>Stock-in-trade</t>
  </si>
  <si>
    <t>Net (increase) / decrease</t>
  </si>
  <si>
    <t>Consumption of stores and spare parts</t>
  </si>
  <si>
    <t>Power and fuel</t>
  </si>
  <si>
    <t>Repairs and maintenance - Buildings</t>
  </si>
  <si>
    <t>Repairs and maintenance - Machinery</t>
  </si>
  <si>
    <t>Insurance</t>
  </si>
  <si>
    <t>Rates and taxes</t>
  </si>
  <si>
    <t>Donations and contributions</t>
  </si>
  <si>
    <t>Bad trade and other receivables, loans and advances written off</t>
  </si>
  <si>
    <t>Reimbursement of expenses</t>
  </si>
  <si>
    <t xml:space="preserve">Total </t>
  </si>
  <si>
    <t>Contingent liabilities and commitments (to the extent not provided for)</t>
  </si>
  <si>
    <t>Contingent liabilities</t>
  </si>
  <si>
    <t>(b) Guarantees @ (give details)</t>
  </si>
  <si>
    <t>(a) Estimated amount of contracts remaining to be executed on capital account and not provided for</t>
  </si>
  <si>
    <t>(b) Uncalled liability on shares and other investments partly paid</t>
  </si>
  <si>
    <t>(c) Other commitments (specify nature)</t>
  </si>
  <si>
    <t>Dues to Micro and Small Enterprises have been determined to the extent such parties have been identified on the basis of information collected by the Management. This has been relied upon by the auditors.</t>
  </si>
  <si>
    <t>(vi) The amount of further interest due and payable even in the succeeding year, until such date when the interest dues as above are actually paid</t>
  </si>
  <si>
    <t>(i) Outstanding forward exchange contracts entered into by the Company as on 31 March, 20X2</t>
  </si>
  <si>
    <t>Currency</t>
  </si>
  <si>
    <t>Buy / Sell</t>
  </si>
  <si>
    <t>Cross currency</t>
  </si>
  <si>
    <t>AUD</t>
  </si>
  <si>
    <t>Buy</t>
  </si>
  <si>
    <t>Rupees</t>
  </si>
  <si>
    <t>(AAA)</t>
  </si>
  <si>
    <t>USD</t>
  </si>
  <si>
    <t>YYY</t>
  </si>
  <si>
    <t>Sell</t>
  </si>
  <si>
    <t>(ZZZ)</t>
  </si>
  <si>
    <t>Note: Figures in brackets relate to the previous year</t>
  </si>
  <si>
    <t>(ii) Outstanding option contracts entered into by the Company as on 31 March, 20X2</t>
  </si>
  <si>
    <t>(c) Currency swaps (other than forward exchange contracts stated above) to hedge against fluctuations in changes in exchange rate. No. of contracts: Nil (As at 31 March, 20X1: Nil)</t>
  </si>
  <si>
    <t>Receivable/ (Payable)</t>
  </si>
  <si>
    <t>in Foreign currency</t>
  </si>
  <si>
    <t>Raw materials</t>
  </si>
  <si>
    <t>Components</t>
  </si>
  <si>
    <t>Spare parts</t>
  </si>
  <si>
    <t>Total Components and spare parts</t>
  </si>
  <si>
    <t>Capital goods</t>
  </si>
  <si>
    <t>Royalty</t>
  </si>
  <si>
    <t>Know-how</t>
  </si>
  <si>
    <t>Professional and consultation fees</t>
  </si>
  <si>
    <t>%</t>
  </si>
  <si>
    <t>Imported</t>
  </si>
  <si>
    <t>Indigenous</t>
  </si>
  <si>
    <t>Royalty, know-how, professional and consultation fees</t>
  </si>
  <si>
    <t>Interest and dividend</t>
  </si>
  <si>
    <t>Amount of dividend remitted in foreign currency</t>
  </si>
  <si>
    <t>Total number of non-resident shareholders (to whom the dividends were remitted in foreign currency)</t>
  </si>
  <si>
    <t>Total number of shares held by them on which dividend was due</t>
  </si>
  <si>
    <t>Year to which the dividend relates</t>
  </si>
  <si>
    <t xml:space="preserve">Materials </t>
  </si>
  <si>
    <t xml:space="preserve">Professional fees </t>
  </si>
  <si>
    <t xml:space="preserve">Consumables </t>
  </si>
  <si>
    <t xml:space="preserve">Travelling expenses </t>
  </si>
  <si>
    <t xml:space="preserve">Rent </t>
  </si>
  <si>
    <t>Contract revenue recognised during the year</t>
  </si>
  <si>
    <t xml:space="preserve">Advances received for contracts in progress </t>
  </si>
  <si>
    <t xml:space="preserve">Retention money for contracts in progress </t>
  </si>
  <si>
    <t>Value of assets and liabilities acquired:</t>
  </si>
  <si>
    <t>Secured loans</t>
  </si>
  <si>
    <t>Unsecured loans</t>
  </si>
  <si>
    <t xml:space="preserve">Less: </t>
  </si>
  <si>
    <t>Carrying value of investments in the Transferor Companies</t>
  </si>
  <si>
    <t>Value of shares of the Company issued to the minority shareholders</t>
  </si>
  <si>
    <t>Difference considered as goodwill / capital reserve</t>
  </si>
  <si>
    <t>Employee benefit plans</t>
  </si>
  <si>
    <t>Gratuity</t>
  </si>
  <si>
    <t>Current service cost</t>
  </si>
  <si>
    <t>Interest cost</t>
  </si>
  <si>
    <t>Expected return on plan assets</t>
  </si>
  <si>
    <t>Past service cost</t>
  </si>
  <si>
    <t>Actuarial losses/(gains)</t>
  </si>
  <si>
    <t>Total expense recognised in the Statement of Profit and Loss</t>
  </si>
  <si>
    <t>Actual benefit payments</t>
  </si>
  <si>
    <t>Actual contributions</t>
  </si>
  <si>
    <t>Present value of defined benefit obligation</t>
  </si>
  <si>
    <t>Fair value of plan assets</t>
  </si>
  <si>
    <t>Unrecognised past service costs</t>
  </si>
  <si>
    <t xml:space="preserve">Current service cost </t>
  </si>
  <si>
    <t xml:space="preserve">Interest cost </t>
  </si>
  <si>
    <t>Plan amendments</t>
  </si>
  <si>
    <t>Acquisitions</t>
  </si>
  <si>
    <t>Benefits paid</t>
  </si>
  <si>
    <t>Acquisition adjustment</t>
  </si>
  <si>
    <t>Actual company contributions</t>
  </si>
  <si>
    <t>Actual return on plan assets</t>
  </si>
  <si>
    <t>Composition of the plan assets is as follows:</t>
  </si>
  <si>
    <t>Government bonds</t>
  </si>
  <si>
    <t>PSU bonds</t>
  </si>
  <si>
    <t>Equity mutual funds</t>
  </si>
  <si>
    <t>Actuarial assumptions</t>
  </si>
  <si>
    <t>Discount rate</t>
  </si>
  <si>
    <t>Salary escalation</t>
  </si>
  <si>
    <t>Medical cost inflation</t>
  </si>
  <si>
    <t>Mortality tables</t>
  </si>
  <si>
    <t>Performance percentage considered</t>
  </si>
  <si>
    <t>Estimate of amount of contribution in the immediate next year</t>
  </si>
  <si>
    <t>Increase by 1%</t>
  </si>
  <si>
    <t>Decrease by 1%</t>
  </si>
  <si>
    <t xml:space="preserve">Experience adjustments </t>
  </si>
  <si>
    <t>3rd prior year</t>
  </si>
  <si>
    <t>Present value of DBO</t>
  </si>
  <si>
    <t>Borrowing costs capitalised during the year</t>
  </si>
  <si>
    <t>Segment information</t>
  </si>
  <si>
    <t>Eliminations</t>
  </si>
  <si>
    <t>Revenue</t>
  </si>
  <si>
    <t>Inter-segment revenue</t>
  </si>
  <si>
    <t>Segment result</t>
  </si>
  <si>
    <t xml:space="preserve">Unallocable expenses (net) </t>
  </si>
  <si>
    <t xml:space="preserve">Operating income </t>
  </si>
  <si>
    <t xml:space="preserve">Profit before taxes </t>
  </si>
  <si>
    <t xml:space="preserve">Tax expense </t>
  </si>
  <si>
    <t>Segment assets</t>
  </si>
  <si>
    <t>Unallocable assets</t>
  </si>
  <si>
    <t>Total assets</t>
  </si>
  <si>
    <t>Segment liabilities</t>
  </si>
  <si>
    <t>Unallocable liabilities</t>
  </si>
  <si>
    <t>Total liabilities</t>
  </si>
  <si>
    <t>Other information</t>
  </si>
  <si>
    <t>Capital expenditure (allocable)</t>
  </si>
  <si>
    <t>Capital expenditure (unallocable)</t>
  </si>
  <si>
    <t>Depreciation and amortisation (unallocable)</t>
  </si>
  <si>
    <t>Other significant non-cash expenses (unallocable)</t>
  </si>
  <si>
    <t>Related party transactions</t>
  </si>
  <si>
    <t>Description of relationship</t>
  </si>
  <si>
    <t>Names of related parties</t>
  </si>
  <si>
    <t>Holding Company</t>
  </si>
  <si>
    <t>Ultimate Holding Company</t>
  </si>
  <si>
    <t>Subsidiaries</t>
  </si>
  <si>
    <t>Associates</t>
  </si>
  <si>
    <t>Fellow Subsidiaries</t>
  </si>
  <si>
    <t>Loans and advances</t>
  </si>
  <si>
    <t>Borrowings</t>
  </si>
  <si>
    <t xml:space="preserve">Future minimum lease payments </t>
  </si>
  <si>
    <t>not later than one year</t>
  </si>
  <si>
    <t>later than one year and not later than five years</t>
  </si>
  <si>
    <t>later than five years</t>
  </si>
  <si>
    <t>Contingent rents recognised as income during the year (state basis)</t>
  </si>
  <si>
    <t>Impairment losses recognised on the leased assets</t>
  </si>
  <si>
    <t>Impairment losses reversed on the leased assets</t>
  </si>
  <si>
    <t>Future minimum lease payments and reconciliation of gross investment in the lease and present value of minimum lease payments</t>
  </si>
  <si>
    <t>Less: Unearned finance income</t>
  </si>
  <si>
    <t>Present value of minimum lease payments receivable</t>
  </si>
  <si>
    <t>Accumulated provision for doubtful minimum lease payments</t>
  </si>
  <si>
    <t>As Lessee</t>
  </si>
  <si>
    <t>Less: Unmatured finance charges</t>
  </si>
  <si>
    <t>Present value of minimum lease payments payable</t>
  </si>
  <si>
    <t>Contingent rents recognised as expense during the year (state basis)</t>
  </si>
  <si>
    <t>Future minimum sublease payments expected to be received under non-cancellable subleases</t>
  </si>
  <si>
    <t>Lease payments recognised in the Statement of Profit and Loss</t>
  </si>
  <si>
    <t>Sublease payments received / receivable recognised in the Statement of Profit and Loss</t>
  </si>
  <si>
    <t>Basic</t>
  </si>
  <si>
    <t>Less: Preference dividend and tax thereon</t>
  </si>
  <si>
    <t>Par value per share</t>
  </si>
  <si>
    <t>Earnings per share - Basic</t>
  </si>
  <si>
    <t>Diluted</t>
  </si>
  <si>
    <t>Earnings per share - Diluted</t>
  </si>
  <si>
    <t>On difference between book balance and tax balance of fixed assets</t>
  </si>
  <si>
    <t>On expenditure deferred in the books but allowable for tax purposes</t>
  </si>
  <si>
    <t>Tax effect of items constituting deferred tax assets</t>
  </si>
  <si>
    <t>Provision for compensated absences, gratuity and other employee benefits</t>
  </si>
  <si>
    <t>Provision for doubtful debts / advances</t>
  </si>
  <si>
    <t>Unabsorbed depreciation carried forward</t>
  </si>
  <si>
    <t>Brought forward business losses</t>
  </si>
  <si>
    <t>Profit / (Loss) from ordinary activities</t>
  </si>
  <si>
    <t>Cost of materials consumed</t>
  </si>
  <si>
    <t>Purchases of stock-in-trade</t>
  </si>
  <si>
    <t>Employee benefits expense</t>
  </si>
  <si>
    <t>Other expenses</t>
  </si>
  <si>
    <t>Profit / (Loss) before tax from ordinary activities (A-B)</t>
  </si>
  <si>
    <t>- on ordinary activities attributable to the discontinuing operations</t>
  </si>
  <si>
    <t>Profit / (Loss) after tax of discontinuing operations</t>
  </si>
  <si>
    <t>Net cash flow attributable to the discontinued business</t>
  </si>
  <si>
    <t>Cash flows from operating activities</t>
  </si>
  <si>
    <t>Cash flows from investing activities</t>
  </si>
  <si>
    <t>Cash flows from financing activities</t>
  </si>
  <si>
    <t>Interest in joint ventures</t>
  </si>
  <si>
    <t>Assets</t>
  </si>
  <si>
    <t>Liabilities</t>
  </si>
  <si>
    <t>Income</t>
  </si>
  <si>
    <t>Expenditure</t>
  </si>
  <si>
    <t>Utilisation</t>
  </si>
  <si>
    <t>Reversal (withdrawn as no longer required)</t>
  </si>
  <si>
    <t>Provision for estimated losses on onerous contracts</t>
  </si>
  <si>
    <t>Provision for other contingencies (give details)</t>
  </si>
  <si>
    <t xml:space="preserve">Of the above, the following amounts are expected to be incurred within a year: </t>
  </si>
  <si>
    <t>Employee Stock Option Scheme</t>
  </si>
  <si>
    <t>a)</t>
  </si>
  <si>
    <t>The ESOP A allows the issue of options to employees of the Company and its subsidiaries (whether in India or abroad). Each option comprises one underlying equity share.</t>
  </si>
  <si>
    <t>b)</t>
  </si>
  <si>
    <t>c)</t>
  </si>
  <si>
    <t>d)</t>
  </si>
  <si>
    <t xml:space="preserve">  - ESOP A</t>
  </si>
  <si>
    <t xml:space="preserve">  - ESOP B</t>
  </si>
  <si>
    <t xml:space="preserve">  - ESOP (Director)</t>
  </si>
  <si>
    <t>Granted during the year:</t>
  </si>
  <si>
    <t>Vested during the year:</t>
  </si>
  <si>
    <t>Exercised during the year:</t>
  </si>
  <si>
    <t>Lapsed during the year:</t>
  </si>
  <si>
    <t>e)</t>
  </si>
  <si>
    <t xml:space="preserve">Basic earnings per share (as reported) </t>
  </si>
  <si>
    <t xml:space="preserve">Diluted earnings per share (as reported) </t>
  </si>
  <si>
    <t>f)</t>
  </si>
  <si>
    <t>Assumptions</t>
  </si>
  <si>
    <t>Risk Free Interest Rate</t>
  </si>
  <si>
    <t>Expected Life</t>
  </si>
  <si>
    <t>Expected Annual Volatility of Shares</t>
  </si>
  <si>
    <t>Expected Dividend Yield</t>
  </si>
  <si>
    <t xml:space="preserve">Add: Additions / transfers during the year </t>
  </si>
  <si>
    <t xml:space="preserve">Less: Utilisations / transfers during the year </t>
  </si>
  <si>
    <t>Number of shares</t>
  </si>
  <si>
    <t>(iii) Details of shares held by the holding company, the ultimate holding company, their subsidiaries and associates:</t>
  </si>
  <si>
    <t xml:space="preserve">Class of shares / Name of shareholder </t>
  </si>
  <si>
    <t>4th prior year</t>
  </si>
  <si>
    <t>Number of shares held</t>
  </si>
  <si>
    <t>Number 
of shares</t>
  </si>
  <si>
    <t>Gross amount due from customers for contract work (asset)</t>
  </si>
  <si>
    <t>Gross amount due to customers for contract work (liability)</t>
  </si>
  <si>
    <t>Provision for estimated loss on derivatives</t>
  </si>
  <si>
    <t>The estimate of future salary increases considered, takes into account the inflation, seniority, promotion, increments and other relevant factors.</t>
  </si>
  <si>
    <t>Depreciation and amortisation (allocable)</t>
  </si>
  <si>
    <t>(v) As at 31 March, 20X2 _____ shares (As at 31 March, 20X1________ shares) were reserved for issuance as follows:</t>
  </si>
  <si>
    <t xml:space="preserve">Change in defined benefit obligations (DBO) during the year </t>
  </si>
  <si>
    <t xml:space="preserve">Change in fair value of assets during the year </t>
  </si>
  <si>
    <t>Changes in inventories of finished goods, work-in-progress and stock-in-trade</t>
  </si>
  <si>
    <t>The Company has formulated Employee Stock Option Schemes (ESOS) in accordance with the SEBI (Employee Stock Option Scheme and Employee Stock Purchase Scheme) Guidelines, 1999. The Schemes provide for grant of options to employees of the Company and its subsidiaries to acquire equity shares of the Company that vest in a graded manner and that are to be exercised within a specified period. In accordance with the SEBI Guidelines; the excess, if any, of the closing market price on the day prior to the grant of the options under ESOS over the exercise price is amortised on a straight-line basis over the vesting period. [OR]</t>
  </si>
  <si>
    <t>(c) Other money for which the Company is contingently liable (give details)</t>
  </si>
  <si>
    <t>Disclosures required under Section 22 of the Micro, Small and Medium Enterprises Development Act, 2006</t>
  </si>
  <si>
    <t>(i) Principal amount remaining unpaid to any supplier as at the end of the accounting year</t>
  </si>
  <si>
    <t>(ii) Interest due thereon remaining unpaid to any supplier as at the end of the accounting year</t>
  </si>
  <si>
    <t>(iv) The amount of interest due and payable for the year</t>
  </si>
  <si>
    <t>(v) The amount of interest accrued and remaining unpaid at the end of the accounting year</t>
  </si>
  <si>
    <t>Relatives of KMP</t>
  </si>
  <si>
    <t>Disallowances under Section 40(a)(i), 43B of the Income Tax Act, 1961</t>
  </si>
  <si>
    <t>The difference between the fair price of the share underlying the options granted on the date of grant of option and the exercise price of the option (being the intrinsic value of the option) representing Stock compensation expense is expensed over the vesting period.</t>
  </si>
  <si>
    <t>Long-term employee benefits</t>
  </si>
  <si>
    <t>Less: Provision for doubtful trade receivables</t>
  </si>
  <si>
    <t>Less: Provision for doubtful inter-corporate deposits</t>
  </si>
  <si>
    <t>Details of assets and liabilities acquired on amalgamation and treatment of the difference between the net assets acquired and cost of investment by the Transferee Company in the Transferor Companies together with the shares issued to the minority shareholders:</t>
  </si>
  <si>
    <t>Present value of DBO at beginning of the year</t>
  </si>
  <si>
    <t>Present value of DBO at the end of the year</t>
  </si>
  <si>
    <t>Plan assets at beginning of the year</t>
  </si>
  <si>
    <t>Plan assets at the end of the year</t>
  </si>
  <si>
    <t>Actuarial assumptions for long-term compensated absences</t>
  </si>
  <si>
    <t>On items included in Reserves and surplus pending amortisation into the Statement of Profit and Loss</t>
  </si>
  <si>
    <t>The Company has entered into operating lease arrangements for certain facilities and office premises. The leases are non-cancellable and are for a period of ___ to ____ years and may be renewed for a further period of ___ years based on mutual agreement of the parties. The lease agreements provide for an increase in the lease payments by __ to ___% every ____ years.</t>
  </si>
  <si>
    <t>i</t>
  </si>
  <si>
    <t>Less: Provision for diminution in value of investments</t>
  </si>
  <si>
    <t>- Unpaid dividend accounts</t>
  </si>
  <si>
    <t>- Unpaid matured deposits</t>
  </si>
  <si>
    <t>- Unpaid matured debentures</t>
  </si>
  <si>
    <t xml:space="preserve">Government grants received by the Company during the year towards </t>
  </si>
  <si>
    <t>- Subsidies (recognised under _____)</t>
  </si>
  <si>
    <t>- Duty drawback (recognised under Other operating revenues)</t>
  </si>
  <si>
    <t>- Other incentives (specify nature) (recognised under ____)</t>
  </si>
  <si>
    <t>Duty drawback and other export incentives</t>
  </si>
  <si>
    <t>Other defined benefit plans (specify nature)</t>
  </si>
  <si>
    <t xml:space="preserve">In the previous years, the Remuneration / Compensation Committee of the Company had granted ________ options under the ESOP B to few eligible employees of the Company. During the current year, the Remuneration / Compensation Committee in its meeting held on _____,  _____ and _____ has granted _________, ________ and ________ options respectively under the ESOP B to few eligible employees of the Company. The options allotted under ESOP B are convertible into equal number of equity shares. </t>
  </si>
  <si>
    <t xml:space="preserve">(iii) The amount of interest paid along with the amounts of the payment made to the supplier beyond the appointed day </t>
  </si>
  <si>
    <t>Amortisation of share issue expenses and discount on shares</t>
  </si>
  <si>
    <t xml:space="preserve">  - Placed</t>
  </si>
  <si>
    <t xml:space="preserve">  - Matured</t>
  </si>
  <si>
    <t xml:space="preserve">For taxation matters </t>
  </si>
  <si>
    <t xml:space="preserve">For company law matters </t>
  </si>
  <si>
    <t xml:space="preserve">For management services </t>
  </si>
  <si>
    <t xml:space="preserve">For other services </t>
  </si>
  <si>
    <t>Export of goods calculated on FOB basis</t>
  </si>
  <si>
    <t xml:space="preserve">The following table sets out the funded status of the defined benefit schemes and the amount recognised in the financial statements: </t>
  </si>
  <si>
    <t>Proceeds from sale of long-term investments</t>
  </si>
  <si>
    <t>Purchase of long-term investments</t>
  </si>
  <si>
    <t>Proceeds from long-term borrowings</t>
  </si>
  <si>
    <t>Repayment of long-term borrowings</t>
  </si>
  <si>
    <t>Short-term loans and advances</t>
  </si>
  <si>
    <t>Long-term loans and advances</t>
  </si>
  <si>
    <t>Other non-current assets</t>
  </si>
  <si>
    <t>Other current assets</t>
  </si>
  <si>
    <t>Other current liabilities</t>
  </si>
  <si>
    <t>Other long-term liabilities</t>
  </si>
  <si>
    <t>Long-term provisions</t>
  </si>
  <si>
    <t>Short-term provisions</t>
  </si>
  <si>
    <t>Share of profit from AOPs</t>
  </si>
  <si>
    <t>Provisions and contingencies</t>
  </si>
  <si>
    <t>Trade payables:</t>
  </si>
  <si>
    <t>Goods-in-transit</t>
  </si>
  <si>
    <t>Less: Provision for other doubtful loans and advances</t>
  </si>
  <si>
    <t>As Lessor</t>
  </si>
  <si>
    <t>Depreciation recognised on the leased assets</t>
  </si>
  <si>
    <t>Unguaranteed residual values accruing to the Company as the lessor</t>
  </si>
  <si>
    <t>Weighted average number of equity shares</t>
  </si>
  <si>
    <t>Weighted average number of equity shares for Basic EPS</t>
  </si>
  <si>
    <t>Profit / (loss) attributable to equity shareholders (on dilution)</t>
  </si>
  <si>
    <t xml:space="preserve">Sale of products </t>
  </si>
  <si>
    <t>Sale of services</t>
  </si>
  <si>
    <t>Other operating revenue</t>
  </si>
  <si>
    <t>Total revenue (A)</t>
  </si>
  <si>
    <t>Total expenses (B)</t>
  </si>
  <si>
    <t>Options 
(Numbers)</t>
  </si>
  <si>
    <t>Option outstanding at the beginning of the year:</t>
  </si>
  <si>
    <t>Options outstanding at the end of the year:</t>
  </si>
  <si>
    <t xml:space="preserve">Options available for grant: </t>
  </si>
  <si>
    <t xml:space="preserve">Other income (net) </t>
  </si>
  <si>
    <t>Note 2 Significant accounting policies (contd.)</t>
  </si>
  <si>
    <t>The accounting policies adopted for segment reporting are in line with the accounting policies of the Company. Segment revenue, segment expenses, segment assets and segment liabilities have been identified to segments on the basis of their relationship to the operating activities of the segment. 
Inter-segment revenue is accounted on the basis of transactions which are primarily determined based on market / fair value factors. 
Revenue, expenses, assets and liabilities which relate to the Company as a whole and are not allocable to segments on reasonable basis have been included under “unallocated revenue / expenses / assets / liabilities”.</t>
  </si>
  <si>
    <t xml:space="preserve">Add / (Less): stock based employee compensation (intrinsic value) </t>
  </si>
  <si>
    <t xml:space="preserve">Add / (Less): stock based compensation expenses determined under fair value method for the grants issued (See note (f) below) </t>
  </si>
  <si>
    <t xml:space="preserve">Basic earnings per share (proforma) </t>
  </si>
  <si>
    <t xml:space="preserve">Diluted earnings per share (proforma) </t>
  </si>
  <si>
    <t>Aggregate current service and interest cost</t>
  </si>
  <si>
    <t>Closing balance of obligation</t>
  </si>
  <si>
    <t>(Profit) / loss on sale / write off of assets</t>
  </si>
  <si>
    <t>Net (gain) / loss on sale of investments</t>
  </si>
  <si>
    <t>Adjustments for (increase) / decrease in operating assets:</t>
  </si>
  <si>
    <t>Adjustments for increase / (decrease) in operating liabilities:</t>
  </si>
  <si>
    <t>Net income tax (paid) / refunds</t>
  </si>
  <si>
    <t>Add: Effect of Warrants, ESOPs and Convertible bonds which are dilutive</t>
  </si>
  <si>
    <t>KMP</t>
  </si>
  <si>
    <t>Net cash flow from / (used in) investing activities (B)</t>
  </si>
  <si>
    <t>As per the terms of the contracts, the Company provides post-contract services / warranty support to some of its customers. The Company accounts for the post-contract support / provision for warranty on the basis of the information available with the Management duly taking into account the current and past technical estimates.</t>
  </si>
  <si>
    <t>(iii) Details of terms of repayment for the other long-term borrowings and security provided in respect of the secured other long-term borrowings:</t>
  </si>
  <si>
    <t>Details of related party transactions during the year ended 31 March, 20X2 and balances outstanding as at 31 March, 20X2:</t>
  </si>
  <si>
    <t>Details of related parties:</t>
  </si>
  <si>
    <t>Aggregate of contract costs incurred and recognised profits (less recognised losses) upto the reporting date</t>
  </si>
  <si>
    <t xml:space="preserve">- as inventory </t>
  </si>
  <si>
    <t xml:space="preserve">Reconciliation of minimum lease payments </t>
  </si>
  <si>
    <t>Add / (Less): Tax expense of discontinuing operations</t>
  </si>
  <si>
    <t>Amounts received from partnership firms</t>
  </si>
  <si>
    <t>Amounts received from AOPs</t>
  </si>
  <si>
    <t>Amounts received from LLPs</t>
  </si>
  <si>
    <t>Investment in equity instruments (give details separately for fully / partly paid up instruments)</t>
  </si>
  <si>
    <t>Investment in debentures or bonds (give details separately for fully / partly paid up debentures / bonds)</t>
  </si>
  <si>
    <t>Investment in partnership firms (Refer Note below)</t>
  </si>
  <si>
    <t xml:space="preserve">- Share application money received for allotment of securities and due for refund </t>
  </si>
  <si>
    <t>Net current assets (give details)</t>
  </si>
  <si>
    <t>Fixed assets</t>
  </si>
  <si>
    <t>Post-employment medical benefits</t>
  </si>
  <si>
    <t>Curtailment cost / (credit)</t>
  </si>
  <si>
    <t>Settlement cost / (credit)</t>
  </si>
  <si>
    <t>Funded status [Surplus / (Deficit)]</t>
  </si>
  <si>
    <t xml:space="preserve">Net asset / (liability) recognised in the Balance Sheet </t>
  </si>
  <si>
    <t>Net asset / (liability) recognised in the Balance Sheet</t>
  </si>
  <si>
    <t>Actuarial (gains) / losses</t>
  </si>
  <si>
    <t>Actuarial gain / (loss)</t>
  </si>
  <si>
    <t>Experience gain / (loss) adjustments on plan liabilities</t>
  </si>
  <si>
    <t>Experience gain / (loss) adjustments on plan assets</t>
  </si>
  <si>
    <t>- as fixed assets / intangible assets / capital 
work-in-progress</t>
  </si>
  <si>
    <t>Business segments</t>
  </si>
  <si>
    <t xml:space="preserve">In the extraordinary general meeting held on  ____, the shareholders approved the issue of ________ options under the Scheme titled “_________ ESOP ____” (ESOP A). </t>
  </si>
  <si>
    <t>See accompanying notes forming part of the financial statements</t>
  </si>
  <si>
    <t xml:space="preserve">Capital expenditure on fixed assets, including capital advances </t>
  </si>
  <si>
    <t>Bank balances not considered as Cash and cash equivalents</t>
  </si>
  <si>
    <t>Current investments not considered as Cash and cash equivalents</t>
  </si>
  <si>
    <t xml:space="preserve">  - Purchased</t>
  </si>
  <si>
    <t xml:space="preserve">  - Proceeds from sale</t>
  </si>
  <si>
    <t xml:space="preserve">Notes: </t>
  </si>
  <si>
    <t>(ii) These earmarked account balances with banks can be utilised only for the specific identified purposes.</t>
  </si>
  <si>
    <t>Cash flows are reported using the indirect method, whereby profit / (loss) before extraordinary items and tax is adjusted for the effects of transactions of non-cash nature and any deferrals or accruals of past or future cash receipts or payments. The cash flows from operating, investing and financing activities of the Company are segregated based on the available information.</t>
  </si>
  <si>
    <t>Fixed assets acquired in full or part exchange for another asset are recorded at the fair market value or the net book value of the asset given up, adjusted for any balancing cash consideration. Fair market value is determined either for the assets acquired or asset given up, whichever is more clearly evident. Fixed assets acquired in exchange for securities of the Company are recorded at the fair market value of the assets or the fair market value of the securities issued, whichever is more clearly evident.</t>
  </si>
  <si>
    <t>Aggregate number of shares</t>
  </si>
  <si>
    <t>Details of unutilised amounts out of issue of securities made for specific purpose</t>
  </si>
  <si>
    <t>Attrition</t>
  </si>
  <si>
    <t xml:space="preserve">Attrition </t>
  </si>
  <si>
    <t>Capital commitments</t>
  </si>
  <si>
    <t>Details of provisions</t>
  </si>
  <si>
    <t>The Company has made provision for various contractual obligations and disputed liabilities based on its assessment of the amount it estimates to incur to meet such obligations, details of which are given below:</t>
  </si>
  <si>
    <t xml:space="preserve">Add / (Less): Effect of foreign exchange rate variations on hedging instruments outstanding at the end of the year </t>
  </si>
  <si>
    <t>Total - Term loans from banks</t>
  </si>
  <si>
    <t>Net increase / (decrease) in Cash and cash equivalents (A+B+C)</t>
  </si>
  <si>
    <t>Effect of exchange differences on restatement of foreign currency Cash and cash equivalents</t>
  </si>
  <si>
    <t>(indicate amount with currency)</t>
  </si>
  <si>
    <t>Net tax expense / (benefit)</t>
  </si>
  <si>
    <t>Jointly controlled operations</t>
  </si>
  <si>
    <t>Other Venturers</t>
  </si>
  <si>
    <t>The Company has constituted an Employee Stock Option Plan - XXXX. Employee Stock Options granted on or after 1 April, 2005 are accounted under the ‘Intrinsic Value Method’ stated in the Guidance Note on Employee Share Based Payments issued by the Institute of Chartered Accountants of India.</t>
  </si>
  <si>
    <t>(iii) In demand deposit accounts</t>
  </si>
  <si>
    <t>Intangible assets under development:</t>
  </si>
  <si>
    <t>Expenditure on Research and development (Refer Note 2.20) eligible for capitalisation are carried as Intangible assets under development where such assets are not yet ready for their intended use.</t>
  </si>
  <si>
    <t>(iv) In other deposit accounts
     - original maturity of 3 months or less</t>
  </si>
  <si>
    <t>(ii) Jointly controlled entities (JCE):</t>
  </si>
  <si>
    <t xml:space="preserve">% of interest </t>
  </si>
  <si>
    <t xml:space="preserve">@ Any foreign currency translation arising out of these provisions may be disclosed separately. </t>
  </si>
  <si>
    <t xml:space="preserve">If a single financial report contains both CFS and the separate financial statements of the Company, segment information needs to be presented only on the basis of the CFS. </t>
  </si>
  <si>
    <t>Tax effect of items constituting deferred tax liabilities</t>
  </si>
  <si>
    <t>Deferred tax (liabilities) / assets (net)</t>
  </si>
  <si>
    <t>Operating Cycle</t>
  </si>
  <si>
    <t>In case of insurer managed funds, the Company should obtain details of the composition of plan assets of the Fund from the insurance company and disclose the same.</t>
  </si>
  <si>
    <t>For audit</t>
  </si>
  <si>
    <t>Future cash outflows in respect of the above matters are determinable only on receipt of judgments / decisions pending at various forums / authorities.</t>
  </si>
  <si>
    <t>Tax expense / (benefit):</t>
  </si>
  <si>
    <t>(i) The Cash Flow Statement reflects the combined cash flows pertaining to continuing and discontinuing operations.</t>
  </si>
  <si>
    <t>Projects under which tangible fixed assets are not yet ready for their intended use are carried at cost, comprising direct cost, related incidental expenses and attributable interest.</t>
  </si>
  <si>
    <t>The undiscounted amount of short-term employee benefits expected to be paid in exchange for the services rendered by employees are recognised during the year when the employees render the service. These benefits include performance incentive and compensated absences which are expected to occur within twelve months after the end of the period in which the employee renders the related service. 
The cost of short-term compensated absences is accounted as under :
(a) in case of accumulated compensated absences, when employees render the services that increase their entitlement of future compensated absences; and
(b) in case of non-accumulating compensated absences, when the absences occur.</t>
  </si>
  <si>
    <t>Current and deferred tax relating to items directly recognised in reserves are recognised in reserves and not in the Statement of Profit and Loss.</t>
  </si>
  <si>
    <t>The accounts of the Company reflect its share of the Assets, Liabilities, Income and Expenditure of the Jointly controlled operations which are accounted on the basis of the audited accounts of the Joint ventures on line-by-line basis with similar items in the Company’s accounts to the extent of the participating interest of the Company as per the Joint Venture Agreements.</t>
  </si>
  <si>
    <t>The Company enters into derivative contracts in the nature of foreign currency swaps, currency options, forward contracts with an intention to hedge its existing assets and liabilities, firm commitments and highly probable transactions in foreign currency. Derivative contracts which are closely linked to the existing assets and liabilities are accounted as per the policy stated for Foreign currency transactions and translations. 
Derivative contracts designated as a hedging instrument for highly probable forecast transactions are accounted as per the policy stated for Hedge Accounting. 
All other derivative contracts are marked-to-market and losses are recognised in the Statement of Profit and Loss. Gains arising on the same are not recognised, until realised, on grounds of prudence.</t>
  </si>
  <si>
    <t>Interest income from long-term investments</t>
  </si>
  <si>
    <t>Stock-in-trade - Product N</t>
  </si>
  <si>
    <t>(a) To statutory auditors</t>
  </si>
  <si>
    <t>Money received against share warrants</t>
  </si>
  <si>
    <t>I. The following derivative positions are open as at 31 March, 20X2. These transactions have been undertaken to act as economic hedges for the Company’s exposures to various risks in foreign exchange markets and may / may not qualify or be designated as hedging instruments. The accounting for these transactions is stated in Notes 2.10, 2.25 and 2.26.</t>
  </si>
  <si>
    <t>(i) Ultimate Holding Company</t>
  </si>
  <si>
    <t>(ii) Holding Company</t>
  </si>
  <si>
    <t>(iii) Subsidiaries</t>
  </si>
  <si>
    <t>(viii) Associates</t>
  </si>
  <si>
    <t>(x) Relatives of KMP</t>
  </si>
  <si>
    <t>The Company has interests in the following joint ventures - Jointly controlled operations (JCO) and / or Jointly controlled entities (JCE):</t>
  </si>
  <si>
    <t>Name of joint venture and country of incorporation</t>
  </si>
  <si>
    <t>The impact on Earnings per Share if the ‘fair value’ of the options (on the date of the grant) were considered instead of the ‘intrinsic value’ is as under:</t>
  </si>
  <si>
    <t xml:space="preserve">The fair value of the options has been determined under the Black-Scholes model. The assumptions used in this model for calculating fair value are as below: </t>
  </si>
  <si>
    <t>Profit / (Loss) before extraordinary items and tax</t>
  </si>
  <si>
    <t>The Company identifies primary segments based on the dominant source, nature of risks and returns and the internal organisation and management structure. The operating segments are the segments for which separate financial information is available and for which operating profit / loss amounts are evaluated regularly by the executive Management in deciding how to allocate resources and in assessing performance.</t>
  </si>
  <si>
    <t>Revenue expenditure pertaining to research is charged to the Statement of Profit and Loss. Development costs of products are also charged to the Statement of Profit and Loss unless a product’s technical feasibility has been established, in which case such expenditure is capitalised. The amount capitalised comprises expenditure that can be directly attributed or allocated on a reasonable and consistent basis to creating, producing and making the asset ready for its intended use. Fixed assets utilised for research and development are capitalised and depreciated in accordance with the policies stated for Fixed Assets.</t>
  </si>
  <si>
    <t>Share issue expenses</t>
  </si>
  <si>
    <t>Add: Amounts recorded on grants / modifications / cancellations during the year</t>
  </si>
  <si>
    <t>Materials consumed comprise:</t>
  </si>
  <si>
    <t>(c) Net (gain) / loss on foreign currency transactions and translation (considered as finance costs)</t>
  </si>
  <si>
    <t>(i) Payments to the auditors comprise (net of service tax input credit, where applicable):</t>
  </si>
  <si>
    <t>Details on derivative instruments and unhedged foreign currency exposures</t>
  </si>
  <si>
    <t>Note: Figures / percentages in brackets relate to the previous year</t>
  </si>
  <si>
    <t xml:space="preserve">The Company has received certain equipment and facilities free of cost from ____ towards carrying on research and development. These assets are required to be returned on completion of the specified activity. </t>
  </si>
  <si>
    <t>In terms of the Scheme of Arrangement (the Scheme), __________ and __________________, both subsidiaries of the Company (referred to as ‘Transferor Companies’), have been merged with the Company (Transferee Company), upon which the undertaking and the entire business, including all assets and liabilities of the Transferor Companies stand transferred to and vested in the Transferee Company. The amalgamation has been accounted under the purchase method and the assets and liabilities transferred have been recorded at their fair value as determined by the Board of Directors of the Transferee Company (or alternatively at their book values). ____ and ______ were engaged in the manufacture of _________________ and were predominantly acting as a captive manufacturer for the Company.
The Scheme filed by the Company has been approved by the Honourable High Courts of Judicature at Mumbai, Chennai and Bangalore with an appointed date of 1 January, 200X and an effective date of 31 December, 200X (‘the Effective Date’), being the date on which all the requirements under the Companies Act, 1956 have been completed.</t>
  </si>
  <si>
    <t>Components of employer's expense</t>
  </si>
  <si>
    <t xml:space="preserve">Actual contribution and benefit payments for the year </t>
  </si>
  <si>
    <t>Effect of a 1% change in healthcare cost</t>
  </si>
  <si>
    <t>Profit for the year</t>
  </si>
  <si>
    <t>The geographical segments individually contributing 10 percent or more of the Company’s revenues and segment assets are shown separately:</t>
  </si>
  <si>
    <t xml:space="preserve">Geographical Segment </t>
  </si>
  <si>
    <t>(xi) Entities in which KMP / Relatives of KMP can exercise significant influence</t>
  </si>
  <si>
    <t>Note: Figures in bracket relate to the previous year</t>
  </si>
  <si>
    <t xml:space="preserve">Profit / (loss) for the year </t>
  </si>
  <si>
    <t>Profit / (loss) for the year attributable to the equity shareholders</t>
  </si>
  <si>
    <t xml:space="preserve">Profit / (loss) for the year attributable to the equity shareholders </t>
  </si>
  <si>
    <t>Finance Costs</t>
  </si>
  <si>
    <t>The weighted average share price at the date of exercise for stock options exercised during the year</t>
  </si>
  <si>
    <t>Range of exercise price for options outstanding at the end of the year</t>
  </si>
  <si>
    <t>Weighted average remaining contractual life for options outstanding as at 31 March, 20X2 _______ (As at 31 March, 20X1 ________).</t>
  </si>
  <si>
    <t>(i) Jointly controlled operations (JCO):</t>
  </si>
  <si>
    <t>(a) Forward exchange contracts and options (being derivative instruments), which are not intended for trading or speculative purposes but for hedge purposes to establish the amount of reporting currency required or available at the settlement date of certain payables and receivables.</t>
  </si>
  <si>
    <t>Stock-in-trade - Product O</t>
  </si>
  <si>
    <t>Post employment medical benefits</t>
  </si>
  <si>
    <t>Weighted average number of equity shares - for Diluted EPS</t>
  </si>
  <si>
    <t>Add / (Less): Gain / (Loss) on disposal of assets / settlement of liabilities attributable to the discontinuing operations</t>
  </si>
  <si>
    <t>- on gain / (loss) on disposal of assets / settlement of liabilities</t>
  </si>
  <si>
    <t>Note: Figures in brackets relate to the previous year.</t>
  </si>
  <si>
    <t>As per the Scheme, the Remuneration / Compensation Committee grants the options to the employees deemed eligible. The exercise price of each option shall not be less than 85 percent of the “Market Price” as defined in the Scheme. The options granted vest over a period of __ years from the date of the grant in proportions specified in the Scheme. Options may be exercised within __ days of vesting.</t>
  </si>
  <si>
    <t xml:space="preserve">The ESOP scheme titled “_____ ESOP ___” (ESOP B) was approved by the shareholders through postal ballot on __________. ______ options are covered under the Scheme for __________shares. </t>
  </si>
  <si>
    <t>The ESOP scheme titled “_____ ESOP ___ (Directors)” [ESOP (Directors)] was approved by the shareholders through postal ballot on _____. _________ options are covered under the Scheme for _________ equity shares.</t>
  </si>
  <si>
    <t xml:space="preserve">The Remuneration / Compensation Committee of the Company, had granted ________ options under this  Scheme to few Directors of the Company. The shares covered by such options were ________ equity shares. </t>
  </si>
  <si>
    <t xml:space="preserve">Profit / (Loss) (as reported) </t>
  </si>
  <si>
    <t xml:space="preserve">Net Profit / (Loss) (proforma) </t>
  </si>
  <si>
    <t xml:space="preserve">Previous year's figures have been regrouped / reclassified wherever necessary to correspond with the current year's classification / disclosure. </t>
  </si>
  <si>
    <t>The Company has identified business segments as its primary segment and geographical segments as its secondary segment. Business segments are primarily A segment and B segment. A segment consists of Product X, Product Y and Product Z. B segment consists of Service P, Service Q and Service R. Revenues and expenses directly attributable to segments are reported under each reportable segment. Expenses which are not directly identifiable to each reportable segment have been allocated on the basis of associated revenues of the segment and manpower efforts. All other expenses which are not attributable or allocable to segments have been disclosed as unallocable expenses. Assets and liabilities that are directly attributable or allocable to segments are disclosed under each reportable segment. All other assets and liabilities are disclosed as unallocable. Fixed assets that are used interchangeably amongst segments are not allocated to primary and secondary segments. Geographical revenues are allocated based on the location of the customer. Geographical segments of the Company are Americas (including Canada and South American countries), Europe, India and Others.</t>
  </si>
  <si>
    <t>For defined benefit plans in the form of gratuity fund and post-employment  medical benefits, the cost of providing benefits is determined using the Projected Unit Credit method, with actuarial valuations being carried out at each balance sheet date. Actuarial gains and losses are recognised in the Statement of Profit and Loss in the period in which they occur. Past service cost is recognised immediately to the extent that the benefits are already vested and otherwise is amortised on a straight-line basis over the average period until the benefits become vested. The retirement benefit obligation recognised in the Balance Sheet represents the present value of the defined benefit obligation as adjusted for unrecognised past service cost,  as reduced by the fair value of scheme assets. Any asset resulting from this calculation is limited to past service cost, plus the present value of available refunds and reductions in future contributions to the schemes.</t>
  </si>
  <si>
    <t>Compensated absences which are not expected to occur within twelve months after the end of the period in which the employee renders the related service are recognised as a liability at the present value of the defined benefit obligation as at the balance sheet date less the fair value of the plan assets out of which the obligations are expected to be settled. Long Service Awards are recognised as a liability at the present value of the defined benefit obligation as at the balance sheet date.</t>
  </si>
  <si>
    <t>A provision is recognised when the Company has a present obligation as a result of past events and it is probable that an outflow of resources will be required to settle the obligation in respect of which a reliable estimate can be made. Provisions (excluding retirement benefits) are not discounted to their present value and are determined based on the best estimate required to settle the obligation at the balance sheet date. These are reviewed at each balance sheet date and adjusted to reflect the current best estimates. Contingent liabilities are disclosed in the Notes. Contingent assets are not recognised in the financial statements.</t>
  </si>
  <si>
    <t>Carrying amount of assets as at the balance sheet date relating to the discontinued business to be disposed off</t>
  </si>
  <si>
    <t>Carrying amount of liabilities as at the balance sheet date relating to the discontinued business to be settled</t>
  </si>
  <si>
    <t>Employee stock options details as on the balance sheet date are as follows:</t>
  </si>
  <si>
    <t>The expected rate of return on plan assets is determined after considering several applicable factors such as  the composition of the plan assets, investment strategy, market scenario, etc.. In order to protect the capital and optimise returns within acceptable risk parameters, the plan assets are well diversified.
The discount rate is based on the prevailing market yields of Government of India securities as at the balance sheet date for the estimated term of the obligations.</t>
  </si>
  <si>
    <t>The discount rate is based on the prevailing market yields of Government of India securities as at the balance sheet date for the estimated term of the obligations.</t>
  </si>
  <si>
    <t>In case the Company has contributions to foreign defined contribution plans and benefit plans, the details of the same should be disclosed.</t>
  </si>
  <si>
    <t>Cash flow statement</t>
  </si>
  <si>
    <t>The vesting period of these options range over a period of ___ years. The options may be exercised within a period of ___ days from the date of vesting.</t>
  </si>
  <si>
    <t>The vesting period of these options range over a period of ____ years. The options may be exercised within a period of ___ days from the date of vesting.</t>
  </si>
  <si>
    <t xml:space="preserve">When the accounts are not prepared on a going concern basis, it is a rebuttable presumption that all the assets and liabilities of the Company are current in nature since the same are recorded at their break up values. However, if an asset is not expected to be realised within twelve months from the reporting date, it may be classified as non-current. Similarly, if a liability is not due to be settled within twelve months after the reporting date or if the Company has an unconditional right to defer settlement of the liability for at least twelve months after the reporting date, it is classified as non-current. Balances are required to be presented in the financial statements on the said basis of determination also taking into account the estimated time for liquidation of the Company, where applicable. </t>
  </si>
  <si>
    <t xml:space="preserve">Provision for impairment of fixed assets </t>
  </si>
  <si>
    <t>Add: Interest expense and exchange fluctuation on convertible bonds (net) - adjusted for attributable taxes</t>
  </si>
  <si>
    <t xml:space="preserve">(b) Interest rate swaps to hedge against fluctuations in interest rate changes: No. of contracts: Nil (As at 31 March, 20X1: Nil )
</t>
  </si>
  <si>
    <t xml:space="preserve">Add / (Less): Effect of foreign exchange rate variations during the year </t>
  </si>
  <si>
    <t xml:space="preserve">Add / (Less): Amortisation for the year </t>
  </si>
  <si>
    <t>Opening balance - (Debit) / Credit</t>
  </si>
  <si>
    <t>Closing balance - (Debit) / Credit</t>
  </si>
  <si>
    <t>(j) Foreign currency monetary items translation difference account</t>
  </si>
  <si>
    <t>Inter-segment revenue need to be measured at the prices which the enterprise actually used for inter-segment transfers. Any change in the basis of pricing inter-segment revenue should be disclosed.</t>
  </si>
  <si>
    <t>Cash flows arising from taxes on income should be separately disclosed and should be classified as cash flows from operating activities unless they can be specifically identified with investing activities.</t>
  </si>
  <si>
    <t>The Company's contribution to provident fund, superannuation fund and employee state insurance scheme are considered as defined contribution plans and are charged as an expense based on the amount of contribution required to be made and when services are rendered by the employees.</t>
  </si>
  <si>
    <t>Borrowing costs include interest, amortisation of ancillary costs incurred and exchange differences arising from foreign currency borrowings to the extent they are regarded as an adjustment to the interest cost.  Costs in connection with the borrowing of funds to the extent not directly related to the acquisition of qualifying assets are charged to the Statement of Profit and Loss over the tenure of the loan. Borrowing costs, allocated to and utilised for qualifying assets, pertaining to the period from commencement of activities relating to construction / development of the qualifying asset upto the date of capitalisation of such asset are added to the cost of the assets. Capitalisation of borrowing costs is suspended and charged to the Statement of Profit and Loss during extended periods when active development activity on the qualifying assets is interrupted.</t>
  </si>
  <si>
    <t>Service tax input credit is accounted for in the books in the period in which the underlying service received is accounted and when there is reasonable certainty in availing / utilising the credits.</t>
  </si>
  <si>
    <t>ii. Post-employment medical benefits (included as part of (state line item) in Note 25 Employee benefits expense)</t>
  </si>
  <si>
    <t>iii. Other defined benefit plans (specify nature) (included as part of (state line item) in Note 25 Employee benefits expense)</t>
  </si>
  <si>
    <t>Share application money given</t>
  </si>
  <si>
    <t>Share application money refund received</t>
  </si>
  <si>
    <t>$ Overdrawn book balance in Bank accounts should not be considered as part of working capital borrowings. Instead they should be considered as part of Trade payables / Other current liabilities or adjusted with the balance of Cash and cash equivalents.</t>
  </si>
  <si>
    <t>Revenue from construction contracts</t>
  </si>
  <si>
    <t>Expenditure on Corporate Social Responsibility</t>
  </si>
  <si>
    <t>Vehicles - 4 years</t>
  </si>
  <si>
    <t>Computers and data processing equipment - 4 years</t>
  </si>
  <si>
    <t>The carrying values of assets / cash generating units at each balance sheet date are reviewed for impairment if any indication of  impairment exists. The following intangible assets are tested for impairment each financial year even if there is no indication that the asset is impaired:
(a) an intangible asset that is not yet available for use; and (b) an intangible asset that is amortised over a period exceeding ten years from the date when the asset is available for use.
If the carrying amount of the assets exceed the estimated recoverable amount, an impairment is recognised for such excess amount. The impairment loss is recognised as an expense in the Statement of Profit and Loss, unless the asset is carried at revalued amount, in which case any impairment loss of the revalued asset is treated as a revaluation decrease to the extent a revaluation reserve is available for that asset.
The recoverable amount is the greater of the net selling price and their value in use. Value in use is arrived at by discounting the future cash flows to their present value based on an appropriate discount factor. 
When there is indication that an impairment loss recognised for an asset (other than a revalued asset) in earlier accounting periods no longer exists or may have decreased, such reversal of impairment loss is recognised in the Statement of Profit and Loss, to the extent the amount was previously charged to the Statement of Profit and Loss. In case of revalued assets such reversal is not recognised.</t>
  </si>
  <si>
    <t>(d) In relation to the Company's interests in joint ventures and its share in each of the contingent liabilities which have been incurred jointly with other venturers</t>
  </si>
  <si>
    <t>(f) Contingent liabilities arising because the Company is contingently liable for the liabilities of the other venturers of a joint venture</t>
  </si>
  <si>
    <t>Acquired goodwill - 5 to 8 years (4 to 7 years remaining as at the balance sheet date)</t>
  </si>
  <si>
    <t>Brand - 8 to 12 years (3 to 6 years remaining as at the balance sheet date)</t>
  </si>
  <si>
    <t>Product marketing rights – 12 to 15 years (6 to 9 years remaining as at the balance sheet date)</t>
  </si>
  <si>
    <t xml:space="preserve">Amortisation of Brand and Product marketing rights over a period more than 10 years is based on the term for which they have been acquired, the economic benefits that are expected to accrue to the Company over such period, considering, inter alia, the following factors (a) typical brand and product life cycles for the asset and public information on estimates of useful lives of similar types of assets that are used in a similar way; (b) technical, technological or other types of obsolescence; (c) the stability of the industry in which the asset operates and changes in the market demand for the products or services output from the asset; (d) the level of maintenance expenditure required to obtain the expected future economic benefits from the asset and the company’s ability and intent to reach such a level, etc..
</t>
  </si>
  <si>
    <t xml:space="preserve">The estimated useful life of the intangible assets and the amortisation period are reviewed at the end of each financial year and the amortisation period is revised to reflect the changed pattern, if any. </t>
  </si>
  <si>
    <t>When the outcome of a construction contract can be estimated reliably, contract revenue and contract costs associated with the construction contract are recognised as revenue and expenses respectively by reference to the percentage of completion of the contract activity at the reporting date. The percentage of completion of a contract is determined considering the proportion that contract costs incurred for work performed upto the reporting date bear to the estimated total contract costs. 
For the purposes of recognising revenue, contract revenue comprises the initial amount of revenue agreed in the contract, the variations in contract work, claims and incentive payments to the extent that it is probable that they will result in revenue and they are capable of being reliably measured
The percentage of completion method is applied on a cumulative basis in each accounting period to the current estimates of contract revenue and contract costs. The effect of a change in the estimate of contract revenue or contract costs, or the effect of a change in the estimate of the outcome of a contract, is accounted for as a change in accounting estimate and the effect of which are recognised in the Statement of Profit and Loss in the period in which the change is made and in subsequent periods.
When the outcome of a construction contract cannot be estimated reliably, revenue is recognised only to the extent of contract costs incurred of which recovery is probable and the related contract costs are recognised as an expense in the period in which they are incurred.
When it is probable that total contract costs will exceed total contract revenue, the expected loss is recognised as an expense in the Statement of Profit and Loss in the period in which such probability occurs.</t>
  </si>
  <si>
    <t>GL Name</t>
  </si>
  <si>
    <t>Nature</t>
  </si>
  <si>
    <t>Note Line</t>
  </si>
  <si>
    <t>Share Capital</t>
  </si>
  <si>
    <t>Reserves and Surplus</t>
  </si>
  <si>
    <t>Capital Reserve</t>
  </si>
  <si>
    <t>Profit &amp; Loss A/c</t>
  </si>
  <si>
    <t>Payables on purchase of fixed assets</t>
  </si>
  <si>
    <t>Contractually reimbursable expenses</t>
  </si>
  <si>
    <t>Interest accrued on trade payables</t>
  </si>
  <si>
    <t>Interest accrued on others</t>
  </si>
  <si>
    <t>Advances from customers</t>
  </si>
  <si>
    <t>Current maturities of finance lease obligations</t>
  </si>
  <si>
    <t>Interest accrued and due on borrowings</t>
  </si>
  <si>
    <t>Intangible assets under development</t>
  </si>
  <si>
    <t>Investment property</t>
  </si>
  <si>
    <t>Trade Receivables</t>
  </si>
  <si>
    <t>Cheques, drafts on hand</t>
  </si>
  <si>
    <t>Cash on hand</t>
  </si>
  <si>
    <t xml:space="preserve">Unbilled revenue </t>
  </si>
  <si>
    <t>Other Current Assets</t>
  </si>
  <si>
    <t>Revenue from operations</t>
  </si>
  <si>
    <t>Sale of services - Domestic</t>
  </si>
  <si>
    <t>Other operating revenues</t>
  </si>
  <si>
    <t>Dividend Income</t>
  </si>
  <si>
    <t>Other Income</t>
  </si>
  <si>
    <t>Net gain / (loss) on foreign currency transactions and translation</t>
  </si>
  <si>
    <t>Commission</t>
  </si>
  <si>
    <t>Profit on conversion of Stock into Capital asset</t>
  </si>
  <si>
    <t>Profit on sale of - fixed assets</t>
  </si>
  <si>
    <t>Rent Income</t>
  </si>
  <si>
    <t>Rent</t>
  </si>
  <si>
    <t>Purchases</t>
  </si>
  <si>
    <t>Cost of material consumed</t>
  </si>
  <si>
    <t>Salaries and wages</t>
  </si>
  <si>
    <t>Staff welfare expenses</t>
  </si>
  <si>
    <t>Other Expenses</t>
  </si>
  <si>
    <t>Subcontracting expenses</t>
  </si>
  <si>
    <t>Telephone</t>
  </si>
  <si>
    <t>Travelling and conveyance</t>
  </si>
  <si>
    <t>Selling Expenses</t>
  </si>
  <si>
    <t>Provision for doubtful debts</t>
  </si>
  <si>
    <t>Provision for doubtful trade and other receivables, loans and advances (net)</t>
  </si>
  <si>
    <t>Bad debts</t>
  </si>
  <si>
    <t>Legal and professional</t>
  </si>
  <si>
    <t>Other miscellaneous expenses</t>
  </si>
  <si>
    <t>CWIP</t>
  </si>
  <si>
    <t>IV001</t>
  </si>
  <si>
    <t>IV002</t>
  </si>
  <si>
    <t>IV003</t>
  </si>
  <si>
    <t>IV004</t>
  </si>
  <si>
    <t>IV005</t>
  </si>
  <si>
    <t>IV006</t>
  </si>
  <si>
    <t>IV007</t>
  </si>
  <si>
    <t>TR001</t>
  </si>
  <si>
    <t>TR002</t>
  </si>
  <si>
    <t>CB001</t>
  </si>
  <si>
    <t>CB002</t>
  </si>
  <si>
    <t>CB003</t>
  </si>
  <si>
    <t>CB004</t>
  </si>
  <si>
    <t xml:space="preserve">Sale of products comprises : </t>
  </si>
  <si>
    <t>Sale of services comprises :</t>
  </si>
  <si>
    <t xml:space="preserve">Liabilities / provisions no longer required written back </t>
  </si>
  <si>
    <t>Miscellaneous income</t>
  </si>
  <si>
    <t>(ii) Others</t>
  </si>
  <si>
    <t>Printing and stationery</t>
  </si>
  <si>
    <t>Communication Expenses</t>
  </si>
  <si>
    <t>Repairs and maintenance - Others</t>
  </si>
  <si>
    <t xml:space="preserve">Freight and forwarding </t>
  </si>
  <si>
    <t>Amount as per TB</t>
  </si>
  <si>
    <t>Additional Entries</t>
  </si>
  <si>
    <t>Presentation entries</t>
  </si>
  <si>
    <t>Trade Payables</t>
  </si>
  <si>
    <t>XYZ</t>
  </si>
  <si>
    <t>Total - XYZ</t>
  </si>
  <si>
    <t>Others (XYZ)</t>
  </si>
  <si>
    <t xml:space="preserve">Less: Utilised for set off against impairment </t>
  </si>
  <si>
    <t>At the beginning of the year</t>
  </si>
  <si>
    <t>Outstanding at the end of the year</t>
  </si>
  <si>
    <t>External Sales and income from other operations</t>
  </si>
  <si>
    <t>JCO / JCE</t>
  </si>
  <si>
    <t>Purchase of goods / Receiving of services</t>
  </si>
  <si>
    <t>Sale of goods / Rendering of services</t>
  </si>
  <si>
    <t>Transactions during year ended</t>
  </si>
  <si>
    <t>Other Income / (Expenses)</t>
  </si>
  <si>
    <t>Loans Granted / (repaid)</t>
  </si>
  <si>
    <t>Subsidiaries 1</t>
  </si>
  <si>
    <t>Subsidiaries 2</t>
  </si>
  <si>
    <t>Add other items as required</t>
  </si>
  <si>
    <t>For Rathi Rathi and Co.</t>
  </si>
  <si>
    <t>FRN No. 135143W</t>
  </si>
  <si>
    <t>Weighted average exercise price per option (`)</t>
  </si>
  <si>
    <t>During the year, pursuant to the approval of the Shareholders and other authorities as required, the Company has transferred the ________ business to _______________ on a slump sale basis with effect from the close of business on _____________ for a consideration of `______________. The ____ business was reported as part of _____ segment of the Company. The results of the discontinued business during the year until discontinuation were as under:</t>
  </si>
  <si>
    <t>Pursuant to the Scheme, the Company allotted ____ equity shares of ` __/- each (__% of shares in the Transferor Company and ___% of shares in the Transferee Company) to the minority shareholders in the Transferor Companies.</t>
  </si>
  <si>
    <t>As at 31 March 20X2, the Company has received an amount of `_____ towards share application money towards ____ equity / preference shares of the Company (As at 31 March, 20X1 ` ____ towards ____ equity / preference shares) at a premium of ` ____ (As at 31 March, 20X1 ` ____). The share application money was received pursuant to an invitation to offer shares and in terms of such invitation, the Company is required to complete the allotment formalities by _____ (As at 31 March, 20X1 ______). The Company has sufficient authorised capital to cover the allotment of these shares. Pending allotment of shares, the amounts are maintained in a designated bank account and are not available for use by the Company.</t>
  </si>
  <si>
    <t>The Company had issued securities (specify type of security) amounting to ` ____ for purposes of _____. As at 31 March, 20X2, an amount of ` ____ (31 March, 20X1 ` ____) is pending utilisation in future periods / is no longer required for the said purpose consequent to completion of the specified activity. Accordingly, the unutilised amount has been invested in term deposits with banks (specify any other nature) / used in the operations of the Company for acquisition of other assets / investments / to meet its working capital requirements.</t>
  </si>
  <si>
    <t>Profit on sale of fixed assets [net of expenses directly attributable ` ___ (Year ended 31 March, 20X1 ` ___)]</t>
  </si>
  <si>
    <t>(c)______ shares (As at 31 March, 20X1 ____ shares) of ` ___ each towards convertible securities [Preference shares (Refer (ii) above), convertible bonds / debentures (Refer Note (i) in Note 5 Long-term borrowings )]</t>
  </si>
  <si>
    <t>Long Term</t>
  </si>
  <si>
    <t>Short Term</t>
  </si>
  <si>
    <t>Loans from banks</t>
  </si>
  <si>
    <t>Rounding factor</t>
  </si>
  <si>
    <t>Company Name</t>
  </si>
  <si>
    <t>CIN</t>
  </si>
  <si>
    <t>City</t>
  </si>
  <si>
    <t>PIN</t>
  </si>
  <si>
    <t>Email id</t>
  </si>
  <si>
    <t>Phone number</t>
  </si>
  <si>
    <t>Company PAN</t>
  </si>
  <si>
    <t>***</t>
  </si>
  <si>
    <t>Pune</t>
  </si>
  <si>
    <t>*******</t>
  </si>
  <si>
    <t>******</t>
  </si>
  <si>
    <t>No</t>
  </si>
  <si>
    <t>(e) Company's share of the share of contingent liabilities of Joint Ventures themselves for which it is contingently liable (Refer Note 27.13(i))</t>
  </si>
  <si>
    <t>(d) Relating to Joint Ventures (Refer Note 27.13(i))</t>
  </si>
  <si>
    <t>(v) Jointly controlled operations (JCO) (Refer Note 27.13(i))</t>
  </si>
  <si>
    <t>(vi) Jointly controlled entities (JCE) (Refer Note 27.13(ii))</t>
  </si>
  <si>
    <t>(vii) Other venturers of (v) and (vi) above
        (Refer Note 27.13)</t>
  </si>
  <si>
    <t>Finance costs (includes borrowing costs capitalised - Refer Note 27.5)</t>
  </si>
  <si>
    <t>Amount in Rs '00.</t>
  </si>
  <si>
    <t>Amount in Rs. '000</t>
  </si>
  <si>
    <t>Amount in Rs. lacs</t>
  </si>
  <si>
    <t>Amount in Rs. million</t>
  </si>
  <si>
    <t>Amount in Rs. Crores</t>
  </si>
  <si>
    <t>Promotor Name</t>
  </si>
  <si>
    <t>Less than 1 Year</t>
  </si>
  <si>
    <t>1 - 2 Years</t>
  </si>
  <si>
    <t>2 - 3 Years</t>
  </si>
  <si>
    <t>More than 3 Year</t>
  </si>
  <si>
    <t>(i) MSME</t>
  </si>
  <si>
    <t>(iii) Disputed dues - MSME</t>
  </si>
  <si>
    <t>(iv) Disputed dues - Others</t>
  </si>
  <si>
    <t>6 months - 1 Year</t>
  </si>
  <si>
    <t>Less than 6 months</t>
  </si>
  <si>
    <t>The Company has a borrowed an amount of `_____ from ________ bank / institution for _________(specify purpose). As at 31 March, 20X2, an amount of ` ____ (31 March, 20X1 ` ____) is outstanding. The Company has used the borrowing for _________ (specify where the funds have been actually utilised).</t>
  </si>
  <si>
    <t>Title deeds of Immovable Property not held in name of the Company</t>
  </si>
  <si>
    <t>Relevant line item in the Balance sheet</t>
  </si>
  <si>
    <t>Description of item of property</t>
  </si>
  <si>
    <t>Gross carrying value</t>
  </si>
  <si>
    <t>Title deeds held in the name of</t>
  </si>
  <si>
    <t>Property held since which date</t>
  </si>
  <si>
    <t>Reason for not being held in the name of the company**</t>
  </si>
  <si>
    <t>Land Building</t>
  </si>
  <si>
    <t>**also indicate if in dispute</t>
  </si>
  <si>
    <t>PPE retired from active use and held for disposal</t>
  </si>
  <si>
    <t>others</t>
  </si>
  <si>
    <t>PPE</t>
  </si>
  <si>
    <t>Whether title deed holder is a promoter, director or relative of promoter*/director or employee of promoter/director</t>
  </si>
  <si>
    <t xml:space="preserve">*Promotor or Relative here means Promotor or relative as defined in the Companies Act, 2013. </t>
  </si>
  <si>
    <t>Type of Borrower</t>
  </si>
  <si>
    <t>Amount of loan or advance in the nature of loan outstanding</t>
  </si>
  <si>
    <t>Percentage to the total Loans and Advances in the nature of loans</t>
  </si>
  <si>
    <t>Promoters</t>
  </si>
  <si>
    <t>Directors</t>
  </si>
  <si>
    <t>KMPs</t>
  </si>
  <si>
    <t>Related Parties</t>
  </si>
  <si>
    <t>Current Period</t>
  </si>
  <si>
    <t>Previous Period</t>
  </si>
  <si>
    <t>(a) repayable on demand</t>
  </si>
  <si>
    <t>(b) without specifying any terms or period of repayment</t>
  </si>
  <si>
    <t>CWIP ageing schedule</t>
  </si>
  <si>
    <t>Amount in CWIP for a period of</t>
  </si>
  <si>
    <t>Total*</t>
  </si>
  <si>
    <t>Less than 1 year</t>
  </si>
  <si>
    <t>1-2 years</t>
  </si>
  <si>
    <t>2-3 years</t>
  </si>
  <si>
    <t>More than 3 years</t>
  </si>
  <si>
    <t>Projects in progress</t>
  </si>
  <si>
    <t>Projects temporarily suspended</t>
  </si>
  <si>
    <t>*Total shall tally with CWIP amount in the balance sheet.</t>
  </si>
  <si>
    <t>(Amount in Rs.)</t>
  </si>
  <si>
    <t>To be completed in</t>
  </si>
  <si>
    <t>Project 1</t>
  </si>
  <si>
    <t>Project 2</t>
  </si>
  <si>
    <t>Intangible assets under development ageing schedule / completion schedule</t>
  </si>
  <si>
    <t>Intangible assets under development ageing schedule</t>
  </si>
  <si>
    <t>Amount in intangible assets under development for a period of</t>
  </si>
  <si>
    <t>* Total shall tally with the amount of intangible assets under development in the balance sheet.</t>
  </si>
  <si>
    <t>Details of Benami Property held</t>
  </si>
  <si>
    <t>Quarter</t>
  </si>
  <si>
    <t>Name of bank</t>
  </si>
  <si>
    <t>Particulars of Securities Provided</t>
  </si>
  <si>
    <t>Amount as per books of account</t>
  </si>
  <si>
    <t>Amount as reported in the quarterly return/ statement</t>
  </si>
  <si>
    <t>Amount of difference</t>
  </si>
  <si>
    <t>Reason for material discrepancies</t>
  </si>
  <si>
    <t>June 20XX</t>
  </si>
  <si>
    <t>Bank X</t>
  </si>
  <si>
    <t>Finished Goods</t>
  </si>
  <si>
    <t>Name of the struck off company</t>
  </si>
  <si>
    <t>Nature of transactions with struck off company</t>
  </si>
  <si>
    <t>Relationship with the struck off company, if any, to be disclosed</t>
  </si>
  <si>
    <t>Investment in securities</t>
  </si>
  <si>
    <t>Receivables</t>
  </si>
  <si>
    <t>Payables</t>
  </si>
  <si>
    <t>Shares held by struck off company</t>
  </si>
  <si>
    <t>Other outstanding balances (to be specified)</t>
  </si>
  <si>
    <t>Balance outstanding as at current period</t>
  </si>
  <si>
    <t>Balance outstanding as at previous period</t>
  </si>
  <si>
    <t>(b) Debt-equity ratio</t>
  </si>
  <si>
    <t>(c) Debt service coverage ratio</t>
  </si>
  <si>
    <t>(d) Return on equity ratio</t>
  </si>
  <si>
    <t>(e) Inventory turnover ratio</t>
  </si>
  <si>
    <t>(f) Trade receivables turnover ratio</t>
  </si>
  <si>
    <t>(g) Trade payables turnover ratio</t>
  </si>
  <si>
    <t>(h) Net capital turnover ratio</t>
  </si>
  <si>
    <t>(i) Net profit ratio</t>
  </si>
  <si>
    <t>(j) Return on capital employed</t>
  </si>
  <si>
    <t>(k) Return on investment</t>
  </si>
  <si>
    <t>Ratio</t>
  </si>
  <si>
    <t>Numerator</t>
  </si>
  <si>
    <t>Denominator</t>
  </si>
  <si>
    <t>% Variance</t>
  </si>
  <si>
    <t>(a) Current ratio</t>
  </si>
  <si>
    <t>Loans or Advances in the nature of loans granted to promoters, directors, KMPs and the related parties:</t>
  </si>
  <si>
    <t>Capital work-in-progress (CWIP) ageing schedule / completion schedule :</t>
  </si>
  <si>
    <t>Completion Schedule (For intangible assets under development whose completion is overdue or has exceeded its cost compared to its original plan):</t>
  </si>
  <si>
    <t>CWIP Completion schedule (For CWIP, whose completion is overdue or has exceeded its cost compared to its original plan):</t>
  </si>
  <si>
    <t>Security of current assets against borrowings</t>
  </si>
  <si>
    <t>Wilful Defaulter</t>
  </si>
  <si>
    <t>Relationship with Struck off Companies</t>
  </si>
  <si>
    <t>Registration of charges / Satisfaction of Charge</t>
  </si>
  <si>
    <t>Compliance with number of layers of companies</t>
  </si>
  <si>
    <t>Analytical Ratios</t>
  </si>
  <si>
    <t>*Explanation shall be provided for any change in the ratio by more than 25% as compared to the ratio of preceding year.</t>
  </si>
  <si>
    <t>Current Liabilities</t>
  </si>
  <si>
    <t>Compliance with approved Scheme(s) of Arrangements</t>
  </si>
  <si>
    <t>Utilisation of Borrowed funds and share premium</t>
  </si>
  <si>
    <t>Undisclosed income</t>
  </si>
  <si>
    <t>Corporate Social Responsibility (CSR)</t>
  </si>
  <si>
    <t>Details of Crypto Currency or Virtual Currency</t>
  </si>
  <si>
    <t>Provisions</t>
  </si>
  <si>
    <r>
      <t>Note</t>
    </r>
    <r>
      <rPr>
        <sz val="11"/>
        <rFont val="Book Antiqua"/>
        <family val="1"/>
      </rPr>
      <t>: Figures in brackets relate to the previous year.</t>
    </r>
  </si>
  <si>
    <r>
      <t xml:space="preserve">% of interest </t>
    </r>
    <r>
      <rPr>
        <b/>
        <sz val="11"/>
        <color rgb="FFFF0000"/>
        <rFont val="Book Antiqua"/>
        <family val="1"/>
      </rPr>
      <t>/ ownership</t>
    </r>
  </si>
  <si>
    <r>
      <t xml:space="preserve">Names of the other venturers in the JCO / JCE may be given along with their share of interest as part of the above disclosure separately. If such a disclosure is made, the same may be cross referred to the disclosure under AS 18 </t>
    </r>
    <r>
      <rPr>
        <i/>
        <sz val="11"/>
        <rFont val="Book Antiqua"/>
        <family val="1"/>
      </rPr>
      <t xml:space="preserve">Related Party Disclosures </t>
    </r>
    <r>
      <rPr>
        <sz val="11"/>
        <rFont val="Book Antiqua"/>
        <family val="1"/>
      </rPr>
      <t>in Note 27.7.</t>
    </r>
  </si>
  <si>
    <r>
      <t xml:space="preserve">Inter-segment revenue is included only for Segment reporting and not considered as Revenue in the Statement of Profit and Loss. When determining reportable segments under AS 17 </t>
    </r>
    <r>
      <rPr>
        <i/>
        <sz val="11"/>
        <rFont val="Book Antiqua"/>
        <family val="1"/>
      </rPr>
      <t xml:space="preserve">Segment Reporting, </t>
    </r>
    <r>
      <rPr>
        <sz val="11"/>
        <rFont val="Book Antiqua"/>
        <family val="1"/>
      </rPr>
      <t xml:space="preserve">disclosures under Management Discussion &amp; Analysis in the Annual Report may be considered. </t>
    </r>
  </si>
  <si>
    <r>
      <t xml:space="preserve">The Board of Directors of the Company at their meeting held on X July, 20XX and as approved at its Annual General Meeting held on XX July, 20XX have resolved to create, offer, issue and allot up to _____ warrants, convertible into _____ equity shares of ` __/- each on a preferential allotment basis, pursuant to the provisions of the Companies Act, at a conversion price of ` ___/- per equity share of the Company, arrived at in accordance with the SEBI Guidelines in this regard and subsequently these warrants were allotted on </t>
    </r>
    <r>
      <rPr>
        <u/>
        <sz val="11"/>
        <rFont val="Book Antiqua"/>
        <family val="1"/>
      </rPr>
      <t>(date)</t>
    </r>
    <r>
      <rPr>
        <sz val="11"/>
        <rFont val="Book Antiqua"/>
        <family val="1"/>
      </rPr>
      <t xml:space="preserve"> to the promoters and the 10% application money amounting to ` ______ was received from them. The warrants may be converted into equivalent number of shares on payment of the balance amount at any time on or before 31 July, 20XX. In the event the warrants are not converted into shares within the said period, the Company is eligible to forfeit the amounts received towards the warrants.</t>
    </r>
  </si>
  <si>
    <r>
      <rPr>
        <b/>
        <sz val="11"/>
        <rFont val="Book Antiqua"/>
        <family val="1"/>
      </rPr>
      <t xml:space="preserve">Investments </t>
    </r>
    <r>
      <rPr>
        <sz val="11"/>
        <rFont val="Book Antiqua"/>
        <family val="1"/>
      </rPr>
      <t>(At cost):</t>
    </r>
  </si>
  <si>
    <t>(ii) The Company is eligible to reissue the (state type) bonds / debentures that have been redeemed. As at 31 March, 20X2, ___ number of bonds / debentures of ` ___ each (As at 31 March, 20X1 ____ number of bonds / debentures of ` ___ each) were available for reissuance.</t>
  </si>
  <si>
    <r>
      <t xml:space="preserve">Net increase / (decrease) in working capital borrowings </t>
    </r>
    <r>
      <rPr>
        <b/>
        <sz val="11"/>
        <color rgb="FFFF0000"/>
        <rFont val="Book Antiqua"/>
        <family val="1"/>
      </rPr>
      <t>$</t>
    </r>
  </si>
  <si>
    <t>Sr.No.</t>
  </si>
  <si>
    <t>Particular</t>
  </si>
  <si>
    <t>Signing Partner Details</t>
  </si>
  <si>
    <t>Name</t>
  </si>
  <si>
    <t>Membership No.</t>
  </si>
  <si>
    <t>Signing Date</t>
  </si>
  <si>
    <t>Signing Place</t>
  </si>
  <si>
    <t>Client Data</t>
  </si>
  <si>
    <t>Company Info</t>
  </si>
  <si>
    <t>DIN</t>
  </si>
  <si>
    <t>Rounding Factor</t>
  </si>
  <si>
    <t>Net gain on foreign currency transactions and translation</t>
  </si>
  <si>
    <t>Net gain on sale of investments - Having STT</t>
  </si>
  <si>
    <t xml:space="preserve">Net gain on sale of other investments </t>
  </si>
  <si>
    <t xml:space="preserve">Adjustments to the carrying amount of investments - reversal of reduction in the carrying amount </t>
  </si>
  <si>
    <t>Other non-operating income</t>
  </si>
  <si>
    <t>Domestic</t>
  </si>
  <si>
    <t>Export</t>
  </si>
  <si>
    <t>Contributions to provident and other funds</t>
  </si>
  <si>
    <t>Audit fees</t>
  </si>
  <si>
    <t>Consumption of packing materials</t>
  </si>
  <si>
    <t>Date Formats</t>
  </si>
  <si>
    <t>Yes</t>
  </si>
  <si>
    <t>Address</t>
  </si>
  <si>
    <t>Amount in Rs.</t>
  </si>
  <si>
    <t>Serial No. Automation</t>
  </si>
  <si>
    <t>Financials check sheet</t>
  </si>
  <si>
    <t>TB Format - Rather than using codes we can directly use the name of the notes or grouping</t>
  </si>
  <si>
    <t>Coding Applied</t>
  </si>
  <si>
    <t>Employee Benefit Expenses</t>
  </si>
  <si>
    <t>Profit and Loss A/C</t>
  </si>
  <si>
    <t>Primary Group</t>
  </si>
  <si>
    <t xml:space="preserve">Parent </t>
  </si>
  <si>
    <t>FS Group</t>
  </si>
  <si>
    <t>Sale of products - Export</t>
  </si>
  <si>
    <t>Sale of products - Domestic</t>
  </si>
  <si>
    <t>Sale of services - Export</t>
  </si>
  <si>
    <t>(a) Interest expense on: (i) Borrowings from Banks</t>
  </si>
  <si>
    <t>(a) Interest expense on: (ii) Others</t>
  </si>
  <si>
    <t>(b) Other borrowing costs</t>
  </si>
  <si>
    <t>Closing Balance</t>
  </si>
  <si>
    <t>Payments to Auditors</t>
  </si>
  <si>
    <t>Sub Note</t>
  </si>
  <si>
    <t>Amount for Financials</t>
  </si>
  <si>
    <t>Sundry Creditors</t>
  </si>
  <si>
    <t>Current Assets</t>
  </si>
  <si>
    <t>_x0004_ Primary</t>
  </si>
  <si>
    <t>Grants or donations received</t>
  </si>
  <si>
    <t>RE6</t>
  </si>
  <si>
    <t>RE5</t>
  </si>
  <si>
    <t>RE4</t>
  </si>
  <si>
    <t>RE3</t>
  </si>
  <si>
    <t>RE2</t>
  </si>
  <si>
    <t>RE1</t>
  </si>
  <si>
    <t>Visibility</t>
  </si>
  <si>
    <t>OI1</t>
  </si>
  <si>
    <t>OI2</t>
  </si>
  <si>
    <t>OI3</t>
  </si>
  <si>
    <t>OI4</t>
  </si>
  <si>
    <t>OI5</t>
  </si>
  <si>
    <t>OI6</t>
  </si>
  <si>
    <t>OI7</t>
  </si>
  <si>
    <t>OI8</t>
  </si>
  <si>
    <t>OI9</t>
  </si>
  <si>
    <t>OI10</t>
  </si>
  <si>
    <t>Gratuity expense</t>
  </si>
  <si>
    <t>Expense on employee stock option (ESOP) scheme</t>
  </si>
  <si>
    <t>Rental Income</t>
  </si>
  <si>
    <t>Fees and Commission Income</t>
  </si>
  <si>
    <t>- Dividend Income</t>
  </si>
  <si>
    <t>- Rental Income</t>
  </si>
  <si>
    <t>- Fees and Commission Income</t>
  </si>
  <si>
    <t>- Other</t>
  </si>
  <si>
    <t>Other</t>
  </si>
  <si>
    <t>REF1</t>
  </si>
  <si>
    <t>REF2</t>
  </si>
  <si>
    <t>REF3</t>
  </si>
  <si>
    <t>REF4</t>
  </si>
  <si>
    <t>REF5</t>
  </si>
  <si>
    <t>Revenue from operations of Finance Company</t>
  </si>
  <si>
    <t>Relevant in case of section 8 company only</t>
  </si>
  <si>
    <t>This term is not defined in Schedule III. As per the ICAI Guidance Note, this would include revenue arising from the Company's operating activities - principal or ancillary revenue generating activities, but which is not revenue from sale of products or rendering of services. Net foreign exchange gain should be classified as Other income unless the business of the Company is to deal in foreign exchange.Other Income items such as interest income, dividend income, rental and net gain / loss on sale of investments should be disclosed separately for Current as well as Long-term investments as required by AS 13 Accounting for Investments.</t>
  </si>
  <si>
    <t>Other operating revenues comprise:</t>
  </si>
  <si>
    <t>All kinds of interest income for a company other than a finance company should be disclosed under this head such as interest on fixed deposits, interest from customers on amounts overdue, etc.</t>
  </si>
  <si>
    <t>Clause (a) of Note 5 (vii) requires a separate disclosure for Dividends from subsidiary companies.</t>
  </si>
  <si>
    <t>Other income items such as interest income, dividend income and net gain on sale of investments should be disclosed separately for Current as well as Long-term Investments as required by AS13 “Accounting for Investments”. If it is a net loss the same should be classified under expenses.</t>
  </si>
  <si>
    <t xml:space="preserve">For other non-operating income, income should be disclosed under this head net off expenses directly attributable to such income. However, the expenses so netted off should be separately disclosed.'Liability no longer required written back relating to a revenue expenditure, arising in the same accounting year, should be credited to the original expense account. Where such write back occurs in a subsequent accounting year, the credit should be considered as Other income as part of Other non-operating income. Liability no longer required written back relating to capital expenditure, if material, should be credited to the cost of the related capital asset and the depreciation charge should be adjusted over the balance useful life of the asset. Where the write back is not material or the capital asset is substantially depreciated, the same could be considered as Other income as part of Other non-operating income. </t>
  </si>
  <si>
    <t>Any gains / losses on account of foreign exchange fluctuations are to be disclosed separately as per AS11. Thus net exchange loss should be classified under ‘other expenses’ and the amount so included should be separately disclosed. Under this head, exchange differences to the extent classified as borrowing costs as per Para 4(e) of AS-16 should not be disclosed. Refer para 9.5.5 [Note 3(c) of Schedule III].</t>
  </si>
  <si>
    <t>Opening Stock</t>
  </si>
  <si>
    <t>Closing Stock</t>
  </si>
  <si>
    <t>OPM</t>
  </si>
  <si>
    <t>PUM</t>
  </si>
  <si>
    <t>CLM</t>
  </si>
  <si>
    <t>Amount (Debit +, Credit -)</t>
  </si>
  <si>
    <t>Current Grouping - only for reference</t>
  </si>
  <si>
    <t>Additional entry Grouping</t>
  </si>
  <si>
    <t>Presentation  Entries</t>
  </si>
  <si>
    <t>The amount of expense under this head and all disclosures should be determined in accordance with the Guidance Note on Accounting for Employee Share based Payments.</t>
  </si>
  <si>
    <t>The total expenditure on Staff welfare is to be disclosed herein.</t>
  </si>
  <si>
    <t>All other expenses not classified under other heads will be classified here. For this purpose, any item of expenditure which exceeds one percent of the revenue from operations or `Rs. 1,00,000, whichever is higher, needs to be disclosed separately.</t>
  </si>
  <si>
    <t>Previous Year</t>
  </si>
  <si>
    <t>Current Year</t>
  </si>
  <si>
    <t>Sum</t>
  </si>
  <si>
    <t>Subtotal</t>
  </si>
  <si>
    <t>EB1</t>
  </si>
  <si>
    <t>EB2</t>
  </si>
  <si>
    <t>EB3</t>
  </si>
  <si>
    <t>EB4</t>
  </si>
  <si>
    <t>EB5</t>
  </si>
  <si>
    <t>The aggregate amounts paid/payable by the company for payment of salaries and wages are to be disclosed here. Expenses on account of bonus, leave encashment, compensation and other similar payments also need to be disclosed here. 
Salaries and wages would include: Salaries, wages, bonus, compensated absences and all other amounts payable to employees in respect of services rendered as per their employment terms under a contract of service / employment.
Employee would deem to include directors, in full time or part time employment of the Company, but would exclude directors who are not under a contract of employment with the Company.</t>
  </si>
  <si>
    <t>Contribution to provident fund and other funds would include contributions to other funds like gratuity fund, superannuation fund, etc. pertaining to employees. Contributions to ESIC, Labour Welfare Fund and other such funds where the benefit an employee derives is not directly linked to the contributions made on his behalf are to be grouped as part of Staff welfare expenses.
Where gratuity is not funded, the gratuity expense needs to be disclosed separately.
Penalties and other similar amounts paid to the statutory authorities are not in the nature of 'contribution' and should not be included above.</t>
  </si>
  <si>
    <t>OE1</t>
  </si>
  <si>
    <t>OE2</t>
  </si>
  <si>
    <t>OE3</t>
  </si>
  <si>
    <t>OE4</t>
  </si>
  <si>
    <t>OE5</t>
  </si>
  <si>
    <t>OE6</t>
  </si>
  <si>
    <t>OE7</t>
  </si>
  <si>
    <t>OE8</t>
  </si>
  <si>
    <t>OE9</t>
  </si>
  <si>
    <t>OE10</t>
  </si>
  <si>
    <t>OE11</t>
  </si>
  <si>
    <t>OE12</t>
  </si>
  <si>
    <t>OE13</t>
  </si>
  <si>
    <t>OE14</t>
  </si>
  <si>
    <t>OE15</t>
  </si>
  <si>
    <t>OE16</t>
  </si>
  <si>
    <t>OE17</t>
  </si>
  <si>
    <t>OE18</t>
  </si>
  <si>
    <t>OE19</t>
  </si>
  <si>
    <t>OE20</t>
  </si>
  <si>
    <t>OE21</t>
  </si>
  <si>
    <t>OE22</t>
  </si>
  <si>
    <t>OE23</t>
  </si>
  <si>
    <t>OE24</t>
  </si>
  <si>
    <t>OE25</t>
  </si>
  <si>
    <t>OE26</t>
  </si>
  <si>
    <t>OE27</t>
  </si>
  <si>
    <t>FC1</t>
  </si>
  <si>
    <t>FC2</t>
  </si>
  <si>
    <t>FC3</t>
  </si>
  <si>
    <t>FC4</t>
  </si>
  <si>
    <t>PLCY</t>
  </si>
  <si>
    <t>PLPY</t>
  </si>
  <si>
    <t>BSCY</t>
  </si>
  <si>
    <t>BSPY</t>
  </si>
  <si>
    <t>Other borrowing costs would include commitment charges, loan processing charges, guarantee charges, loan facilitation charges, discounts / premiums on borrowings, other ancillary costs incurred in connection with borrowings or amortisation of such costs, etc..</t>
  </si>
  <si>
    <t>CA. Shailesh Rathi</t>
  </si>
  <si>
    <t>1st Signatory</t>
  </si>
  <si>
    <t>2nd Signatory</t>
  </si>
  <si>
    <t>Designation</t>
  </si>
  <si>
    <t>(a) Interest</t>
  </si>
  <si>
    <t>(a) Salaries and wages</t>
  </si>
  <si>
    <t>$_PrimaryGroup</t>
  </si>
  <si>
    <t>$Parent</t>
  </si>
  <si>
    <t>$Name</t>
  </si>
  <si>
    <t>Opening Balance</t>
  </si>
  <si>
    <t>Primary</t>
  </si>
  <si>
    <t>Latest TB</t>
  </si>
  <si>
    <t>Latest TB.Opening Balance</t>
  </si>
  <si>
    <t>Latest TB.Closing Balance</t>
  </si>
  <si>
    <t>Opening Stock Adjustment</t>
  </si>
  <si>
    <t>Cash</t>
  </si>
  <si>
    <t>MSME</t>
  </si>
  <si>
    <t>Defined Contribution Plan</t>
  </si>
  <si>
    <t>Authorised Share Capital</t>
  </si>
  <si>
    <t>Reserves and surplus</t>
  </si>
  <si>
    <t>Hide</t>
  </si>
  <si>
    <t>Deferred tax liabilities Net</t>
  </si>
  <si>
    <t>Other Long term liabilities</t>
  </si>
  <si>
    <t>Long term provisions</t>
  </si>
  <si>
    <t>Short term borrowings</t>
  </si>
  <si>
    <t>Short term provisions</t>
  </si>
  <si>
    <t>Capital work in progress</t>
  </si>
  <si>
    <t>Change in Inventories of work in progress and finished goods</t>
  </si>
  <si>
    <t>Foot note 5</t>
  </si>
  <si>
    <t>Foot note 6</t>
  </si>
  <si>
    <t>Equity Shares: The Company has one class of equity shares. Each shareholder is eligible for one vote per share held. The dividend proposed by the Board of Directors is subject to the approval of the shareholders in the ensuing Annual General Meeting, except in case of interim dividend. In the event of liquidation, the equity shareholders are eligible to receive the remaining assets of the Company after distribution of all preferential amounts, in proportion to their shareholding.</t>
  </si>
  <si>
    <t>Foot note 7</t>
  </si>
  <si>
    <t xml:space="preserve">Preference Shares: </t>
  </si>
  <si>
    <t>Foot note 8</t>
  </si>
  <si>
    <t>No of Shares</t>
  </si>
  <si>
    <t/>
  </si>
  <si>
    <t>Cost of Material Consumed</t>
  </si>
  <si>
    <t>As per Trial Balance</t>
  </si>
  <si>
    <t>Difference</t>
  </si>
  <si>
    <t xml:space="preserve">Current year </t>
  </si>
  <si>
    <t xml:space="preserve">Previous year </t>
  </si>
  <si>
    <t>COMC P 1</t>
  </si>
  <si>
    <t>COMC P 2</t>
  </si>
  <si>
    <t>COMC P 3</t>
  </si>
  <si>
    <t>COMC P 4</t>
  </si>
  <si>
    <t>COMC P 5</t>
  </si>
  <si>
    <t>COMC P 6</t>
  </si>
  <si>
    <t>COMC P 7</t>
  </si>
  <si>
    <t>COMC P 8</t>
  </si>
  <si>
    <t>COMC P 9</t>
  </si>
  <si>
    <t>COMC P 10</t>
  </si>
  <si>
    <t>Outstanding for following periods from due date of payment</t>
  </si>
  <si>
    <t>Check</t>
  </si>
  <si>
    <t>As per Above Schedule</t>
  </si>
  <si>
    <t>(c) Securities premium</t>
  </si>
  <si>
    <t>Securities premium</t>
  </si>
  <si>
    <t>Revaluation reserve</t>
  </si>
  <si>
    <t>Share options outstanding A/C</t>
  </si>
  <si>
    <t>(f) Share options outstanding A/C</t>
  </si>
  <si>
    <t xml:space="preserve">Less: Written back to Statement of Profit and Loss during the year </t>
  </si>
  <si>
    <t>Less: Deferred stock compensation expense</t>
  </si>
  <si>
    <t>(l) Surplus / (Deficit) in Statement of Profit and Loss</t>
  </si>
  <si>
    <t xml:space="preserve">Foreign currency translation reserve </t>
  </si>
  <si>
    <t>Hedging reserve</t>
  </si>
  <si>
    <t>Foreign currency monetary items translation difference account</t>
  </si>
  <si>
    <t>Other reserves</t>
  </si>
  <si>
    <t>(k) Other reserves</t>
  </si>
  <si>
    <t>Term loans / Loans repayble on demand - From Banks - Secured</t>
  </si>
  <si>
    <t>Term loans / Loans repayble on demand - From Banks - Unsecured</t>
  </si>
  <si>
    <t>Term loans / Loans repayble on demand - From Others - secured</t>
  </si>
  <si>
    <t>Term loans / Loans repayble on demand - From Others - Unsecured</t>
  </si>
  <si>
    <t>Deferred payment liabilities - Secured</t>
  </si>
  <si>
    <t>Deferred payment liabilities - Unsecured</t>
  </si>
  <si>
    <t>Bonds / debentures - Unsecured</t>
  </si>
  <si>
    <t>Bonds / debentures - Secured</t>
  </si>
  <si>
    <t>BBS</t>
  </si>
  <si>
    <t>BBU</t>
  </si>
  <si>
    <t>BTBSST</t>
  </si>
  <si>
    <t>BTBUST</t>
  </si>
  <si>
    <t>BTBSLT</t>
  </si>
  <si>
    <t>BTBULT</t>
  </si>
  <si>
    <t>BTOSLT</t>
  </si>
  <si>
    <t>BTOULT</t>
  </si>
  <si>
    <t>BTOSST</t>
  </si>
  <si>
    <t>BTOUST</t>
  </si>
  <si>
    <t>Term loans / Loans repayble on demand - From Banks - Secured - ST</t>
  </si>
  <si>
    <t>Term loans / Loans repayble on demand - From Banks - Unsecured - ST</t>
  </si>
  <si>
    <t>Term loans / Loans repayble on demand - From Others - secured - ST</t>
  </si>
  <si>
    <t>Term loans / Loans repayble on demand - From Others - Unsecured - ST</t>
  </si>
  <si>
    <t>Deposits - Secured - ST</t>
  </si>
  <si>
    <t>Deposits - Unsecured - ST</t>
  </si>
  <si>
    <t>BDSLT</t>
  </si>
  <si>
    <t>BDULT</t>
  </si>
  <si>
    <t>BDSST</t>
  </si>
  <si>
    <t>BDUST</t>
  </si>
  <si>
    <t>BLRSLT</t>
  </si>
  <si>
    <t>BLRULT</t>
  </si>
  <si>
    <t>BLRSST</t>
  </si>
  <si>
    <t>BLRUST</t>
  </si>
  <si>
    <t>BFLSLT</t>
  </si>
  <si>
    <t>BDPS</t>
  </si>
  <si>
    <t>BDPU</t>
  </si>
  <si>
    <t>BFLULT</t>
  </si>
  <si>
    <t>BCMSST</t>
  </si>
  <si>
    <t>BCMUST</t>
  </si>
  <si>
    <t>BOSLT</t>
  </si>
  <si>
    <t>BOULT</t>
  </si>
  <si>
    <t>Loans and advances from related parties - Secured - ST</t>
  </si>
  <si>
    <t>Loans and advances from related parties - Unsecured - ST</t>
  </si>
  <si>
    <t>BOSST</t>
  </si>
  <si>
    <t>BOUST</t>
  </si>
  <si>
    <t>Other loans and advances - Secured - ST</t>
  </si>
  <si>
    <t>Other loans and advances - Unsecured - ST</t>
  </si>
  <si>
    <t>Other loans and advances - Unsecured - LT</t>
  </si>
  <si>
    <t>Other loans and advances - Secured - LT</t>
  </si>
  <si>
    <t>Deposits - Secured - LT</t>
  </si>
  <si>
    <t>Deposits - Unsecured - LT</t>
  </si>
  <si>
    <t>Loans and advances from related parties - Secured - LT</t>
  </si>
  <si>
    <t>Loans and advances from related parties - Unsecured - LT</t>
  </si>
  <si>
    <t>Long-term maturities of finance lease obligations - Secured - LT</t>
  </si>
  <si>
    <t>Long-term maturities of finance lease obligations - Unsecured - LT</t>
  </si>
  <si>
    <t>Current maturities of Long term borrowings - Secured - ST</t>
  </si>
  <si>
    <t>Current maturities of Long term borrowings - Unsecured - ST</t>
  </si>
  <si>
    <t>(i) Details of bonds / debentures issued by the Company:</t>
  </si>
  <si>
    <t>Terms and 
conditions</t>
  </si>
  <si>
    <t>Terms of repayment and security</t>
  </si>
  <si>
    <t>Security Deposits received</t>
  </si>
  <si>
    <t>OLL1</t>
  </si>
  <si>
    <t>OLL2</t>
  </si>
  <si>
    <t>OLL3</t>
  </si>
  <si>
    <t>OLL4</t>
  </si>
  <si>
    <t>OLL5</t>
  </si>
  <si>
    <t>OLL6</t>
  </si>
  <si>
    <t>OLL7</t>
  </si>
  <si>
    <t>OLL8</t>
  </si>
  <si>
    <t>OLL9</t>
  </si>
  <si>
    <t>PEBCALT</t>
  </si>
  <si>
    <t>PEBGLT</t>
  </si>
  <si>
    <t>PEBMBLT</t>
  </si>
  <si>
    <t>PEBBPLT</t>
  </si>
  <si>
    <t>PEBOEBLT</t>
  </si>
  <si>
    <t>POBLT</t>
  </si>
  <si>
    <t>POTLT</t>
  </si>
  <si>
    <t>POWLT</t>
  </si>
  <si>
    <t>POCLT</t>
  </si>
  <si>
    <t>POOLT</t>
  </si>
  <si>
    <t>PEBCAST</t>
  </si>
  <si>
    <t>PEBGST</t>
  </si>
  <si>
    <t>PEBMBST</t>
  </si>
  <si>
    <t>PEBBPST</t>
  </si>
  <si>
    <t>PEBOEBST</t>
  </si>
  <si>
    <t>POBST</t>
  </si>
  <si>
    <t>POTST</t>
  </si>
  <si>
    <t>POWST</t>
  </si>
  <si>
    <t>POCST</t>
  </si>
  <si>
    <t>POOST</t>
  </si>
  <si>
    <t>Provision for employee benefits - Provision for compensated absences - ST</t>
  </si>
  <si>
    <t>Provision for employee benefits - Provision for gratuity (net) - ST</t>
  </si>
  <si>
    <t>Provision for employee benefits - Provision for post-employment medical benefits - ST</t>
  </si>
  <si>
    <t>Provision for employee benefits - Provision for other defined benefit plans (net) - ST</t>
  </si>
  <si>
    <t>Provision for employee benefits - Provision for other employee benefits - ST</t>
  </si>
  <si>
    <t>Others - Provision for premium payable on redemption of bonds. - ST</t>
  </si>
  <si>
    <t>Others - Provision for Tax - ST</t>
  </si>
  <si>
    <t>Others - Provision for warranty - ST</t>
  </si>
  <si>
    <t>Others - Provision for other contingencies - ST</t>
  </si>
  <si>
    <t>Others - Provision - others - ST</t>
  </si>
  <si>
    <t>Provision for employee benefits - Provision for compensated absences - LT</t>
  </si>
  <si>
    <t>Provision for employee benefits - Provision for gratuity (net) - LT</t>
  </si>
  <si>
    <t>Provision for employee benefits - Provision for post-employment medical benefits - LT</t>
  </si>
  <si>
    <t>Provision for employee benefits - Provision for other defined benefit plans (net) - LT</t>
  </si>
  <si>
    <t>Provision for employee benefits - Provision for other employee benefits - LT</t>
  </si>
  <si>
    <t>Others - Provision for premium payable on redemption of bonds. - LT</t>
  </si>
  <si>
    <t>Others - Provision for Tax - LT</t>
  </si>
  <si>
    <t>Others - Provision for warranty - LT</t>
  </si>
  <si>
    <t>Others - Provision for other contingencies - LT</t>
  </si>
  <si>
    <t>Others - Provision - others - LT</t>
  </si>
  <si>
    <t>Total outstanding dues of micro enterprises and small enterprises</t>
  </si>
  <si>
    <t>Total outstanding dues of creditors other than micro enterprises and small enterprises</t>
  </si>
  <si>
    <t>- Total outstanding dues of creditors other than micro enterprises and small enterprises</t>
  </si>
  <si>
    <t>- Total outstanding dues of micro enterprises and small enterprises</t>
  </si>
  <si>
    <t>TP1</t>
  </si>
  <si>
    <t>TP2</t>
  </si>
  <si>
    <t>- Payables on purchase of fixed assets</t>
  </si>
  <si>
    <t>- Contractually reimbursable expenses</t>
  </si>
  <si>
    <t>- Interest accrued on trade payables</t>
  </si>
  <si>
    <t>- Interest accrued on others</t>
  </si>
  <si>
    <t>- Trade / security deposits received</t>
  </si>
  <si>
    <t>- Advances from customers</t>
  </si>
  <si>
    <t xml:space="preserve">Other payables - Statutory remittances (Contributions to PF and ESIC, Withholding Taxes, 
     GST, etc.) </t>
  </si>
  <si>
    <t>Other payables - Payables on purchase of fixed assets</t>
  </si>
  <si>
    <t>Other payables - Contractually reimbursable expenses</t>
  </si>
  <si>
    <t>Other payables - Interest accrued on trade payables</t>
  </si>
  <si>
    <t>Other payables - Interest accrued on others</t>
  </si>
  <si>
    <t>Other payables - Trade / security deposits received</t>
  </si>
  <si>
    <t>Other payables - Advances from customers</t>
  </si>
  <si>
    <t>Unclaimed / unpaid dividends</t>
  </si>
  <si>
    <t>Application money received for allotment of securities and due for refund and interest accrued thereon;</t>
  </si>
  <si>
    <t>Unpaid matured deposits / debentures and interest accrued thereon</t>
  </si>
  <si>
    <t>OCL1</t>
  </si>
  <si>
    <t>OCL2</t>
  </si>
  <si>
    <t>OCL7</t>
  </si>
  <si>
    <t>OCL8</t>
  </si>
  <si>
    <t>OCL9</t>
  </si>
  <si>
    <t>OCL3</t>
  </si>
  <si>
    <t>OCL4</t>
  </si>
  <si>
    <t>OCL5</t>
  </si>
  <si>
    <t>OCL6</t>
  </si>
  <si>
    <t>OCL10</t>
  </si>
  <si>
    <t>OCL11</t>
  </si>
  <si>
    <t>OCL12</t>
  </si>
  <si>
    <t>OCL13</t>
  </si>
  <si>
    <t>OCL14</t>
  </si>
  <si>
    <t>OCL15</t>
  </si>
  <si>
    <t>Other LTL</t>
  </si>
  <si>
    <t>Balance Sheet</t>
  </si>
  <si>
    <t>Disclosures</t>
  </si>
  <si>
    <t>Applicability</t>
  </si>
  <si>
    <t>AS 29</t>
  </si>
  <si>
    <t>Decimal Points</t>
  </si>
  <si>
    <t>XXXXX0000X</t>
  </si>
  <si>
    <t>5 % Convertible bonds / debentures</t>
  </si>
  <si>
    <t>Provision For Expenses</t>
  </si>
  <si>
    <t>TPP</t>
  </si>
  <si>
    <t>Compulsorily convertible preference shares each</t>
  </si>
  <si>
    <t>Optionally convertible preference shares of each</t>
  </si>
  <si>
    <t>Redeemable preference shares of each</t>
  </si>
  <si>
    <t>Price per share</t>
  </si>
  <si>
    <t>Issued Share Capital</t>
  </si>
  <si>
    <t>Subscribed and fully paid up</t>
  </si>
  <si>
    <t>Subscribed but not fully paid up</t>
  </si>
  <si>
    <t>Rounding factor Text</t>
  </si>
  <si>
    <t>Paidup Amount</t>
  </si>
  <si>
    <t>&lt;Name&gt;</t>
  </si>
  <si>
    <t>As At 31st March 2023</t>
  </si>
  <si>
    <t>As At 31st March 2022</t>
  </si>
  <si>
    <t>Subsidiaries of the holding company:</t>
  </si>
  <si>
    <t>Associates of the holding company:</t>
  </si>
  <si>
    <t>Subsidiaries of the ultimate holding company:</t>
  </si>
  <si>
    <t>Associates of the ultimate holding company:</t>
  </si>
  <si>
    <t>Shareholder 3</t>
  </si>
  <si>
    <t>Shareholder 4</t>
  </si>
  <si>
    <t>Shareholder 5</t>
  </si>
  <si>
    <t>Shareholder 6</t>
  </si>
  <si>
    <t>Shareholder 7</t>
  </si>
  <si>
    <t>Shareholder 8</t>
  </si>
  <si>
    <t>Shareholder 9</t>
  </si>
  <si>
    <t>Shareholder 10</t>
  </si>
  <si>
    <t>Shareholder 11</t>
  </si>
  <si>
    <t>Shareholder 12</t>
  </si>
  <si>
    <t>Shareholder 13</t>
  </si>
  <si>
    <t>Shareholder 14</t>
  </si>
  <si>
    <t>Shareholder 15</t>
  </si>
  <si>
    <t>Shareholder 16</t>
  </si>
  <si>
    <t>Shareholder 17</t>
  </si>
  <si>
    <t>Shareholder 18</t>
  </si>
  <si>
    <t>Shareholder 19</t>
  </si>
  <si>
    <t>Shareholder 20</t>
  </si>
  <si>
    <t>% of Total Shares</t>
  </si>
  <si>
    <t>% change during the year</t>
  </si>
  <si>
    <t>&lt;Name&gt; - &lt;Class of shares&gt;</t>
  </si>
  <si>
    <t xml:space="preserve"> Provision for compensated absences</t>
  </si>
  <si>
    <t xml:space="preserve"> Provision for post-employment medical benefits (net)</t>
  </si>
  <si>
    <t xml:space="preserve"> Provision for other employee benefits</t>
  </si>
  <si>
    <t xml:space="preserve"> Provision for premium payable on redemption of bonds </t>
  </si>
  <si>
    <t xml:space="preserve"> Provision for tax</t>
  </si>
  <si>
    <t xml:space="preserve"> Provision - others</t>
  </si>
  <si>
    <t xml:space="preserve"> Interest accrued but not due on borrowings</t>
  </si>
  <si>
    <t xml:space="preserve"> Interest accrued and due on borrowings</t>
  </si>
  <si>
    <t xml:space="preserve"> Income received in advance (Unearned revenue)</t>
  </si>
  <si>
    <t xml:space="preserve">  Unclaimed / unpaid dividends</t>
  </si>
  <si>
    <t xml:space="preserve"> Application money received for allotment of securities and due for refund and interest accrued thereon;</t>
  </si>
  <si>
    <t xml:space="preserve"> Unpaid matured deposits / debentures and interest accrued thereon</t>
  </si>
  <si>
    <t xml:space="preserve"> Other payables</t>
  </si>
  <si>
    <t>Depreciation of Property, plant and equipment</t>
  </si>
  <si>
    <t>DP01</t>
  </si>
  <si>
    <t>Amortization and Impairment of intangible assets</t>
  </si>
  <si>
    <t>DP02</t>
  </si>
  <si>
    <t xml:space="preserve">Trade Investments-Investment in equity instruments </t>
  </si>
  <si>
    <t>TIE</t>
  </si>
  <si>
    <t xml:space="preserve">Trade Investments-Investment in preference shares </t>
  </si>
  <si>
    <t>TIP</t>
  </si>
  <si>
    <t xml:space="preserve">Trade Investments-Investment in debentures or bonds </t>
  </si>
  <si>
    <t>TID</t>
  </si>
  <si>
    <t xml:space="preserve">Trade Investments-Investment in partnership firms </t>
  </si>
  <si>
    <t>TIF</t>
  </si>
  <si>
    <t xml:space="preserve">Trade Investments-Other non-current investments </t>
  </si>
  <si>
    <t>TIO</t>
  </si>
  <si>
    <t xml:space="preserve">Other investments-Investment property </t>
  </si>
  <si>
    <t>OIPR</t>
  </si>
  <si>
    <t xml:space="preserve">Other investments-Investment in equity instruments </t>
  </si>
  <si>
    <t>OIE</t>
  </si>
  <si>
    <t xml:space="preserve">Other investments-Investment in preference shares </t>
  </si>
  <si>
    <t>OIP</t>
  </si>
  <si>
    <t xml:space="preserve">Other investments-Investment in government or trust securities </t>
  </si>
  <si>
    <t>OIG</t>
  </si>
  <si>
    <t>Other investments-Investment in debentures or bonds</t>
  </si>
  <si>
    <t>OID</t>
  </si>
  <si>
    <t xml:space="preserve">Other investments-Investment in mutual funds </t>
  </si>
  <si>
    <t>OIM</t>
  </si>
  <si>
    <t xml:space="preserve">Other investments-Investment in partnership firms </t>
  </si>
  <si>
    <t>OIF</t>
  </si>
  <si>
    <t xml:space="preserve">Other non-current investments </t>
  </si>
  <si>
    <t>OII</t>
  </si>
  <si>
    <t>Provision for diminution in value of investments</t>
  </si>
  <si>
    <t>OIPRDM</t>
  </si>
  <si>
    <t>Capital advances -Secured -LT</t>
  </si>
  <si>
    <t>CAS</t>
  </si>
  <si>
    <t>Capital advances -Unsecured -LT</t>
  </si>
  <si>
    <t>CAU</t>
  </si>
  <si>
    <t>Capital advances -Doubtful -LT</t>
  </si>
  <si>
    <t>CAD</t>
  </si>
  <si>
    <t>Capital advances -Provision for doubtful advances</t>
  </si>
  <si>
    <t>CAPR</t>
  </si>
  <si>
    <t>Loans and advances to related parties -Secured -LT</t>
  </si>
  <si>
    <t>LARPS</t>
  </si>
  <si>
    <t>Loans and advances to related parties -Unsecured -LT</t>
  </si>
  <si>
    <t>LARPU</t>
  </si>
  <si>
    <t>Loans and advances to related parties -Doubtful -LT</t>
  </si>
  <si>
    <t>LARPD</t>
  </si>
  <si>
    <t>LARPPR</t>
  </si>
  <si>
    <t>Loans and advances to employees -Secured -LT</t>
  </si>
  <si>
    <t>LAEES</t>
  </si>
  <si>
    <t>Loans and advances to employees -Unsecured -LT</t>
  </si>
  <si>
    <t>LAEEU</t>
  </si>
  <si>
    <t>Loans and advances to employees -Doubtful -LT</t>
  </si>
  <si>
    <t>LAEED</t>
  </si>
  <si>
    <t>LAEEPR</t>
  </si>
  <si>
    <t>PREXP</t>
  </si>
  <si>
    <t>ADVIT</t>
  </si>
  <si>
    <t>MAT</t>
  </si>
  <si>
    <t>BALGVT</t>
  </si>
  <si>
    <t>Inter-corporate deposits -Secured -LT</t>
  </si>
  <si>
    <t>ICDS</t>
  </si>
  <si>
    <t>Inter-corporate deposits -Unsecured -LT</t>
  </si>
  <si>
    <t>ICDU</t>
  </si>
  <si>
    <t>Inter-corporate deposits -Doubtful -LT</t>
  </si>
  <si>
    <t>ICDD</t>
  </si>
  <si>
    <t>ICDPR</t>
  </si>
  <si>
    <t>Other loans and advances-Secured -LT</t>
  </si>
  <si>
    <t>OLAS</t>
  </si>
  <si>
    <t>Other loans and advances-Unsecured -LT</t>
  </si>
  <si>
    <t>OLAU</t>
  </si>
  <si>
    <t>Other loans and advances-Doubtful -LT</t>
  </si>
  <si>
    <t>OLAD</t>
  </si>
  <si>
    <t>OLAPR</t>
  </si>
  <si>
    <t>Long term Trade Receivables -Secured</t>
  </si>
  <si>
    <t>LTTRS</t>
  </si>
  <si>
    <t>Long term Trade Receivables-Unsecured</t>
  </si>
  <si>
    <t>LTTRU</t>
  </si>
  <si>
    <t>Long term Trade Receivables-Doubtful</t>
  </si>
  <si>
    <t>LTTRD</t>
  </si>
  <si>
    <t>Security Deposits-Secured</t>
  </si>
  <si>
    <t>SDS</t>
  </si>
  <si>
    <t>Security Deposits-Unsecured</t>
  </si>
  <si>
    <t>SDU</t>
  </si>
  <si>
    <t>Security Deposits-Doubtful</t>
  </si>
  <si>
    <t>SDD</t>
  </si>
  <si>
    <t>Unamortised expenses- Ancillary borrowing costs</t>
  </si>
  <si>
    <t>UEXP1</t>
  </si>
  <si>
    <t xml:space="preserve">Unamortised expenses- Discount on shares </t>
  </si>
  <si>
    <t>UEXP2</t>
  </si>
  <si>
    <t>Accruals -Interest accrued on deposits</t>
  </si>
  <si>
    <t>ACDP</t>
  </si>
  <si>
    <t>Accruals -Interest accrued on investments</t>
  </si>
  <si>
    <t>ACINV</t>
  </si>
  <si>
    <t>Others -Insurance claims</t>
  </si>
  <si>
    <t>ONCA1</t>
  </si>
  <si>
    <t>Others -Receivables on sale of fixed assets</t>
  </si>
  <si>
    <t>ONCA2</t>
  </si>
  <si>
    <t>Others -Contractually reimbursable expenses</t>
  </si>
  <si>
    <t>ONCA3</t>
  </si>
  <si>
    <t>Others -(specify nature)</t>
  </si>
  <si>
    <t>ONCA4</t>
  </si>
  <si>
    <t>Raw Materials</t>
  </si>
  <si>
    <t>Goods-in-Transit (RM)</t>
  </si>
  <si>
    <t>RM-GIT</t>
  </si>
  <si>
    <t xml:space="preserve">Work-in-progress </t>
  </si>
  <si>
    <t>Goods-in-transit (WIP)</t>
  </si>
  <si>
    <t>WIP-GIT</t>
  </si>
  <si>
    <t>Finished goods (other than those acquired for trading)</t>
  </si>
  <si>
    <t>Goods-in-transit (FG)</t>
  </si>
  <si>
    <t>FG-GIT</t>
  </si>
  <si>
    <t>Stock-in-trade (acquired for trading)</t>
  </si>
  <si>
    <t>Goods-in-transit (SIT)</t>
  </si>
  <si>
    <t>SIT-GIT</t>
  </si>
  <si>
    <t xml:space="preserve">Stores and spares </t>
  </si>
  <si>
    <t>Goods-in-transit (Stores)</t>
  </si>
  <si>
    <t>ST-GIT</t>
  </si>
  <si>
    <t xml:space="preserve">Loose tools </t>
  </si>
  <si>
    <t>Goods-in-transit (Loose Tools)</t>
  </si>
  <si>
    <t>LT-GIT</t>
  </si>
  <si>
    <t>Others (Specify nature)</t>
  </si>
  <si>
    <t>Goods-in-transit (Others)</t>
  </si>
  <si>
    <t>O-GIT</t>
  </si>
  <si>
    <t>Trade receivables from related parties : Secured, considered good</t>
  </si>
  <si>
    <t>Trade receivables from related parties : Unsecured, considered good</t>
  </si>
  <si>
    <t>Trade receivables from related parties : Doubtful</t>
  </si>
  <si>
    <t>TR003</t>
  </si>
  <si>
    <t>Trade receivables from external parties : Secured, considered good</t>
  </si>
  <si>
    <t>TR004</t>
  </si>
  <si>
    <t>Trade receivables from external parties : Unsecured, considered good</t>
  </si>
  <si>
    <t>TR005</t>
  </si>
  <si>
    <t>Trade receivables from external parties : Doubtful</t>
  </si>
  <si>
    <t>TR006</t>
  </si>
  <si>
    <t>TR007</t>
  </si>
  <si>
    <t>Cash and Cash Balances</t>
  </si>
  <si>
    <t>Balances with banks -  In current accounts</t>
  </si>
  <si>
    <t>Balances with banks - In EEFC accounts</t>
  </si>
  <si>
    <t>Balances with banks - In deposit accounts</t>
  </si>
  <si>
    <t>Balances with banks - In earmarked accounts - Unpaid dividend accounts</t>
  </si>
  <si>
    <t>Balances with banks - In earmarked accounts - Unpaid matured deposits</t>
  </si>
  <si>
    <t>Balances with banks - In earmarked accounts - Unpaid matured debentures</t>
  </si>
  <si>
    <t xml:space="preserve">Balances with banks - In earmarked accounts - Share application money received for allotment of securities and due for refund </t>
  </si>
  <si>
    <t>Balances with banks - In earmarked accounts - Balances held as margin money or security against borrowings, guarantees and other commitments</t>
  </si>
  <si>
    <t>Balances with banks - In earmarked accounts - Other earmarked accounts</t>
  </si>
  <si>
    <t>UR001</t>
  </si>
  <si>
    <t>Security Deposits - Secured, considered good</t>
  </si>
  <si>
    <t>SD001</t>
  </si>
  <si>
    <t>Security Deposits- Unsecured, considered good</t>
  </si>
  <si>
    <t>SD002</t>
  </si>
  <si>
    <t>Security Deposits - Doubtful</t>
  </si>
  <si>
    <t>SD003</t>
  </si>
  <si>
    <t>Unamortised expenses - Ancillary borrowing costs</t>
  </si>
  <si>
    <t>UA001</t>
  </si>
  <si>
    <t>Unamortised expenses - Discount on shares (where applicable)</t>
  </si>
  <si>
    <t>UA002</t>
  </si>
  <si>
    <t>Accruals - Interest accrued on deposits</t>
  </si>
  <si>
    <t>ACC01</t>
  </si>
  <si>
    <t>Accruals - Interest accrued on investments</t>
  </si>
  <si>
    <t>ACC02</t>
  </si>
  <si>
    <t>Others - Insurance claims</t>
  </si>
  <si>
    <t>OT001</t>
  </si>
  <si>
    <t>Others - Receivables on sale of fixed assets</t>
  </si>
  <si>
    <t>OT002</t>
  </si>
  <si>
    <t>Others - Contractually reimbursable expenses</t>
  </si>
  <si>
    <t>OT003</t>
  </si>
  <si>
    <t xml:space="preserve">Others - Others </t>
  </si>
  <si>
    <t>OT004</t>
  </si>
  <si>
    <t>CB005</t>
  </si>
  <si>
    <t>CB006</t>
  </si>
  <si>
    <t>CB007</t>
  </si>
  <si>
    <t>CB008</t>
  </si>
  <si>
    <t xml:space="preserve">- Other earmarked accounts (specify) 
  </t>
  </si>
  <si>
    <t>CB009</t>
  </si>
  <si>
    <t>CB010</t>
  </si>
  <si>
    <t>CB011</t>
  </si>
  <si>
    <t>Amount originally 
paid up</t>
  </si>
  <si>
    <t>a</t>
  </si>
  <si>
    <t xml:space="preserve"> Investment in equity instruments (give details separately for fully / partly paid up instruments)</t>
  </si>
  <si>
    <t xml:space="preserve"> of subsidiaries</t>
  </si>
  <si>
    <t xml:space="preserve"> of associates</t>
  </si>
  <si>
    <t xml:space="preserve"> of joint ventures - jointly controlled entities</t>
  </si>
  <si>
    <t xml:space="preserve"> of controlled special purpose entities</t>
  </si>
  <si>
    <t xml:space="preserve"> of other entities (give details)</t>
  </si>
  <si>
    <t xml:space="preserve"> Investment in preference shares (give details separately for fully / partly paid up shares)</t>
  </si>
  <si>
    <t xml:space="preserve">  Investment in debentures or bonds (give details separately for fully / partly paid up debentures / bonds)</t>
  </si>
  <si>
    <t xml:space="preserve"> Other non-current investments (specify nature)</t>
  </si>
  <si>
    <t xml:space="preserve"> Investment property (specify nature), (net off accumulated depreciation and impairment, if any)</t>
  </si>
  <si>
    <t xml:space="preserve"> of other entities (give details) (Example: any other quoted shares)</t>
  </si>
  <si>
    <t xml:space="preserve"> of other entities (give details) (Example: any other unquoted shares)</t>
  </si>
  <si>
    <t xml:space="preserve">  Investment in preference shares (give details separately for fully / partly paid up shares)</t>
  </si>
  <si>
    <t xml:space="preserve">  Investment in government or trust securities </t>
  </si>
  <si>
    <t xml:space="preserve"> government securities</t>
  </si>
  <si>
    <t xml:space="preserve"> trust securities</t>
  </si>
  <si>
    <t xml:space="preserve">  Investment in mutual funds (give details)</t>
  </si>
  <si>
    <t xml:space="preserve"> Investment in partnership firms (Refer Note below)</t>
  </si>
  <si>
    <t xml:space="preserve"> Loans and advances to employees </t>
  </si>
  <si>
    <t xml:space="preserve"> Balances with government authorities </t>
  </si>
  <si>
    <t xml:space="preserve"> Inter-corporate deposits </t>
  </si>
  <si>
    <t xml:space="preserve"> Long term Trade Receivables (including trade receivables on deferred credit terms)*;</t>
  </si>
  <si>
    <t xml:space="preserve"> Security Deposits</t>
  </si>
  <si>
    <t xml:space="preserve"> Unamortised expenses</t>
  </si>
  <si>
    <t xml:space="preserve"> Ancillary borrowing costs</t>
  </si>
  <si>
    <t xml:space="preserve"> Discount on shares (where applicable)</t>
  </si>
  <si>
    <t xml:space="preserve"> Accruals </t>
  </si>
  <si>
    <t xml:space="preserve"> Interest accrued on deposits</t>
  </si>
  <si>
    <t xml:space="preserve"> Interest accrued on investments</t>
  </si>
  <si>
    <t xml:space="preserve"> Others </t>
  </si>
  <si>
    <t xml:space="preserve"> Insurance claims</t>
  </si>
  <si>
    <t xml:space="preserve"> Receivables on sale of fixed assets</t>
  </si>
  <si>
    <t xml:space="preserve"> Contractually reimbursable expenses</t>
  </si>
  <si>
    <t xml:space="preserve"> Undisputed Trade Receivables – considered good</t>
  </si>
  <si>
    <t xml:space="preserve"> Undisputed Trade Receivables – considered doubtful</t>
  </si>
  <si>
    <t xml:space="preserve"> Disputed Trade Receivables – considered good</t>
  </si>
  <si>
    <t xml:space="preserve"> Disputed Trade Receivables – considered doubtful</t>
  </si>
  <si>
    <t xml:space="preserve"> Raw materials</t>
  </si>
  <si>
    <t xml:space="preserve"> Work-in-progress</t>
  </si>
  <si>
    <t xml:space="preserve"> Finished goods (other than those acquired for trading)</t>
  </si>
  <si>
    <t xml:space="preserve"> Stock-in-trade (acquired for trading)</t>
  </si>
  <si>
    <t xml:space="preserve"> Stores and spares</t>
  </si>
  <si>
    <t xml:space="preserve"> Loose Tools</t>
  </si>
  <si>
    <t xml:space="preserve"> Trade receivables from related parties</t>
  </si>
  <si>
    <t xml:space="preserve"> Trade receivables from external parties</t>
  </si>
  <si>
    <t xml:space="preserve"> Balances with banks</t>
  </si>
  <si>
    <t xml:space="preserve"> In current accounts</t>
  </si>
  <si>
    <t xml:space="preserve"> In EEFC accounts</t>
  </si>
  <si>
    <t xml:space="preserve"> In deposit accounts</t>
  </si>
  <si>
    <t xml:space="preserve"> In earmarked accounts</t>
  </si>
  <si>
    <t xml:space="preserve"> 
  </t>
  </si>
  <si>
    <t xml:space="preserve">  Cheques, drafts on hand</t>
  </si>
  <si>
    <t xml:space="preserve">  Cash on hand</t>
  </si>
  <si>
    <t xml:space="preserve"> Unbilled revenue</t>
  </si>
  <si>
    <t xml:space="preserve"> Unamortised Expenses</t>
  </si>
  <si>
    <t xml:space="preserve">  Discount on shares (where applicable)</t>
  </si>
  <si>
    <t xml:space="preserve">  Interest accrued on investments</t>
  </si>
  <si>
    <t xml:space="preserve">  Receivables on sale of fixed assets</t>
  </si>
  <si>
    <t xml:space="preserve">  Contractually reimbursable expenses</t>
  </si>
  <si>
    <t>.Other investments</t>
  </si>
  <si>
    <t>ii</t>
  </si>
  <si>
    <t>iii</t>
  </si>
  <si>
    <t>iv</t>
  </si>
  <si>
    <t xml:space="preserve">Trade Investments </t>
  </si>
  <si>
    <t xml:space="preserve"> Loans and advances to related parties </t>
  </si>
  <si>
    <t>Total - Sale of Traded goods</t>
  </si>
  <si>
    <t>Freight and forwarding</t>
  </si>
  <si>
    <t>Provision for doubtful trade and receivables, loans and advances (net)</t>
  </si>
  <si>
    <t>AS 7</t>
  </si>
  <si>
    <t>AS 12</t>
  </si>
  <si>
    <t>AS 14</t>
  </si>
  <si>
    <t>AS 15</t>
  </si>
  <si>
    <t>AS 16</t>
  </si>
  <si>
    <t>AS 17</t>
  </si>
  <si>
    <t>AS 18</t>
  </si>
  <si>
    <t>AS 19</t>
  </si>
  <si>
    <t>AS 20</t>
  </si>
  <si>
    <t>AS 24</t>
  </si>
  <si>
    <t>AS 26</t>
  </si>
  <si>
    <t>AS 27</t>
  </si>
  <si>
    <t>Other NC assets</t>
  </si>
  <si>
    <t>Income received in advance (Unearned revenue) - LT</t>
  </si>
  <si>
    <t>Income received in advance (Unearned revenue) - ST</t>
  </si>
  <si>
    <t>OCL16</t>
  </si>
  <si>
    <t>Other payables - Salary &amp; Incentive Payable</t>
  </si>
  <si>
    <t>- Salary &amp; Incentive Payable</t>
  </si>
  <si>
    <t xml:space="preserve"> Capital advances</t>
  </si>
  <si>
    <t xml:space="preserve"> Prepaid expenses</t>
  </si>
  <si>
    <t xml:space="preserve"> Advance income tax</t>
  </si>
  <si>
    <t xml:space="preserve"> MAT credit entitlement</t>
  </si>
  <si>
    <t>Loans and advances to related parties -Secured -ST</t>
  </si>
  <si>
    <t>Loans and advances to related parties -Unsecured -ST</t>
  </si>
  <si>
    <t>Loans and advances to related parties -Doubtful -ST</t>
  </si>
  <si>
    <t>Loans and advances to related parties -Provision for doubtful advances -ST</t>
  </si>
  <si>
    <t>Loans and advances to related parties -Provision for doubtful advances LT</t>
  </si>
  <si>
    <t>LARPSST</t>
  </si>
  <si>
    <t>LARPUST</t>
  </si>
  <si>
    <t>LARPDST</t>
  </si>
  <si>
    <t>LARPPRST</t>
  </si>
  <si>
    <t>Dividend Income - Finance Company</t>
  </si>
  <si>
    <t>Interest accrued but not due on borrowings - LT</t>
  </si>
  <si>
    <t>Interest accrued but not due on borrowings - ST</t>
  </si>
  <si>
    <t>Provision for doubtful debts - Expenses</t>
  </si>
  <si>
    <t>Provision For Doubtful Debts - Trade Receivables</t>
  </si>
  <si>
    <t>OCL17</t>
  </si>
  <si>
    <t>- Lease Equalisation Reserve</t>
  </si>
  <si>
    <t>Other payables - Lease Equalisation Reserve</t>
  </si>
  <si>
    <t>CB012</t>
  </si>
  <si>
    <t>Note 9: Non-current investments</t>
  </si>
  <si>
    <t>Investments (At cost):</t>
  </si>
  <si>
    <t xml:space="preserve">A.Trade Investments </t>
  </si>
  <si>
    <t>(a) Investment in equity instruments (give details separately for fully / partly paid up instruments)</t>
  </si>
  <si>
    <t>(i) of subsidiaries</t>
  </si>
  <si>
    <t>(i) of associates</t>
  </si>
  <si>
    <t>(i) of joint ventures - jointly controlled entities</t>
  </si>
  <si>
    <t>(i) of controlled special purpose entities</t>
  </si>
  <si>
    <t>(i) of other entities (give details)</t>
  </si>
  <si>
    <t>B.Other investments</t>
  </si>
  <si>
    <t>(a) Investment property (specify nature), (net off accumulated depreciation and impairment, if any)</t>
  </si>
  <si>
    <t>(i) of other entities (give details) (Example: any other quoted shares)</t>
  </si>
  <si>
    <t>(i) of other entities (give details) (Example: any other unquoted shares)</t>
  </si>
  <si>
    <t>(i) government securities</t>
  </si>
  <si>
    <t>(i) trust securities</t>
  </si>
  <si>
    <t>(b) Investment in preference shares (give details separately for fully / partly paid up shares)</t>
  </si>
  <si>
    <t>(c)  Investment in debentures or bonds (give details separately for fully / partly paid up debentures / bonds)</t>
  </si>
  <si>
    <t>(d)Investment in partnership firms (Refer Note below)</t>
  </si>
  <si>
    <t>(e) Other non-current investments (specify nature)</t>
  </si>
  <si>
    <t>(b) Investment in equity instruments (give details separately for fully / partly paid up instruments)</t>
  </si>
  <si>
    <t>(b)  Investment in preference shares (give details separately for fully / partly paid up shares)</t>
  </si>
  <si>
    <t xml:space="preserve">(c)  Investment in government or trust securities </t>
  </si>
  <si>
    <t>(d) Investment in debentures or bonds (give details separately for fully / partly paid up debentures / bonds)</t>
  </si>
  <si>
    <t>(e)  Investment in mutual funds (give details)</t>
  </si>
  <si>
    <t>(f) Investment in partnership firms (Refer Note below)</t>
  </si>
  <si>
    <t>(g) Other non-current investments (specify nature)</t>
  </si>
  <si>
    <t>UDIN</t>
  </si>
  <si>
    <t>Anurag Birla</t>
  </si>
  <si>
    <t>Director</t>
  </si>
  <si>
    <t>3rd Signatory</t>
  </si>
  <si>
    <t>Add: Additions during the year</t>
  </si>
  <si>
    <t>Less: Utilised / transferred during the year</t>
  </si>
  <si>
    <t>- Transferred from surplus in Statement of Profit and Loss</t>
  </si>
  <si>
    <t>- Others</t>
  </si>
  <si>
    <t>Less: Utilised during the year</t>
  </si>
  <si>
    <t>- Issuing bonus shares</t>
  </si>
  <si>
    <t>- Writing off preliminary expenses (Net of deferred tax) @</t>
  </si>
  <si>
    <t>- Writing off shares / debentures issue expenses (Net of deferred tax) @</t>
  </si>
  <si>
    <t>- Premium on redemption of redeemable preference shares / debentures (Net of deferred tax)</t>
  </si>
  <si>
    <t>- Buy back of shares</t>
  </si>
  <si>
    <t>- Others (give details)</t>
  </si>
  <si>
    <t>Add: Additions during the year :</t>
  </si>
  <si>
    <t>- Transferred to General reserve on options lapsed</t>
  </si>
  <si>
    <t>- Transferred to Securities premium account on exercise</t>
  </si>
  <si>
    <t>-  Transferred from Share options outstanding account</t>
  </si>
  <si>
    <t>Add / (Less): Transferred to Statement of Profit and Loss on disposal of the net investment in non-integral foreign operations</t>
  </si>
  <si>
    <t>- Profit / (Loss) for the year</t>
  </si>
  <si>
    <t>- General reserve</t>
  </si>
  <si>
    <t xml:space="preserve">- Other reserves (give details) </t>
  </si>
  <si>
    <t>- Dividends proposed to be distributed to equity shareholders (`___ per share)</t>
  </si>
  <si>
    <t>- Dividends proposed to be distributed to preference shareholders (`___ per share)</t>
  </si>
  <si>
    <t xml:space="preserve">- Tax on dividend </t>
  </si>
  <si>
    <t>- Capital redemption reserve</t>
  </si>
  <si>
    <t>- Debenture redemption reserve</t>
  </si>
  <si>
    <t>- Amounts transferred from:</t>
  </si>
  <si>
    <t>- Secured</t>
  </si>
  <si>
    <t>- Unsecured</t>
  </si>
  <si>
    <t>- From banks</t>
  </si>
  <si>
    <t>- From other parties</t>
  </si>
  <si>
    <t>ST</t>
  </si>
  <si>
    <t>Expenditure in foreign currency :</t>
  </si>
  <si>
    <t>Value of imports calculated on CIF basis :</t>
  </si>
  <si>
    <t>Amounts remitted in foreign currency during the year on account of dividend</t>
  </si>
  <si>
    <t>Details of consumption of imported and indigenous items</t>
  </si>
  <si>
    <t>Earnings in foreign exchange :</t>
  </si>
  <si>
    <t>(i) Contingent liabilities</t>
  </si>
  <si>
    <t>(ii) Commitments #</t>
  </si>
  <si>
    <t>Details of contract revenue and costs (AS 7)</t>
  </si>
  <si>
    <t>Details of government grants (AS 12)</t>
  </si>
  <si>
    <t>Details of amalgamations (AS 14)</t>
  </si>
  <si>
    <t>Details of borrowing costs capitalised (AS 16)</t>
  </si>
  <si>
    <t>A. The Company has entered into operating lease arrangements for certain surplus facilities. The lease is non-cancellable for a period of ____ years from ____ and may be renewed for a further period of ___ years based on mutual agreement of the parties.</t>
  </si>
  <si>
    <t xml:space="preserve">B. The Company has entered into finance lease arrangements for certain equipment and vehicles. </t>
  </si>
  <si>
    <t xml:space="preserve">C. The Company has entered into finance lease arrangements for certain equipment and vehicles, which provide the Company an option to purchase the assets at the end of the lease period. </t>
  </si>
  <si>
    <t>Details of leasing arrangements (AS 19)</t>
  </si>
  <si>
    <t>Accumulated depreciation on the leased assets</t>
  </si>
  <si>
    <t>Accumulated impairment losses on the leased assets</t>
  </si>
  <si>
    <t>Details of research and development expenditure recognised as an expense (AS 26)</t>
  </si>
  <si>
    <t xml:space="preserve">Actual Values in Notes </t>
  </si>
  <si>
    <t xml:space="preserve">Round Up Values </t>
  </si>
  <si>
    <t>Decimal Change</t>
  </si>
  <si>
    <t>Casting Amount Change</t>
  </si>
  <si>
    <t>OE28</t>
  </si>
  <si>
    <t>Cash-in-Hand</t>
  </si>
  <si>
    <t>Presentation Entry</t>
  </si>
  <si>
    <t>Gross block</t>
  </si>
  <si>
    <t>Accumulated depreciation and impairment</t>
  </si>
  <si>
    <t>Net block</t>
  </si>
  <si>
    <t>Property, Plant and Equipment</t>
  </si>
  <si>
    <t>Disposals</t>
  </si>
  <si>
    <t>Acquisitions through business  combinations*</t>
  </si>
  <si>
    <t>Reclassified as held for sale *</t>
  </si>
  <si>
    <t>Revaluation increase *</t>
  </si>
  <si>
    <t>Effect of foreign currency exchange differences *</t>
  </si>
  <si>
    <t>Borrowing cost capitalised *</t>
  </si>
  <si>
    <t>Other adjustments *</t>
  </si>
  <si>
    <t xml:space="preserve">Depreciation / amortisation expense for the year </t>
  </si>
  <si>
    <t>Eliminated on disposal of assets</t>
  </si>
  <si>
    <t>Acquisitions through business  combinations *</t>
  </si>
  <si>
    <t>Eliminated on reclassification as held for sale *</t>
  </si>
  <si>
    <t>Impairment losses recognised / (Reversed) in Statement of Profit and Loss *</t>
  </si>
  <si>
    <r>
      <t xml:space="preserve">Other adjustments </t>
    </r>
    <r>
      <rPr>
        <b/>
        <sz val="11"/>
        <color rgb="FFFF0000"/>
        <rFont val="Book Antiqua"/>
        <family val="1"/>
      </rPr>
      <t>/ Transition adjustment recorded against Surplus balance in Statement of Profit and Loss *</t>
    </r>
  </si>
  <si>
    <t xml:space="preserve">(a) Land </t>
  </si>
  <si>
    <t>(Previous year)</t>
  </si>
  <si>
    <t xml:space="preserve">(b) Buildings </t>
  </si>
  <si>
    <t>(e) Vehicles</t>
  </si>
  <si>
    <t>(g) Leasehold improvements</t>
  </si>
  <si>
    <t>(d) Capital Work-in-progress</t>
  </si>
  <si>
    <r>
      <rPr>
        <sz val="11"/>
        <rFont val="Book Antiqua"/>
        <family val="1"/>
      </rPr>
      <t>(</t>
    </r>
    <r>
      <rPr>
        <b/>
        <sz val="11"/>
        <rFont val="Book Antiqua"/>
        <family val="1"/>
      </rPr>
      <t>Previous year)</t>
    </r>
  </si>
  <si>
    <t>B.</t>
  </si>
  <si>
    <t>Accumulated amortisation and impairment</t>
  </si>
  <si>
    <t>Internally  generated</t>
  </si>
  <si>
    <t>(a) Computer software</t>
  </si>
  <si>
    <t>(b) Mastheads and publishing titles</t>
  </si>
  <si>
    <t>(c) Mining rights</t>
  </si>
  <si>
    <t>(d) Copyrights, patents and other intellectual property rights, services and operating rights</t>
  </si>
  <si>
    <t>(e) Recipes, formulae, models, designs and prototypes</t>
  </si>
  <si>
    <t>(f) Licenses and franchise</t>
  </si>
  <si>
    <t>Total - Internally generated</t>
  </si>
  <si>
    <t>(a) Goodwill</t>
  </si>
  <si>
    <t>(b) Brands / trademarks</t>
  </si>
  <si>
    <t>(d) Mastheads and publishing titles</t>
  </si>
  <si>
    <t>(e) Mining rights</t>
  </si>
  <si>
    <t>(f) Copyrights, patents and other intellectual property rights, services and operating rights</t>
  </si>
  <si>
    <t>(g) Recipes, formulae, models, designs and prototypes</t>
  </si>
  <si>
    <t>(h) Licenses and franchise</t>
  </si>
  <si>
    <t>(b) Others (Customer Relation )</t>
  </si>
  <si>
    <t>(c) Others (Workplace)</t>
  </si>
  <si>
    <t>Total - Others</t>
  </si>
  <si>
    <t>Total - Intangible assets</t>
  </si>
  <si>
    <t>Amount in Rs '00</t>
  </si>
  <si>
    <t xml:space="preserve">Cash comprises cash on hand and demand deposits with banks. Cash equivalents are short-term balances (with an original maturity of three months or less from the date of acquisition), highly liquid investments that are readily convertible into known amounts of cash and which are subject to insignificant risk of changes in value. </t>
  </si>
  <si>
    <r>
      <t xml:space="preserve">? </t>
    </r>
    <r>
      <rPr>
        <sz val="11"/>
        <color rgb="FFFF0000"/>
        <rFont val="Book Antiqua"/>
        <family val="1"/>
      </rPr>
      <t>Disclose the circumstances in which revenue recognition has been postponed pending the resolution of significant uncertainties.</t>
    </r>
  </si>
  <si>
    <r>
      <t xml:space="preserve">Fixed assets, except __ and ___ are carried at cost less accumulated depreciation / amortisation and impairment losses, if any. The cost of fixed assets comprises its purchase price net of any trade discounts and rebates, any import duties and other taxes (other than those subsequently recoverable from the tax authorities), any directly attributable expenditure on making the asset ready for its intended use, other incidental expenses and interest on borrowings attributable to acquisition of qualifying fixed assets up to the date the asset is ready for its intended use. The Company has adopted the provisions of para 46 / 46A of AS 11 </t>
    </r>
    <r>
      <rPr>
        <i/>
        <sz val="11"/>
        <rFont val="Book Antiqua"/>
        <family val="1"/>
      </rPr>
      <t>The Effects of Changes in Foreign Exchange Rates</t>
    </r>
    <r>
      <rPr>
        <sz val="11"/>
        <rFont val="Book Antiqua"/>
        <family val="1"/>
      </rPr>
      <t xml:space="preserve">, accordingly, exchange differences arising on restatement / settlement of long-term foreign currency borrowings relating to acquisition of depreciable  fixed assets are adjusted to the cost of the respective assets and depreciated over the remaining useful life of such assets. Machinery spares which can be used only in connection with an item of fixed asset and whose use is expected to be irregular are capitalised and depreciated over the useful life of the principal item of the relevant assets. Subsequent expenditure on fixed assets after its purchase / completion is capitalised only if such expenditure results in an increase in the future benefits from such asset beyond its previously assessed standard of performance.
Fixed assets acquired and put to use for project purpose are capitalised and depreciation thereon is included in the project cost till the project is ready for its intended use.  </t>
    </r>
  </si>
  <si>
    <r>
      <t xml:space="preserve">The Company revalued all its ___ and ___ that existed on 1 April, 200X. The revalued assets are carried at the revalued amounts less accumulated depreciation </t>
    </r>
    <r>
      <rPr>
        <sz val="11"/>
        <color rgb="FFFF0000"/>
        <rFont val="Book Antiqua"/>
        <family val="1"/>
      </rPr>
      <t xml:space="preserve">until March 31, 2014 </t>
    </r>
    <r>
      <rPr>
        <sz val="11"/>
        <rFont val="Book Antiqua"/>
        <family val="1"/>
      </rPr>
      <t>and impairment losses, if any. Increase in the net book value on such revaluation is credited to "Revaluation reserve account" except to the extent such increase is related to and not greater than a decrease arising from a revaluation / impairment that was previously recognised in the Statement of Profit and Loss, in which case such amount is credited to the Statement of Profit and Loss. Decrease in book value on revaluation is charged to the Statement of Profit and Loss except where such decrease relates to a previously recognised increase that was credited to the Revaluation reserve, in which case the decrease is charged to the Revaluation reserve to the extent the reserve has not been subsequently reversed / utilised.</t>
    </r>
  </si>
  <si>
    <r>
      <t xml:space="preserve">Consequent to the General Circular 25 / 2012 dated 9 August, 2012 of the MCA, para 4(e) of AS 16 </t>
    </r>
    <r>
      <rPr>
        <i/>
        <sz val="11"/>
        <rFont val="Book Antiqua"/>
        <family val="1"/>
      </rPr>
      <t xml:space="preserve">Borrowing Costs </t>
    </r>
    <r>
      <rPr>
        <sz val="11"/>
        <rFont val="Book Antiqua"/>
        <family val="1"/>
      </rPr>
      <t xml:space="preserve">and para 6 of AS 11 </t>
    </r>
    <r>
      <rPr>
        <i/>
        <sz val="11"/>
        <rFont val="Book Antiqua"/>
        <family val="1"/>
      </rPr>
      <t xml:space="preserve">The Effects of Changes in Foreign Exchange Rates </t>
    </r>
    <r>
      <rPr>
        <sz val="11"/>
        <rFont val="Book Antiqua"/>
        <family val="1"/>
      </rPr>
      <t xml:space="preserve">shall not apply to a Company which is applying para 46A of AS 11. Accordingly, for purposes of accounting as per para 46A of AS 11 all exchange differences arising out of long-term monetary assets and liabilities should be considered and there is no need to apply the provisions of para 4(e) of AS 16 on such exchange differences. </t>
    </r>
  </si>
  <si>
    <r>
      <t xml:space="preserve">Where Provident Fund Schemes are managed by the Company, the guidance issued by the Accounting Standards Board (ASB) envisages that such entity managed schemes could be Defined Benefit Plans (DBP), since the interest shortfall is to be met by the employer. Post issuance of the Guidance Note on Valuation of Interest Guarantees on Exempt Provident Funds by the Institute of Actuaries, it is also possible to actuarially determine such liability. However, the Company could determine whether it actually operates the Scheme as a defined contribution plan or a defined benefit plan, thereby triggering relevant disclosures required by AS 15 </t>
    </r>
    <r>
      <rPr>
        <i/>
        <sz val="11"/>
        <rFont val="Book Antiqua"/>
        <family val="1"/>
      </rPr>
      <t>Employee Benefits</t>
    </r>
    <r>
      <rPr>
        <sz val="11"/>
        <rFont val="Book Antiqua"/>
        <family val="1"/>
      </rPr>
      <t xml:space="preserve">. The treatment will be driven </t>
    </r>
    <r>
      <rPr>
        <i/>
        <sz val="11"/>
        <rFont val="Book Antiqua"/>
        <family val="1"/>
      </rPr>
      <t>inter alia</t>
    </r>
    <r>
      <rPr>
        <sz val="11"/>
        <rFont val="Book Antiqua"/>
        <family val="1"/>
      </rPr>
      <t xml:space="preserve"> by the intention of the Management, the contractual agreement with the employees and substance over form. </t>
    </r>
  </si>
  <si>
    <r>
      <t xml:space="preserve">The Company uses foreign currency forward contracts to hedge its risks associated with foreign currency fluctuations relating to highly probable forecast transactions. The Company designates such forward contracts in a cash flow hedging relationship by applying the hedge accounting principles set out in "Accounting Standard 30 </t>
    </r>
    <r>
      <rPr>
        <i/>
        <sz val="11"/>
        <rFont val="Book Antiqua"/>
        <family val="1"/>
      </rPr>
      <t xml:space="preserve">Financial Instruments: Recognition and Measurement" </t>
    </r>
    <r>
      <rPr>
        <sz val="11"/>
        <rFont val="Book Antiqua"/>
        <family val="1"/>
      </rPr>
      <t>issued by the ICAI</t>
    </r>
    <r>
      <rPr>
        <i/>
        <sz val="11"/>
        <rFont val="Book Antiqua"/>
        <family val="1"/>
      </rPr>
      <t>.</t>
    </r>
    <r>
      <rPr>
        <sz val="11"/>
        <rFont val="Book Antiqua"/>
        <family val="1"/>
      </rPr>
      <t xml:space="preserve"> These forward contracts are stated at fair value at each reporting date. Changes in the fair value of these forward contracts that are designated and effective as hedges of future cash flows are recognised directly in "Hedging reserve account" under Reserves and surplus, net of applicable deferred income taxes and the ineffective portion is recognised immediately in the Statement of Profit and Loss. Amounts accumulated in the "Hedging reserve account" are reclassified to the Statement of Profit and Loss in the same periods during which the forecasted transaction affects profit or loss. Hedge accounting is discontinued when the hedging instrument expires or is sold, terminated, or exercised, or no longer qualifies for hedge accounting. For forecasted transactions, any cumulative gain or loss on the hedging instrument recognised in "Hedging reserve account" is retained until the forecasted transaction occurs. If the forecasted transaction is no longer expected to occur, the net cumulative gain or loss recognised in "Hedging reserve account" is immediately transferred to the Statement of Profit and Loss.</t>
    </r>
  </si>
  <si>
    <r>
      <t xml:space="preserve">Share issue expenses are adjusted against the Securities Premium Account as permissible under Section </t>
    </r>
    <r>
      <rPr>
        <sz val="11"/>
        <color rgb="FFFF0000"/>
        <rFont val="Book Antiqua"/>
        <family val="1"/>
      </rPr>
      <t>52</t>
    </r>
    <r>
      <rPr>
        <sz val="11"/>
        <rFont val="Book Antiqua"/>
        <family val="1"/>
      </rPr>
      <t xml:space="preserve"> of the Companies Act, </t>
    </r>
    <r>
      <rPr>
        <sz val="11"/>
        <color rgb="FFFF0000"/>
        <rFont val="Book Antiqua"/>
        <family val="1"/>
      </rPr>
      <t>2013</t>
    </r>
    <r>
      <rPr>
        <sz val="11"/>
        <rFont val="Book Antiqua"/>
        <family val="1"/>
      </rPr>
      <t xml:space="preserve">, to the extent </t>
    </r>
    <r>
      <rPr>
        <sz val="11"/>
        <color rgb="FFFF0000"/>
        <rFont val="Book Antiqua"/>
        <family val="1"/>
      </rPr>
      <t>any</t>
    </r>
    <r>
      <rPr>
        <sz val="11"/>
        <rFont val="Book Antiqua"/>
        <family val="1"/>
      </rPr>
      <t xml:space="preserve"> balance is available for utilisation in the Securities Premium Account. Share issue expenses </t>
    </r>
    <r>
      <rPr>
        <sz val="11"/>
        <color rgb="FFFF0000"/>
        <rFont val="Book Antiqua"/>
        <family val="1"/>
      </rPr>
      <t>in excess of the balance in the Securities Premium Account</t>
    </r>
    <r>
      <rPr>
        <sz val="11"/>
        <rFont val="Book Antiqua"/>
        <family val="1"/>
      </rPr>
      <t xml:space="preserve"> is </t>
    </r>
    <r>
      <rPr>
        <sz val="11"/>
        <color rgb="FFFF0000"/>
        <rFont val="Book Antiqua"/>
        <family val="1"/>
      </rPr>
      <t>expensed in the Statement of Profit and Loss.</t>
    </r>
    <r>
      <rPr>
        <sz val="11"/>
        <rFont val="Book Antiqua"/>
        <family val="1"/>
      </rPr>
      <t xml:space="preserve"> </t>
    </r>
    <r>
      <rPr>
        <strike/>
        <sz val="10"/>
        <color rgb="FFFF0000"/>
        <rFont val="Arial"/>
        <family val="2"/>
      </rPr>
      <t/>
    </r>
  </si>
  <si>
    <t>Other significant non-cash expenses (allocable) (give details)</t>
  </si>
  <si>
    <t>.</t>
  </si>
  <si>
    <t>Tangible Intangible Assets</t>
  </si>
  <si>
    <t>Non current investments</t>
  </si>
  <si>
    <t>Other current investments (At lower of cost and fair value, unless otherwise stated):</t>
  </si>
  <si>
    <t>Investment in preference shares (give details separately for fully / partly paid up shares)</t>
  </si>
  <si>
    <t>Investment in debentures or bonds (give details separately for fully / partly paid up 
debentures / bonds)</t>
  </si>
  <si>
    <t>Investment in mutual funds (give details)</t>
  </si>
  <si>
    <t>Investment in partnership firms (Refer Note (i) below)</t>
  </si>
  <si>
    <t>Other investments (specify nature)</t>
  </si>
  <si>
    <t>Total - Current investments</t>
  </si>
  <si>
    <t>of subsidiaries</t>
  </si>
  <si>
    <t>of associates</t>
  </si>
  <si>
    <t>of joint ventures - jointly controlled entities</t>
  </si>
  <si>
    <t>of controlled special purpose entities</t>
  </si>
  <si>
    <t>of other entities (give details) (Example: any other quoted shares)</t>
  </si>
  <si>
    <t>of other entities (give details) (Example: any other unquoted shares)</t>
  </si>
  <si>
    <t>of other entities (give details)</t>
  </si>
  <si>
    <t>Investment in government or trust securities</t>
  </si>
  <si>
    <t>government securities</t>
  </si>
  <si>
    <t>trust securities</t>
  </si>
  <si>
    <t>IES</t>
  </si>
  <si>
    <t>IPS</t>
  </si>
  <si>
    <t>IGGS</t>
  </si>
  <si>
    <t>IGTS</t>
  </si>
  <si>
    <t>IDS</t>
  </si>
  <si>
    <t>IMF</t>
  </si>
  <si>
    <t>IPF</t>
  </si>
  <si>
    <t>IO</t>
  </si>
  <si>
    <t>Name of the firm</t>
  </si>
  <si>
    <t>Names of partners in the firm</t>
  </si>
  <si>
    <t>Total 
capital</t>
  </si>
  <si>
    <t>Share of each partner in the profits of the firm</t>
  </si>
  <si>
    <t xml:space="preserve">Total capital </t>
  </si>
  <si>
    <r>
      <rPr>
        <b/>
        <sz val="11"/>
        <rFont val="Book Antiqua"/>
        <family val="1"/>
      </rPr>
      <t>Notes:</t>
    </r>
    <r>
      <rPr>
        <sz val="11"/>
        <rFont val="Book Antiqua"/>
        <family val="1"/>
      </rPr>
      <t xml:space="preserve"> Other details relating to investment in partnership firms</t>
    </r>
  </si>
  <si>
    <t>Amount outstanding</t>
  </si>
  <si>
    <t xml:space="preserve">Deferred tax (liabilities) / assets </t>
  </si>
  <si>
    <t>Current Investments</t>
  </si>
  <si>
    <t>Investment in government or trust securities-government securities</t>
  </si>
  <si>
    <t>Investment in government or trust securities-trust securities</t>
  </si>
  <si>
    <t>Reconciliation of the number of shares and amount outstanding at the beginning and at the end of the reporting period:</t>
  </si>
  <si>
    <t>Rights, preferences and restrictions attached to shares</t>
  </si>
  <si>
    <t>Details of shares held by each shareholder holding more than 5% shares:</t>
  </si>
  <si>
    <t>Details of Shares Held by Promotors at the end of the year</t>
  </si>
  <si>
    <t>(a)______ shares (As at 31 March, 20X1 ____ shares) of ` ___ each towards outstanding employee stock options granted / available for grant. (Refer Note 31)</t>
  </si>
  <si>
    <t>(b)______ shares (As at 31 March, 20X1 ____ shares) of ` ____ each towards outstanding share warrants.  (Refer Note 29.1)</t>
  </si>
  <si>
    <t>Aggregate number and class of shares allotted as fully paid up pursuant to contract(s) without payment being received in cash, bonus shares and shares bought back for the period of 5 years immediately preceding the balance sheet date:</t>
  </si>
  <si>
    <t xml:space="preserve">Details of calls unpaid </t>
  </si>
  <si>
    <t>Details of forfeited shares</t>
  </si>
  <si>
    <t>Capital reserve</t>
  </si>
  <si>
    <t>Surplus / (Deficit) in Statement of Profit and Loss</t>
  </si>
  <si>
    <t>Cost of Material consumed -  Product wise</t>
  </si>
  <si>
    <t>Details of bonds / debentures issued by the Company:</t>
  </si>
  <si>
    <t>Details of terms of repayment for the other long-term borrowings and security provided in respect of the secured other long-term borrowings:</t>
  </si>
  <si>
    <t xml:space="preserve">Details of borrowings guaranteed by some of the directors or others: </t>
  </si>
  <si>
    <t>The Company has defaulted in repayment of loans and interest in respect of the following:</t>
  </si>
  <si>
    <t>AS 22</t>
  </si>
  <si>
    <t>ESOP Disclosure</t>
  </si>
  <si>
    <t>Qualitative Disclosures For AS Disclosure</t>
  </si>
  <si>
    <t>AS 15 Disclosures:</t>
  </si>
  <si>
    <t>AS 17 Disclosures</t>
  </si>
  <si>
    <t>AS 17 Segment Reporting Disclosures:</t>
  </si>
  <si>
    <t>AS 27 Disclosures :</t>
  </si>
  <si>
    <t>AS 29 Disclosures</t>
  </si>
  <si>
    <t>AS 29 Disclosures:</t>
  </si>
  <si>
    <t>Details of ESOP:</t>
  </si>
  <si>
    <t>Additional Regulatory Disclosures</t>
  </si>
  <si>
    <t>Master Data</t>
  </si>
  <si>
    <t>TB Link</t>
  </si>
  <si>
    <t>TB Grouping</t>
  </si>
  <si>
    <t>Master TB</t>
  </si>
  <si>
    <t>Additional &amp; Presentation Entry</t>
  </si>
  <si>
    <t>Qualitative Disclosures</t>
  </si>
  <si>
    <t>Profit and Loss</t>
  </si>
  <si>
    <t>Cash Flow</t>
  </si>
  <si>
    <t>Accounting Policies</t>
  </si>
  <si>
    <t>Notes To P&amp;L</t>
  </si>
  <si>
    <t>FAR</t>
  </si>
  <si>
    <t>Disclosures under AS</t>
  </si>
  <si>
    <t>Qualitative Disclosures for AS</t>
  </si>
  <si>
    <t>AS 15 Disclosures</t>
  </si>
  <si>
    <t>AS 18 Disclosures</t>
  </si>
  <si>
    <t>AS 22 Disclosures</t>
  </si>
  <si>
    <t>AS 27 Disclosures</t>
  </si>
  <si>
    <t>Details of ESOP</t>
  </si>
  <si>
    <t>Add. Regulatory Disc.</t>
  </si>
  <si>
    <t>Grouping Master Data</t>
  </si>
  <si>
    <t>Backup Data</t>
  </si>
  <si>
    <t>Help</t>
  </si>
  <si>
    <t>4o</t>
  </si>
  <si>
    <t>Construction Contracts</t>
  </si>
  <si>
    <t>Accounting for Government Grants</t>
  </si>
  <si>
    <t>Accounting for Amalgamations</t>
  </si>
  <si>
    <t>Employee Benefits</t>
  </si>
  <si>
    <t>Borrowing Costs</t>
  </si>
  <si>
    <t>Segment Reporting</t>
  </si>
  <si>
    <t>Related Party Disclosures</t>
  </si>
  <si>
    <t>Earnings Per Share</t>
  </si>
  <si>
    <t>Accounting for Taxes on Income</t>
  </si>
  <si>
    <t>Discontinuing Operations</t>
  </si>
  <si>
    <t>Intangible Assets</t>
  </si>
  <si>
    <t>Financial Reporting of Interests in Joint Ventures</t>
  </si>
  <si>
    <t>Provisions, Contingent Liabilities and Contingent Assets</t>
  </si>
  <si>
    <t>Meaning</t>
  </si>
  <si>
    <t>Employee Stock Option Plan</t>
  </si>
  <si>
    <t>Note Number</t>
  </si>
  <si>
    <t>Additional Regulatory Disclosure Checklist</t>
  </si>
  <si>
    <t>Previous year's figures</t>
  </si>
  <si>
    <t>AS Disclosures</t>
  </si>
  <si>
    <t>Additional Info to the Financial Statements</t>
  </si>
  <si>
    <t>Revaluation of Property, Plant and Equipment</t>
  </si>
  <si>
    <t>AS 18 Disclosures:</t>
  </si>
  <si>
    <t>Additional information to the financial statements</t>
  </si>
  <si>
    <t xml:space="preserve">  </t>
  </si>
  <si>
    <t>Total Debt</t>
  </si>
  <si>
    <t>Shareholder’s Equity</t>
  </si>
  <si>
    <t>Earnings available for debt service</t>
  </si>
  <si>
    <t>Debt Service</t>
  </si>
  <si>
    <t>Average Shareholder’s Equity</t>
  </si>
  <si>
    <t>Cost of goods sold</t>
  </si>
  <si>
    <t>Average Inventory</t>
  </si>
  <si>
    <t>Average Trade Receivables</t>
  </si>
  <si>
    <t>Purchases (Other Expenses)</t>
  </si>
  <si>
    <t>Average Trade Payables</t>
  </si>
  <si>
    <t>Working Capital</t>
  </si>
  <si>
    <t>Earnings before interest and tax</t>
  </si>
  <si>
    <t>Average Capital Employed</t>
  </si>
  <si>
    <t>Return</t>
  </si>
  <si>
    <t>Average Investment</t>
  </si>
  <si>
    <t>Points to be manually updated</t>
  </si>
  <si>
    <t xml:space="preserve">Qualitative Disclosures for </t>
  </si>
  <si>
    <t>-Equity</t>
  </si>
  <si>
    <t>-Investments</t>
  </si>
  <si>
    <t>-AS Disclosures</t>
  </si>
  <si>
    <t>--Additional Info to the FS</t>
  </si>
  <si>
    <t>-Additional Regulatory Disclosures</t>
  </si>
  <si>
    <t>Areas Where Grouping is not to be given in TB</t>
  </si>
  <si>
    <t>Profit and Loss for CY</t>
  </si>
  <si>
    <t>Depreciation and Amortization</t>
  </si>
  <si>
    <t>Deferred Tax</t>
  </si>
  <si>
    <t>Tax Expense</t>
  </si>
  <si>
    <t xml:space="preserve">Current tax expense </t>
  </si>
  <si>
    <t>(Less): MAT credit (where applicable)</t>
  </si>
  <si>
    <t>Short / (Excess) provision for tax relating to prior years</t>
  </si>
  <si>
    <t xml:space="preserve">Net current tax expense </t>
  </si>
  <si>
    <t>Deferred tax</t>
  </si>
  <si>
    <t>(i) Undisputed Trade Receivables – considered good</t>
  </si>
  <si>
    <t>(ii) Undisputed Trade Receivables – considered doubtful</t>
  </si>
  <si>
    <t>(iii) Disputed Trade Receivables – considered good</t>
  </si>
  <si>
    <t>(iv) Disputed Trade Receivables – considered doubtful</t>
  </si>
  <si>
    <t>Capital Account</t>
  </si>
  <si>
    <t>Equity Shares</t>
  </si>
  <si>
    <t>Preference Shares</t>
  </si>
  <si>
    <t xml:space="preserve">  Others</t>
  </si>
  <si>
    <t>Break-up of Interest Income</t>
  </si>
  <si>
    <t>Break-up of Other non-operating income</t>
  </si>
  <si>
    <t>Outstanding from following periods from due date of payment</t>
  </si>
  <si>
    <t>Investment details for Current as well as Non Current Investments</t>
  </si>
  <si>
    <t xml:space="preserve"> Others</t>
  </si>
  <si>
    <t>(g) Others</t>
  </si>
  <si>
    <t>Other payables - Others</t>
  </si>
  <si>
    <t>(d) Others</t>
  </si>
  <si>
    <t>- Balances held as margin money or security against borrowings, guarantees and other commitments</t>
  </si>
  <si>
    <t>Foreign currency translation</t>
  </si>
  <si>
    <t>Footnotes</t>
  </si>
  <si>
    <t>Addl Info to the FS</t>
  </si>
  <si>
    <t>Manual</t>
  </si>
  <si>
    <t>Automatic</t>
  </si>
  <si>
    <t>Visible</t>
  </si>
  <si>
    <t>Not Visible</t>
  </si>
  <si>
    <t>Welcome</t>
  </si>
  <si>
    <t>Sheet Name</t>
  </si>
  <si>
    <t>Protection and Changeability</t>
  </si>
  <si>
    <t>I have prepared a FS utility. In that there are the following sheets. In column A there is the sheet name. In column B there is the changeability and protection and in column C there is Visibility. 
Now I want that whenever someone opens the file only the welcome sheet is visible. There is a start button on that sheet. Once the user clicks it all the sheets that have "Visible" should get unhidden. Now the remaining sheets should remain hidden. All the sheets that have Protection and Changeability as Manual should remain open to change to the user where the user can change the data. But the sheets that have Automatic should be protected completely only with the authorization to format the cells, columns and rows. The password to open the sheets would be Boters1. This can be done done by first protecting all the sheets and then unprotecting the sheets that have "Manual" In column B. This sheet that is "SheetWithVisibilityInfo" will always remain hidden</t>
  </si>
  <si>
    <t>It is necessary to note that the users have been given the right to hide/ unhide the rows wherever required</t>
  </si>
  <si>
    <t xml:space="preserve">Note : Details of inventory of work-in-progress </t>
  </si>
  <si>
    <t>Column1</t>
  </si>
  <si>
    <t>LTL Others</t>
  </si>
  <si>
    <t>IV Others</t>
  </si>
  <si>
    <t>OE29</t>
  </si>
  <si>
    <t>OE30</t>
  </si>
  <si>
    <t>OE31</t>
  </si>
  <si>
    <t>OE32</t>
  </si>
  <si>
    <t>OE33</t>
  </si>
  <si>
    <t>OE34</t>
  </si>
  <si>
    <t>OE35</t>
  </si>
  <si>
    <t>OE36</t>
  </si>
  <si>
    <t>OE37</t>
  </si>
  <si>
    <t>OE38</t>
  </si>
  <si>
    <t>OE39</t>
  </si>
  <si>
    <t>OE40</t>
  </si>
  <si>
    <t>dosbv</t>
  </si>
  <si>
    <t>Add Other Expenses (if required) in Qualitative Disclosure)</t>
  </si>
  <si>
    <t xml:space="preserve"> Other loans and advances </t>
  </si>
  <si>
    <t>Prepaid expenses - Unsecured, considered good-LT</t>
  </si>
  <si>
    <t>Advance income tax-LT</t>
  </si>
  <si>
    <t>MAT credit entitlement-LT</t>
  </si>
  <si>
    <t>Balances with government authorities-LT</t>
  </si>
  <si>
    <t>Other loans and advances-Provision for doubtful advances-LT</t>
  </si>
  <si>
    <t>Inter-corporate deposits Provision for doubtful advances-LT</t>
  </si>
  <si>
    <t>Loans and advances to employees -Provision for doubtful advances-LT</t>
  </si>
  <si>
    <t>Loans and advances to employees -Secured -ST</t>
  </si>
  <si>
    <t>Loans and advances to employees -Unsecured -ST</t>
  </si>
  <si>
    <t>Loans and advances to employees -Doubtful -ST</t>
  </si>
  <si>
    <t>Loans and advances to employees -Provision for doubtful advances-ST</t>
  </si>
  <si>
    <t>Prepaid expenses - Unsecured, considered good-ST</t>
  </si>
  <si>
    <t>Advance income tax-ST</t>
  </si>
  <si>
    <t>MAT credit entitlement-ST</t>
  </si>
  <si>
    <t>Balances with government authorities-ST</t>
  </si>
  <si>
    <t>Inter-corporate deposits -Secured -ST</t>
  </si>
  <si>
    <t>Inter-corporate deposits -Unsecured -ST</t>
  </si>
  <si>
    <t>Inter-corporate deposits -Doubtful -ST</t>
  </si>
  <si>
    <t>Inter-corporate deposits Provision for doubtful advances-ST</t>
  </si>
  <si>
    <t>Other loans and advances-Secured -ST</t>
  </si>
  <si>
    <t>Other loans and advances-Unsecured -ST</t>
  </si>
  <si>
    <t>Other loans and advances-Doubtful -ST</t>
  </si>
  <si>
    <t>Other loans and advances-Provision for doubtful advances-ST</t>
  </si>
  <si>
    <t>LAEESST</t>
  </si>
  <si>
    <t>LAEEUST</t>
  </si>
  <si>
    <t>LAEEDST</t>
  </si>
  <si>
    <t>LAEEPRST</t>
  </si>
  <si>
    <t>PREXPST</t>
  </si>
  <si>
    <t>ADVITST</t>
  </si>
  <si>
    <t>MATST</t>
  </si>
  <si>
    <t>BALGVTST</t>
  </si>
  <si>
    <t>ICDSST</t>
  </si>
  <si>
    <t>ICDUST</t>
  </si>
  <si>
    <t>ICDDST</t>
  </si>
  <si>
    <t>ICDPRST</t>
  </si>
  <si>
    <t>OLASST</t>
  </si>
  <si>
    <t>OLAUST</t>
  </si>
  <si>
    <t>OLADST</t>
  </si>
  <si>
    <t>OLAPRST</t>
  </si>
  <si>
    <t>Version -32</t>
  </si>
  <si>
    <t>Inder Vir Rajesher Lal Chopra</t>
  </si>
  <si>
    <t>Duties &amp; Taxes</t>
  </si>
  <si>
    <t>GST 2021-22</t>
  </si>
  <si>
    <t>18% IGST EXEMPTED, AMOUNT = INR 1,422.00</t>
  </si>
  <si>
    <t>18% IGST EXEMPTED, AMOUNT = INR 13,365.00</t>
  </si>
  <si>
    <t>18% IGST EXEMPTED, AMOUNT = INR 1458.00</t>
  </si>
  <si>
    <t>18% IGST EXEMPTED, AMOUNT = INR 15,373.80</t>
  </si>
  <si>
    <t>18% IGST EXEMPTED, AMOUNT = INR 2,133.00</t>
  </si>
  <si>
    <t>18% IGST EXEMPTED, AMOUNT = INR 2,844.00</t>
  </si>
  <si>
    <t>18% IGST EXEMPTED, AMOUNT = INR 22,347</t>
  </si>
  <si>
    <t>18% IGST EXEMPTED, AMOUNT = INR 3555.00</t>
  </si>
  <si>
    <t>18% IGST EXEMPTED, AMOUNT = INR 4,266.00</t>
  </si>
  <si>
    <t>18% IGST EXEMPTED, AMOUNT = INR 4,977.00</t>
  </si>
  <si>
    <t>18% IGST EXEMPTED, AMOUNT = INR 51,710.31</t>
  </si>
  <si>
    <t>GST 2022-23</t>
  </si>
  <si>
    <t>18% IGST EXEMPTED, AMOUNT = INR 54,166.00</t>
  </si>
  <si>
    <t>18% IGST EXEMPTED, AMOUNT = INR 57,135.18</t>
  </si>
  <si>
    <t>18% IGST EXEMPTED, AMOUNT = INR 711.00</t>
  </si>
  <si>
    <t>5Wheels Travels</t>
  </si>
  <si>
    <t>A P PEETHAMBARAN</t>
  </si>
  <si>
    <t>Accruals</t>
  </si>
  <si>
    <t>AARUSH JOSEPH SONY</t>
  </si>
  <si>
    <t>Indirect Expenses</t>
  </si>
  <si>
    <t>Bonus</t>
  </si>
  <si>
    <t>AARUSH JOSEPH SONY - BONUS</t>
  </si>
  <si>
    <t>Employee Salary</t>
  </si>
  <si>
    <t>AARUSH JOSEPH SONY - SALARY</t>
  </si>
  <si>
    <t>Employee Sodexo</t>
  </si>
  <si>
    <t>AARUSH JOSEPH SONY - Sodexo</t>
  </si>
  <si>
    <t>ABHILASH MARRI</t>
  </si>
  <si>
    <t>ABHILASH MARRI - Bonus</t>
  </si>
  <si>
    <t>ABHILASH MARRI - SALARY</t>
  </si>
  <si>
    <t>ABHILASH MARRI - Sodexo</t>
  </si>
  <si>
    <t>ABHISHEK PURBAI</t>
  </si>
  <si>
    <t>ABHISHEK PURBAI - BONUS</t>
  </si>
  <si>
    <t>ABHISHEK PURBAI - SALARY</t>
  </si>
  <si>
    <t>Sundry Debtors</t>
  </si>
  <si>
    <t>AIT worldwide logistics - Haryana</t>
  </si>
  <si>
    <t>AIT worldwide logistics - Maharashtra</t>
  </si>
  <si>
    <t>AKASH KUMAR</t>
  </si>
  <si>
    <t>AKASH KUMAR - BONUS</t>
  </si>
  <si>
    <t>AKASH KUMAR - SALARY</t>
  </si>
  <si>
    <t>AKSHHAYA LAKSHMI S</t>
  </si>
  <si>
    <t>AKSHHAYA LAKSHMI S - BONUS</t>
  </si>
  <si>
    <t>AKSHHAYA LAKSHMI S - SALARY</t>
  </si>
  <si>
    <t>AKULA DEEPAK</t>
  </si>
  <si>
    <t>AKULA DEEPAK - Bonus</t>
  </si>
  <si>
    <t>AKULA DEEPAK - Salary</t>
  </si>
  <si>
    <t>ALLAN CHRISTOPHER JOSEPH</t>
  </si>
  <si>
    <t>ALLAN CHRISTOPHER JOSEPH - Bonus</t>
  </si>
  <si>
    <t>ALLAN CHRISTOPHER JOSEPH - Salary</t>
  </si>
  <si>
    <t>ALLAN CHRISTOPHER JOSEPH - Sodexo</t>
  </si>
  <si>
    <t>ALOGIC Electronics India Pvt Ltd</t>
  </si>
  <si>
    <t>ANJALI ROY</t>
  </si>
  <si>
    <t>ANJALI ROY - SALARY</t>
  </si>
  <si>
    <t>ANJALI ROY-BONUS</t>
  </si>
  <si>
    <t>ANWESH YARLAGADDA</t>
  </si>
  <si>
    <t>ANWESH YARLAGADDA - BONUS</t>
  </si>
  <si>
    <t>ANWESH YARLAGADDA - SALARY</t>
  </si>
  <si>
    <t>ANWESH YARLAGADDA - Sodexo</t>
  </si>
  <si>
    <t>APEKSHA MUKHRIYA</t>
  </si>
  <si>
    <t>APEKSHA MUKHRIYA - Bonus</t>
  </si>
  <si>
    <t>APEKSHA MUKHRIYA - Salary</t>
  </si>
  <si>
    <t>APEX ENTERPRISES</t>
  </si>
  <si>
    <t>APTEL OFFICE CARE PVT LTD</t>
  </si>
  <si>
    <t>ASHOK KUMAR &amp; Co.</t>
  </si>
  <si>
    <t>AYYAGARI SURYA KIRAN</t>
  </si>
  <si>
    <t>Aarthi Narayanan</t>
  </si>
  <si>
    <t>NPS Payable</t>
  </si>
  <si>
    <t>Aarthi Narayanan - NPS Payable</t>
  </si>
  <si>
    <t>Aarthi Narayanan - Salary</t>
  </si>
  <si>
    <t>Aarthi Narayanan - Sodexo</t>
  </si>
  <si>
    <t>Aarti Narayanan - Bonus</t>
  </si>
  <si>
    <t xml:space="preserve">Accrual - Transfer Pricing Services_x000D_
</t>
  </si>
  <si>
    <t>Accrual for HGS</t>
  </si>
  <si>
    <t xml:space="preserve">Accrued Interest(Kotak FD)_x000D_
</t>
  </si>
  <si>
    <t>Loans &amp; Advances (Asset)</t>
  </si>
  <si>
    <t>Advance to Chebrolu Harikumar</t>
  </si>
  <si>
    <t>Advance to Murali</t>
  </si>
  <si>
    <t>Affinity Technology Solutions</t>
  </si>
  <si>
    <t>AiN Technologies</t>
  </si>
  <si>
    <t>Amount to Be Recovered From HDFC Life</t>
  </si>
  <si>
    <t>Antraweb Technology Pvt.Ltd.</t>
  </si>
  <si>
    <t>Anum Techno Solutions Pvt.Ltd.</t>
  </si>
  <si>
    <t>Fixed Assets</t>
  </si>
  <si>
    <t>Computer</t>
  </si>
  <si>
    <t xml:space="preserve">Apple 16" MacBook Pro_x000D_
</t>
  </si>
  <si>
    <t xml:space="preserve">Office Equipments_x000D_
</t>
  </si>
  <si>
    <t xml:space="preserve">Apple USB-C Multiport Adapter_x000D_
</t>
  </si>
  <si>
    <t>Aquaguard Select Classic+ Water Purifier</t>
  </si>
  <si>
    <t>Audio Technik</t>
  </si>
  <si>
    <t>Auditor's Remuneration</t>
  </si>
  <si>
    <t>Axis My India Limited</t>
  </si>
  <si>
    <t>B R SHASHI REKHA</t>
  </si>
  <si>
    <t>B R SHASHI REKHA - Bonus</t>
  </si>
  <si>
    <t>B R SHASHI REKHA - Salary</t>
  </si>
  <si>
    <t>B R SHASHI REKHA - Sodexo</t>
  </si>
  <si>
    <t>B SANTOSH KUMAR</t>
  </si>
  <si>
    <t>B SANTOSH KUMAR - Bonus</t>
  </si>
  <si>
    <t>B SANTOSH KUMAR - Salary</t>
  </si>
  <si>
    <t>B SANTOSH KUMAR - Sodexo</t>
  </si>
  <si>
    <t>BADRINATH ROY</t>
  </si>
  <si>
    <t>BADRINATH ROY - Bonus</t>
  </si>
  <si>
    <t>BADRINATH ROY - Salary</t>
  </si>
  <si>
    <t>BALACHANDRA NARASAIAH</t>
  </si>
  <si>
    <t>BALACHANDRA NARASAIAH - BONUS</t>
  </si>
  <si>
    <t>BALACHANDRA NARASAIAH - SALARY</t>
  </si>
  <si>
    <t>BELDEN INDIA - Haryana</t>
  </si>
  <si>
    <t>BELDEN INDIA PRIVATE LIMITED</t>
  </si>
  <si>
    <t>BELLAMKONDA SREE HARSHITHA</t>
  </si>
  <si>
    <t>BELLAMKONDA SREE HARSHITHA - BONUS</t>
  </si>
  <si>
    <t>BELLAMKONDA SREE HARSHITHA - SALARY</t>
  </si>
  <si>
    <t>BHEEMREDDY BAKANATI</t>
  </si>
  <si>
    <t>BHEEMREDDY BAKANATI - Bonus</t>
  </si>
  <si>
    <t>BHEEMREDDY BAKANATI - Salary</t>
  </si>
  <si>
    <t>BHEEMREDDY BAKANATI - Sodexo</t>
  </si>
  <si>
    <t>BHUSHAN SUHAS AYACHIT</t>
  </si>
  <si>
    <t>BHUSHAN SUHAS AYACHIT - BONUS</t>
  </si>
  <si>
    <t>BHUSHAN SUHAS AYACHIT - SALARY</t>
  </si>
  <si>
    <t>BHUVAN MANGROLE</t>
  </si>
  <si>
    <t>BHUVAN MANGROLE - Bonus</t>
  </si>
  <si>
    <t>BHUVAN MANGROLE - SALARY</t>
  </si>
  <si>
    <t>BHUVAN MANGROLE - Sodexo</t>
  </si>
  <si>
    <t>Balaji Enterprises</t>
  </si>
  <si>
    <t>Balance Write-Off</t>
  </si>
  <si>
    <t>Indirect Incomes</t>
  </si>
  <si>
    <t>Balance Written Back</t>
  </si>
  <si>
    <t>Baldor Technologies Private Limited</t>
  </si>
  <si>
    <t>Bank Charges</t>
  </si>
  <si>
    <t>Beetel Teletech Limited</t>
  </si>
  <si>
    <t>Beetel Teletech Limited - Karnataka</t>
  </si>
  <si>
    <t>Beetel Teletech Limited. - Maharashtra</t>
  </si>
  <si>
    <t>Beetel Teletech Ltd - Delhi</t>
  </si>
  <si>
    <t>Foreign Debtors</t>
  </si>
  <si>
    <t>Belden, Inc.</t>
  </si>
  <si>
    <t>Bluecom Infotech Pvt Ltd</t>
  </si>
  <si>
    <t>Bosch Global Software Technologies Private Limited</t>
  </si>
  <si>
    <t>Business Support Services</t>
  </si>
  <si>
    <t>CARE Risk Solutions Private Limited</t>
  </si>
  <si>
    <t xml:space="preserve">GST 18-19_x000D_
</t>
  </si>
  <si>
    <t xml:space="preserve">CGST - 18% F.Y. 18-19_x000D_
</t>
  </si>
  <si>
    <t>CGST 14% - F. Y. 2021-22</t>
  </si>
  <si>
    <t>CGST 2.5% - F. Y. 2022-23</t>
  </si>
  <si>
    <t>GST 2023-24</t>
  </si>
  <si>
    <t>CGST 2.5% - F. Y. 2023-24</t>
  </si>
  <si>
    <t>CGST 6% - F. Y. 2021-22</t>
  </si>
  <si>
    <t>CGST 6% - F. Y. 2022-23</t>
  </si>
  <si>
    <t>CGST 9% - F. Y. 2021-22</t>
  </si>
  <si>
    <t>CGST 9% - F. Y. 2022-23</t>
  </si>
  <si>
    <t>CGST 9% - F. Y. 2023-24</t>
  </si>
  <si>
    <t>CHAITHANYA KANDANURI</t>
  </si>
  <si>
    <t>CHAITHANYA KANDANURI - BONUS</t>
  </si>
  <si>
    <t>CHAITHANYA KANDANURI - SALARY</t>
  </si>
  <si>
    <t>CIPLA LIMITED</t>
  </si>
  <si>
    <t>CIPLA LTD HEAD OFFICE</t>
  </si>
  <si>
    <t>Calypso Technology India Private Limited</t>
  </si>
  <si>
    <t>Service Tax</t>
  </si>
  <si>
    <t>Cenvat KKC</t>
  </si>
  <si>
    <t>Cenvat Service Tax</t>
  </si>
  <si>
    <t>Chebrolu Harikrishna</t>
  </si>
  <si>
    <t>Checkred India Private Limited</t>
  </si>
  <si>
    <t>Chennai - Vat 5%</t>
  </si>
  <si>
    <t>Cisco Commerce India Private Limited</t>
  </si>
  <si>
    <t>Cleaning</t>
  </si>
  <si>
    <t>Commission - Country Manager</t>
  </si>
  <si>
    <t>Commission - Cross Sales</t>
  </si>
  <si>
    <t xml:space="preserve">Commission Local Accrual_x000D_
</t>
  </si>
  <si>
    <t>Commission Local Sales</t>
  </si>
  <si>
    <t>Comprompt Solutions LLP</t>
  </si>
  <si>
    <t>Computer Expenses</t>
  </si>
  <si>
    <t xml:space="preserve">Softwares_x000D_
</t>
  </si>
  <si>
    <t xml:space="preserve">Computer Software_x000D_
</t>
  </si>
  <si>
    <t>Foreign Creditors</t>
  </si>
  <si>
    <t>Concat AG</t>
  </si>
  <si>
    <t xml:space="preserve">Cross Sale Commission Accrual_x000D_
</t>
  </si>
  <si>
    <t>Concat AG (Cross Sale Commission)</t>
  </si>
  <si>
    <t>Concerto Software and Systems Private Limited</t>
  </si>
  <si>
    <t>Connectivity IT Solutions Private Ltd.</t>
  </si>
  <si>
    <t>Country Manager Commission Accrual</t>
  </si>
  <si>
    <t>Courier &amp; Delivery Charges</t>
  </si>
  <si>
    <t>Covestro (India) Private Limited</t>
  </si>
  <si>
    <t>Covestro (India) Private Limited - Gujarat</t>
  </si>
  <si>
    <t xml:space="preserve">Cross Sales - UK_x000D_
</t>
  </si>
  <si>
    <t>Cubix Tech Integration Pvt. Ltd.</t>
  </si>
  <si>
    <t>DAPPADA MURALI KRISHNA</t>
  </si>
  <si>
    <t>DAPPADA MURALI KRISHNA - BONUS</t>
  </si>
  <si>
    <t>DAPPADA MURALI KRISHNA - SALARY</t>
  </si>
  <si>
    <t>DAPPADA MURALI KRISHNA - Sodexo</t>
  </si>
  <si>
    <t>DAREKAR TRANSPORT COMPANY</t>
  </si>
  <si>
    <t>DC Infotech And Communication Limited</t>
  </si>
  <si>
    <t>DEAN EDWARD STANSFORD MONTEIRO</t>
  </si>
  <si>
    <t>DEAN EDWARD STANSFORD MONTEIRO - Bonus</t>
  </si>
  <si>
    <t>DEAN EDWARD STANSFORD MONTEIRO - Salary</t>
  </si>
  <si>
    <t>DEAN EDWARD STANSFORD MONTEIRO - Sodexo</t>
  </si>
  <si>
    <t>DEFMACRO SOFTWARE PRIVATE LIMITED</t>
  </si>
  <si>
    <t xml:space="preserve">DELL USB-C Mobile Adapter_x000D_
</t>
  </si>
  <si>
    <t>DHEERAJ KUMAR PANWAR</t>
  </si>
  <si>
    <t>DHEERAJ KUMAR PANWAR - BONUS</t>
  </si>
  <si>
    <t>DHEERAJ KUMAR PANWAR - SALARY</t>
  </si>
  <si>
    <t>DIVYA PANDRA</t>
  </si>
  <si>
    <t>DIVYA PANDRA - BONUS</t>
  </si>
  <si>
    <t>DIVYA PANDRA - SALARY</t>
  </si>
  <si>
    <t>DIVYA PANDRA - Sodexo</t>
  </si>
  <si>
    <t>DODDAPANENI SRIKANTH</t>
  </si>
  <si>
    <t>DODDAPANENI SRIKANTH - BONUS</t>
  </si>
  <si>
    <t>DODDAPANENI SRIKANTH - SALARY</t>
  </si>
  <si>
    <t>DODDAPANENI SRIKANTH - Sodexo</t>
  </si>
  <si>
    <t>DSPS TECH PLATFORM PRIVATE LIMITED</t>
  </si>
  <si>
    <t>Dart Technologies Limited</t>
  </si>
  <si>
    <t xml:space="preserve">Deferred Tax Asset(B/S)_x000D_
</t>
  </si>
  <si>
    <t>Deferred Tax Expenses</t>
  </si>
  <si>
    <t>Dell International Services - Karnataka</t>
  </si>
  <si>
    <t>Dell International Services India Pvt Ltd</t>
  </si>
  <si>
    <t xml:space="preserve">LAPTOP_x000D_
</t>
  </si>
  <si>
    <t>Dell Latitude 3420 - Hemangi</t>
  </si>
  <si>
    <t xml:space="preserve">Dell USB-C Mobile Adapter - 2_x000D_
</t>
  </si>
  <si>
    <t xml:space="preserve">Dell XPS 13 Laptop_x000D_
</t>
  </si>
  <si>
    <t>Deposits (Asset)</t>
  </si>
  <si>
    <t>Deposit for Hyderabad Office</t>
  </si>
  <si>
    <t xml:space="preserve">Deposit for Sigma Office_x000D_
</t>
  </si>
  <si>
    <t>Depreciation</t>
  </si>
  <si>
    <t>Digital4com</t>
  </si>
  <si>
    <t>Discount</t>
  </si>
  <si>
    <t>Disney Broadcasting (India) Private Limited</t>
  </si>
  <si>
    <t>Divya Deekshitha Boddeti</t>
  </si>
  <si>
    <t>Divya Deekshitha Boddeti - Bonus</t>
  </si>
  <si>
    <t>Divya Deekshitha Boddeti - Salary</t>
  </si>
  <si>
    <t>Dotgram Consultants (Usha Jain)</t>
  </si>
  <si>
    <t>Druva Data Solutions Private Limited</t>
  </si>
  <si>
    <t>Excess Payment Received (EPR)</t>
  </si>
  <si>
    <t>EPR - Electropneumatics &amp; Hydraulics</t>
  </si>
  <si>
    <t>EPR - Mastercard Mobile Transactions Solutions</t>
  </si>
  <si>
    <t>EPR - Msci Serivces Pvt Ltd</t>
  </si>
  <si>
    <t>EPR - Sez Unit UBS Business Solutions</t>
  </si>
  <si>
    <t>EUREKA FORBES LIMITED</t>
  </si>
  <si>
    <t>Electropneumatics &amp; Hydraulics (India) Private Limited</t>
  </si>
  <si>
    <t>Element14 India Private Limited</t>
  </si>
  <si>
    <t>Branch / Divisions</t>
  </si>
  <si>
    <t>MITI Mumbai</t>
  </si>
  <si>
    <t>Employee - Bonus</t>
  </si>
  <si>
    <t>Employee - Expenses</t>
  </si>
  <si>
    <t>Employee - Salary</t>
  </si>
  <si>
    <t>Employee - Sodexo</t>
  </si>
  <si>
    <t>Employee Insurance</t>
  </si>
  <si>
    <t>Endemol India Pvt. Ltd.</t>
  </si>
  <si>
    <t>Enem Nostrum Remedies Private Limited</t>
  </si>
  <si>
    <t>Entertainment</t>
  </si>
  <si>
    <t>Equity Share Capital</t>
  </si>
  <si>
    <t>Euroflex Transmissions India Pvt Ltd (RegalRexnord)</t>
  </si>
  <si>
    <t>Excess Income Tax Refund</t>
  </si>
  <si>
    <t>Excess Payment Recd - MTPL</t>
  </si>
  <si>
    <t>Exclusive Networks Sales India Private Limited</t>
  </si>
  <si>
    <t>Expense Payable</t>
  </si>
  <si>
    <t>Expenses Payable</t>
  </si>
  <si>
    <t>Sales Accounts</t>
  </si>
  <si>
    <t>Export Sales But Shipped in India</t>
  </si>
  <si>
    <t>SALES - GOODS</t>
  </si>
  <si>
    <t>Export Sales But Shipped in India - Goods</t>
  </si>
  <si>
    <t>SALES - SERVICES</t>
  </si>
  <si>
    <t>Export Sales But Shipped in India - Services</t>
  </si>
  <si>
    <t>Export Sales But Shipped in Maharashtra - Goods</t>
  </si>
  <si>
    <t>Export Sales But Shipped in Maharashtra - Services</t>
  </si>
  <si>
    <t>Export Sales Commission - Services</t>
  </si>
  <si>
    <t>Export Sales Under LUT</t>
  </si>
  <si>
    <t>Export Sales Under LUT - Goods</t>
  </si>
  <si>
    <t>Export Sales Under LUT - Services</t>
  </si>
  <si>
    <t>FA Written Off</t>
  </si>
  <si>
    <t>FARO Business Technologies (I) Pvt. Ltd</t>
  </si>
  <si>
    <t>FD - Kotak Bank</t>
  </si>
  <si>
    <t>FIRDOUS KHAN</t>
  </si>
  <si>
    <t>FIRDOUS KHAN - BONUS</t>
  </si>
  <si>
    <t>FIRDOUS KHAN - SALARY</t>
  </si>
  <si>
    <t>FIRST GLOBAL STOCK BROKING PRIVATE LIMITED</t>
  </si>
  <si>
    <t>Fastrack Security &amp; Facility Services</t>
  </si>
  <si>
    <t>Fencer Services Pvt.  Ltd. - 411004</t>
  </si>
  <si>
    <t>Fencer Services Pvt. Ltd.</t>
  </si>
  <si>
    <t>FinOrion Pharma India Private Limited</t>
  </si>
  <si>
    <t xml:space="preserve">Firewall_x000D_
</t>
  </si>
  <si>
    <t>Foreign Exchange Loss/Gain</t>
  </si>
  <si>
    <t>Direct Expenses</t>
  </si>
  <si>
    <t>Freight on Interstate Purchase</t>
  </si>
  <si>
    <t>Freight on Purchase</t>
  </si>
  <si>
    <t>GAC Shipping (India) Private Limited</t>
  </si>
  <si>
    <t>GANGADHAR KARANAM</t>
  </si>
  <si>
    <t>GANGADHAR KARANAM - Bonus</t>
  </si>
  <si>
    <t>GANGADHAR KARANAM - Salary</t>
  </si>
  <si>
    <t>GANGADHAR KARANAM - Sodexo</t>
  </si>
  <si>
    <t>GIA India Laboratory Private Limited</t>
  </si>
  <si>
    <t>GIFT BASKET INDIA</t>
  </si>
  <si>
    <t>GLOBAL EXPRESS</t>
  </si>
  <si>
    <t>GSK India Global Services Private Limited</t>
  </si>
  <si>
    <t>GST 22-23</t>
  </si>
  <si>
    <t>GST 23-24</t>
  </si>
  <si>
    <t>GST Late Fees &amp; Interest</t>
  </si>
  <si>
    <t xml:space="preserve">GST Payable 18-19_x000D_
</t>
  </si>
  <si>
    <t xml:space="preserve">GST 19-20_x000D_
</t>
  </si>
  <si>
    <t xml:space="preserve">GST Payable 19-20_x000D_
</t>
  </si>
  <si>
    <t xml:space="preserve">GST 2020-21_x000D_
</t>
  </si>
  <si>
    <t xml:space="preserve">GST Payable F. Y. 2020-21_x000D_
</t>
  </si>
  <si>
    <t xml:space="preserve">GST Refund for STPI Sales_x000D_
</t>
  </si>
  <si>
    <t>GST Refund to Be Claimed</t>
  </si>
  <si>
    <t>GST on Advance Received</t>
  </si>
  <si>
    <t>GST on Advance Received F.Y. 22-23</t>
  </si>
  <si>
    <t>GST on RCM -  2021-22</t>
  </si>
  <si>
    <t>GST on RCM -  2022-23</t>
  </si>
  <si>
    <t>GST on RCM -  2023-24</t>
  </si>
  <si>
    <t>GST</t>
  </si>
  <si>
    <t>GST to Be Transferred to PNL - 23-24</t>
  </si>
  <si>
    <t>GUNDE SWATHI</t>
  </si>
  <si>
    <t>GUNDE SWATHI - BONUS</t>
  </si>
  <si>
    <t>GUNDE SWATHI - SALARY</t>
  </si>
  <si>
    <t>GUNJI PAVAN</t>
  </si>
  <si>
    <t>GUNJI PAVAN - Bonus</t>
  </si>
  <si>
    <t>GUNJI PAVAN - Salary</t>
  </si>
  <si>
    <t>Galderma India Private Limited</t>
  </si>
  <si>
    <t>Gift to Customer</t>
  </si>
  <si>
    <t>GlaxoSmithKline Pharmaceuticals Limited</t>
  </si>
  <si>
    <t>Gratuity Expenses</t>
  </si>
  <si>
    <t>Gratuity Income Accrual</t>
  </si>
  <si>
    <t>Gratuity Premium Expenses</t>
  </si>
  <si>
    <t>Gratuity Recharge Income to MITUS</t>
  </si>
  <si>
    <t>Gst Payable - F. Y. 2021-22</t>
  </si>
  <si>
    <t>Gst Payable - F. Y. 2022-23</t>
  </si>
  <si>
    <t>Gst Payable - F. Y. 2023-24</t>
  </si>
  <si>
    <t>Gst Recovered for Non-Payment of Gst</t>
  </si>
  <si>
    <t>HDFC Agro General Insurance Company Limited</t>
  </si>
  <si>
    <t>HDFC Insurance</t>
  </si>
  <si>
    <t>HEMANGI PANCHAL</t>
  </si>
  <si>
    <t>HEMANGI PANCHAL - Bonus</t>
  </si>
  <si>
    <t>HEMANGI PANCHAL - Salary</t>
  </si>
  <si>
    <t>HINDUJA GLOBAL SOLUTIONS LIMITED</t>
  </si>
  <si>
    <t xml:space="preserve">HONEY PAVAN MALLIKARJUNA_x000D_
</t>
  </si>
  <si>
    <t>HONEY PAVAN MALLIKARJUNA - BONUS</t>
  </si>
  <si>
    <t>HONEY PAVAN MALLIKARJUNA - SALARY</t>
  </si>
  <si>
    <t>HONEY PAVAN MALLIKARJUNA - Sodexo</t>
  </si>
  <si>
    <t xml:space="preserve">HP 240G7 ALC Laptop_x000D_
</t>
  </si>
  <si>
    <t>HT Technologies Pvt Ltd</t>
  </si>
  <si>
    <t xml:space="preserve">Hard Drive - Calisto_x000D_
</t>
  </si>
  <si>
    <t>Hardcastle Restaurants Private Limited</t>
  </si>
  <si>
    <t>Hotel Expenses</t>
  </si>
  <si>
    <t>Hyderabad Office Internet</t>
  </si>
  <si>
    <t>Hyderabad Office Rent</t>
  </si>
  <si>
    <t>ICICI LOMBARD GENERAL INSURANCE</t>
  </si>
  <si>
    <t xml:space="preserve">IGST - 18% F.Y. 2018-19_x000D_
</t>
  </si>
  <si>
    <t>IGST 18% - F. Y. 2020-21</t>
  </si>
  <si>
    <t>IGST 18% - F. Y. 2021-22</t>
  </si>
  <si>
    <t>IGST 18% - F. Y. 2022-23</t>
  </si>
  <si>
    <t>IGST 18% - F. Y. 2023-24</t>
  </si>
  <si>
    <t>IGST 28% - F. Y. 2021-22</t>
  </si>
  <si>
    <t>IGST Recievables on Sez</t>
  </si>
  <si>
    <t>IInterest &amp; Penalty - GST</t>
  </si>
  <si>
    <t>IMG Advisory Private Limited</t>
  </si>
  <si>
    <t>INFOMAC IT SOLUTIONS PVT LTD.</t>
  </si>
  <si>
    <t>INGRAM MICRO INDIA PRIVATE LIMITED</t>
  </si>
  <si>
    <t>INGRAM MICRO INDIA PRIVATE LIMITED - Haryana</t>
  </si>
  <si>
    <t>ION COMPUTERS</t>
  </si>
  <si>
    <t xml:space="preserve">ITC Not in Auto-Populated GSTR-2B_x000D_
</t>
  </si>
  <si>
    <t>ITC Not in Auto-Populated GSTR-2B-2A - 2021-22</t>
  </si>
  <si>
    <t>ITC Not in Auto-Populated GSTR-2B-2A - 2022-23</t>
  </si>
  <si>
    <t>ITC Not in Auto-Populated GSTR-2B-2A - 2023-24</t>
  </si>
  <si>
    <t>ITCG Solutions Private Limited</t>
  </si>
  <si>
    <t>ITCG Solutions Pvt. Ltd.</t>
  </si>
  <si>
    <t>ITCG Technologies LLP</t>
  </si>
  <si>
    <t>Income Tax F. Y. 2021-22</t>
  </si>
  <si>
    <t>Income Tax F. Y. 2022-23</t>
  </si>
  <si>
    <t>Income Tax F. Y. 2023-24</t>
  </si>
  <si>
    <t>Income Tax Prov Exps (Earlier Years)</t>
  </si>
  <si>
    <t xml:space="preserve">Income Tax Provision F.Y. 2020-21_x000D_
</t>
  </si>
  <si>
    <t>Indorama Ventures Oxides Ankleshwar Private Limited</t>
  </si>
  <si>
    <t>Inflow Technologies Pvt Ltd</t>
  </si>
  <si>
    <t>Inflow Technologies Pvt. Ltd. - Karnataka</t>
  </si>
  <si>
    <t>Inflow Technologies Pvt. Ltd. - Tamil Nadu</t>
  </si>
  <si>
    <t>Info Edge ( India ) Ltd</t>
  </si>
  <si>
    <t>Infobahn Technical Solutions (I) Pvt Ltd</t>
  </si>
  <si>
    <t>Insurance Charges</t>
  </si>
  <si>
    <t>Interbiz Solutions LLP</t>
  </si>
  <si>
    <t>Interest on FD</t>
  </si>
  <si>
    <t>Interest on Gratuity</t>
  </si>
  <si>
    <t>Interest on Income Tax Refund</t>
  </si>
  <si>
    <t>Interest on IT Refund - F.Y. 20-21</t>
  </si>
  <si>
    <t>Interest on Income Tax Refund - F. Y. 2021-22</t>
  </si>
  <si>
    <t>Internet</t>
  </si>
  <si>
    <t>Inuxu Digital Media Technologies Private Limited</t>
  </si>
  <si>
    <t>Direct Incomes</t>
  </si>
  <si>
    <t>Invccome Ledger</t>
  </si>
  <si>
    <t xml:space="preserve">Inverter_x000D_
</t>
  </si>
  <si>
    <t>JAINISH JAIN ADVOCATE</t>
  </si>
  <si>
    <t>JASMEET SINGH</t>
  </si>
  <si>
    <t>JASMEET SINGH - Bonus</t>
  </si>
  <si>
    <t>JASMEET SINGH - Salary</t>
  </si>
  <si>
    <t>JASMEET SINGH - Sodexo</t>
  </si>
  <si>
    <t>JELLYBEAN LAPTOP SPARES PVT. LTD</t>
  </si>
  <si>
    <t>JUSTDISPOSE RECYCLING PVT. LTD.</t>
  </si>
  <si>
    <t>Jabra Connect India Pvt Ltd</t>
  </si>
  <si>
    <t xml:space="preserve">Employee Notice period Buyout Expenses_x000D_
</t>
  </si>
  <si>
    <t>Jasmeet Singh - N. P. Buyout Expenses</t>
  </si>
  <si>
    <t>Jebel Telecom LLP</t>
  </si>
  <si>
    <t>Jump Trading Financial India Private Limited</t>
  </si>
  <si>
    <t>KAPULOORU SIVAKUMAR</t>
  </si>
  <si>
    <t>KAPULOORU SIVAKUMAR - BONUS</t>
  </si>
  <si>
    <t>KAPULOORU SIVAKUMAR - SALARY</t>
  </si>
  <si>
    <t>KAPULOORU SIVAKUMAR - Sodexo</t>
  </si>
  <si>
    <t>KARAMPUDI MAHITHA</t>
  </si>
  <si>
    <t>KARAMPUDI MAHITHA - BONUS</t>
  </si>
  <si>
    <t>KARAMPUDI MAHITHA - SALARY</t>
  </si>
  <si>
    <t>KBR Engineering &amp; Constr India Pvt .Ltd.</t>
  </si>
  <si>
    <t>KELLOGG BROWN &amp; ROOT - Haryana</t>
  </si>
  <si>
    <t>KELLOGG BROWN &amp; ROOT - Pune</t>
  </si>
  <si>
    <t>KELLOGG BROWN &amp; ROOT ENGINEERING &amp; CONSTRUCTION INDIA PRIVATE LIMITED</t>
  </si>
  <si>
    <t>KELLOGG BROWN &amp; ROOT ENGINEERING &amp; CONSTRUCTION INDIA PVT LTD.</t>
  </si>
  <si>
    <t>KIRAN KUMAR KONA</t>
  </si>
  <si>
    <t>KIRAN KUMAR KONA - BONUS</t>
  </si>
  <si>
    <t>National Pension Scheme (Employer)</t>
  </si>
  <si>
    <t>KIRAN KUMAR KONA - NPS</t>
  </si>
  <si>
    <t>KIRAN KUMAR KONA - NPS Payable</t>
  </si>
  <si>
    <t>KIRAN KUMAR KONA - SALARY</t>
  </si>
  <si>
    <t>KIRAN KUMAR KONA - Sodexo</t>
  </si>
  <si>
    <t>KIRAN KUMAR TATAVARTHI</t>
  </si>
  <si>
    <t>KIRAN KUMAR TATAVARTHI - Salary</t>
  </si>
  <si>
    <t>KKC &amp; Associates LLP</t>
  </si>
  <si>
    <t xml:space="preserve">KRISHNAN SUBRAMANIAM_x000D_
</t>
  </si>
  <si>
    <t>KRISHNAN SUBRAMANIAM - Bonus</t>
  </si>
  <si>
    <t>KRISHNAN SUBRAMANIAM - SALARY</t>
  </si>
  <si>
    <t>Key Network Private Limited</t>
  </si>
  <si>
    <t>Khazanah India Advisors Private Limited</t>
  </si>
  <si>
    <t>Kkc</t>
  </si>
  <si>
    <t>Bank Accounts</t>
  </si>
  <si>
    <t>Kotak Mahindra Bank Limited</t>
  </si>
  <si>
    <t>LABHYA TECH SYSTEMS</t>
  </si>
  <si>
    <t>LEI REGISTER INDIA PRIVATE LIMITED</t>
  </si>
  <si>
    <t xml:space="preserve">LENOVO THINKPAD L14 - Leonilda_x000D_
</t>
  </si>
  <si>
    <t xml:space="preserve">LENOVO THINKPAD L14 - Sanjay Yadav_x000D_
</t>
  </si>
  <si>
    <t>LEONILDA FERNANDES</t>
  </si>
  <si>
    <t>LEONILDA FERNANDES - SALARY</t>
  </si>
  <si>
    <t>LOAN TO CHAITHANYA KANDANURI</t>
  </si>
  <si>
    <t xml:space="preserve">Laptop Dell - 2_x000D_
</t>
  </si>
  <si>
    <t xml:space="preserve">Laptop-Dell_x000D_
</t>
  </si>
  <si>
    <t xml:space="preserve">Laptops_x000D_
</t>
  </si>
  <si>
    <t>Leading Network Systems Pvt. Ltd.</t>
  </si>
  <si>
    <t>Lenovo India Private Limited - Karnataka</t>
  </si>
  <si>
    <t>Loan to Bellamkonda Sree Harshitha</t>
  </si>
  <si>
    <t>Loan to Mahesh Kasapu</t>
  </si>
  <si>
    <t>M Tech</t>
  </si>
  <si>
    <t>M&amp;G GLOBAL SERVICES PRIVATE LIMITED</t>
  </si>
  <si>
    <t>M/s Marathon Electric India Pvt. Ltd.</t>
  </si>
  <si>
    <t>M/s. Massif Marketing</t>
  </si>
  <si>
    <t>MADHURI SETTY</t>
  </si>
  <si>
    <t>MADHURI SETTY - Bonus</t>
  </si>
  <si>
    <t>MADHURI SETTY - Salary</t>
  </si>
  <si>
    <t>MAHESH GAJANAN PATIL</t>
  </si>
  <si>
    <t>MAHESH GAJANAN PATIL - SALARY</t>
  </si>
  <si>
    <t>MAHESH KASAPU</t>
  </si>
  <si>
    <t>MAHESH KASAPU - BONUS</t>
  </si>
  <si>
    <t>MAHESH KASAPU - SALARY</t>
  </si>
  <si>
    <t>MASS INFONET (P) LTD</t>
  </si>
  <si>
    <t>MEENAKSHI MAHALINGAM</t>
  </si>
  <si>
    <t>MEENAKSHI MAHALINGAM - SALARY</t>
  </si>
  <si>
    <t>MEGHANA SILIVERI</t>
  </si>
  <si>
    <t>MEGHANA SILIVERI - Bonus</t>
  </si>
  <si>
    <t>MEGHANA SILIVERI - Salary</t>
  </si>
  <si>
    <t>MEGHARANI D</t>
  </si>
  <si>
    <t>MEGHARANI D - Salary</t>
  </si>
  <si>
    <t>MERIDIAN INTERNATIONAL</t>
  </si>
  <si>
    <t>Loans (Liability)</t>
  </si>
  <si>
    <t>MERIDIAN IT ASIA PACIFIC PVT LTD</t>
  </si>
  <si>
    <t>MERIDIAN IT INC - Deb</t>
  </si>
  <si>
    <t xml:space="preserve">MERIDIAN IT SINGAPORE_x000D_
</t>
  </si>
  <si>
    <t>MICROPOINT COMPUTERS PRIVATE LIMITED</t>
  </si>
  <si>
    <t>MITA (Australia)</t>
  </si>
  <si>
    <t>MJ Consultancy</t>
  </si>
  <si>
    <t>MOL Shipping ( India ) Pvt Ltd.</t>
  </si>
  <si>
    <t>MOTT MACDONALD - Gujarat</t>
  </si>
  <si>
    <t>MVAT Refund Receivable A/c</t>
  </si>
  <si>
    <t>Management Fees</t>
  </si>
  <si>
    <t>Management Fees Accrual</t>
  </si>
  <si>
    <t>Marathon Electric Motors India Limited</t>
  </si>
  <si>
    <t>Massif Marketing - Delhi</t>
  </si>
  <si>
    <t>MasterCard India Services Private Limited</t>
  </si>
  <si>
    <t>MasterCard Technology Private Limited</t>
  </si>
  <si>
    <t>Mastercard Mobile Transactions Solutions Private Limited</t>
  </si>
  <si>
    <t>Mastercard Switching Services India Private Limited</t>
  </si>
  <si>
    <t>Megharani</t>
  </si>
  <si>
    <t>Membership &amp; Subscriptions</t>
  </si>
  <si>
    <t>Meridian IT Inc.</t>
  </si>
  <si>
    <t>Meridian IT Inc. (USA) (Cross Sale Commission)</t>
  </si>
  <si>
    <t>Meridian IT Ltd. (UK)</t>
  </si>
  <si>
    <t>Meridian IT Pte. Ltd. (Singapore) Cross Sale Comm</t>
  </si>
  <si>
    <t>Meridian IT Pty Ltd (Australia)</t>
  </si>
  <si>
    <t>Meridian IT US</t>
  </si>
  <si>
    <t>Meridian IT US - Cr.</t>
  </si>
  <si>
    <t>Meridian Leasing Corporation</t>
  </si>
  <si>
    <t>Mettler Toledo India Private Limited</t>
  </si>
  <si>
    <t>Mettler Toledo India Private Limited - ISD</t>
  </si>
  <si>
    <t xml:space="preserve">Mini Fridge_x000D_
</t>
  </si>
  <si>
    <t>Mis</t>
  </si>
  <si>
    <t>ModGen Solutions Pvt Ltd</t>
  </si>
  <si>
    <t>Mott MacDonald Private Limited</t>
  </si>
  <si>
    <t>Mott MacDonald Private Limited (Karnataka)</t>
  </si>
  <si>
    <t>Mott MacDonald Private Limited - Uttar Pradesh</t>
  </si>
  <si>
    <t>Msci Serivces Pvt Ltd</t>
  </si>
  <si>
    <t xml:space="preserve">Mvat Refund F.Y. 2016-17_x000D_
</t>
  </si>
  <si>
    <t xml:space="preserve">N. P. Dharamshi &amp; Co_x000D_
</t>
  </si>
  <si>
    <t>NEHA DAHIYA</t>
  </si>
  <si>
    <t>NEHA DAHIYA - BONUS</t>
  </si>
  <si>
    <t>NEHA DAHIYA - SALARY</t>
  </si>
  <si>
    <t>Naresh Peta</t>
  </si>
  <si>
    <t>Naresh Peta - Bonus</t>
  </si>
  <si>
    <t>Naresh Peta - Salary</t>
  </si>
  <si>
    <t>National Pension Scheme</t>
  </si>
  <si>
    <t>National Pension Scheme (Emplr)</t>
  </si>
  <si>
    <t>National Pension Scheme Payable</t>
  </si>
  <si>
    <t>Naveen Thatigalla</t>
  </si>
  <si>
    <t>Naveen Thatigalla - Bonus</t>
  </si>
  <si>
    <t>Naveen Thatigalla - Salary</t>
  </si>
  <si>
    <t>Navicent Solutions Private Limited</t>
  </si>
  <si>
    <t>Network Catalyst Solutions</t>
  </si>
  <si>
    <t>New Trend Networking Solution</t>
  </si>
  <si>
    <t>Nilesh Pradhan &amp; Co</t>
  </si>
  <si>
    <t>OPTIEMUS INFRACOM LIMITED</t>
  </si>
  <si>
    <t>OPTIONS</t>
  </si>
  <si>
    <t xml:space="preserve">Office 365 Business Premium_x000D_
</t>
  </si>
  <si>
    <t xml:space="preserve">Office 365 Business Premium - 2_x000D_
</t>
  </si>
  <si>
    <t xml:space="preserve">Office 365 Business Premium - 3_x000D_
</t>
  </si>
  <si>
    <t xml:space="preserve">Office Eqp - Edge Gateway Payment_x000D_
</t>
  </si>
  <si>
    <t xml:space="preserve">Office Equipment_x000D_
</t>
  </si>
  <si>
    <t>Office Expenses</t>
  </si>
  <si>
    <t xml:space="preserve">Furniture &amp; Fittings_x000D_
</t>
  </si>
  <si>
    <t xml:space="preserve">Office Furniture_x000D_
</t>
  </si>
  <si>
    <t>Office Internet - Hyderabad</t>
  </si>
  <si>
    <t>MITI Hyderabad</t>
  </si>
  <si>
    <t xml:space="preserve">Office Internet - Hyderabad_x000D_
</t>
  </si>
  <si>
    <t>Office Rent - Hyderabad</t>
  </si>
  <si>
    <t>Office Rent Accrual</t>
  </si>
  <si>
    <t>Oracle India Private Limited</t>
  </si>
  <si>
    <t>Oriental Insurance</t>
  </si>
  <si>
    <t xml:space="preserve">Other Professional Services_x000D_
</t>
  </si>
  <si>
    <t>Others Exps - Hyd</t>
  </si>
  <si>
    <t>Others Exps Paid in Mumbai HO</t>
  </si>
  <si>
    <t>PALLIPOGU SUMALATHA</t>
  </si>
  <si>
    <t>PALLIPOGU SUMALATHA - Bonus</t>
  </si>
  <si>
    <t>PALLIPOGU SUMALATHA - Salary</t>
  </si>
  <si>
    <t>PANDRA NAVITH RAJ</t>
  </si>
  <si>
    <t>PANDRA NAVITH RAJ - BONUS</t>
  </si>
  <si>
    <t>PANDRA NAVITH RAJ - SALARY</t>
  </si>
  <si>
    <t>PAWAN KUMAR GANDHAM</t>
  </si>
  <si>
    <t>PAWAN KUMAR GANDHAM - BONUS</t>
  </si>
  <si>
    <t>PAWAN KUMAR GANDHAM - SALARY</t>
  </si>
  <si>
    <t>PEDDI SAKETH CHOWDARY</t>
  </si>
  <si>
    <t>PEDDI SAKETH CHOWDARY - BONUS</t>
  </si>
  <si>
    <t>PEDDI SAKETH CHOWDARY - SALARY</t>
  </si>
  <si>
    <t>PESARAMELLI AVINASH</t>
  </si>
  <si>
    <t>PESARAMELLI AVINASH - BONUS</t>
  </si>
  <si>
    <t>PESARAMELLI AVINASH - SALARY</t>
  </si>
  <si>
    <t>PESARAMELLI AVINASH - Sodexo</t>
  </si>
  <si>
    <t>PF Employer Expenses</t>
  </si>
  <si>
    <t>PLAY</t>
  </si>
  <si>
    <t xml:space="preserve">PRADEEP KARANKOT_x000D_
</t>
  </si>
  <si>
    <t>PRADEEP KARANKOT - Salary</t>
  </si>
  <si>
    <t>PRADEEP PATIL</t>
  </si>
  <si>
    <t>PRADEEP PATIL - Bonus</t>
  </si>
  <si>
    <t>PRADEEP PATIL - Salary</t>
  </si>
  <si>
    <t>PRADEEP PATIL - Sodexo</t>
  </si>
  <si>
    <t xml:space="preserve">PRASAD NARVEKAR_x000D_
</t>
  </si>
  <si>
    <t>PRASAD NARVEKAR - SALARY</t>
  </si>
  <si>
    <t>PRATHAP REDDY T</t>
  </si>
  <si>
    <t>PRATHAP REDDY T - Advance</t>
  </si>
  <si>
    <t>PRATHAP REDDY T - BONUS</t>
  </si>
  <si>
    <t>PRATHAP REDDY T - SALARY</t>
  </si>
  <si>
    <t>PREETI NEHRA</t>
  </si>
  <si>
    <t>PREETI NEHRA - BONUS</t>
  </si>
  <si>
    <t>PREETI NEHRA - SALARY</t>
  </si>
  <si>
    <t>PREETI THAKUR KULDEEP</t>
  </si>
  <si>
    <t>PREETI THAKUR KULDEEP - Bonus</t>
  </si>
  <si>
    <t>PREETI THAKUR KULDEEP - Salary</t>
  </si>
  <si>
    <t>PREETI THAKUR KULDEEP - Sodexo</t>
  </si>
  <si>
    <t>PRITAM MADHAV SARAF</t>
  </si>
  <si>
    <t>PRITAM MADHAV SARAF - BONUS</t>
  </si>
  <si>
    <t>PRITAM MADHAV SARAF - SALARY</t>
  </si>
  <si>
    <t>PRIYANKA PASUPULETI</t>
  </si>
  <si>
    <t>PRIYANKA PASUPULETI - Bonus</t>
  </si>
  <si>
    <t>PRIYANKA PASUPULETI - SALARY</t>
  </si>
  <si>
    <t>PROMPT DATA PRODUCTS PVT.LTD.</t>
  </si>
  <si>
    <t>PUMA ENERGY PROCESSING SERVICES LLP</t>
  </si>
  <si>
    <t>PV LUMENS LLP</t>
  </si>
  <si>
    <t>Payment/ Receipt</t>
  </si>
  <si>
    <t xml:space="preserve">Perfect Consultancy_x000D_
</t>
  </si>
  <si>
    <t>Perfect Consultncy</t>
  </si>
  <si>
    <t>Perfect GST</t>
  </si>
  <si>
    <t>Perfenza Technologies</t>
  </si>
  <si>
    <t>Periscope Printing and Packaging India Private limited</t>
  </si>
  <si>
    <t>Plus PI</t>
  </si>
  <si>
    <t>Preliminary Expenses</t>
  </si>
  <si>
    <t>Prepaid Expenses</t>
  </si>
  <si>
    <t>Prepaid - Document Manager (Addon-Tally)</t>
  </si>
  <si>
    <t>Prepaid - Gratuity</t>
  </si>
  <si>
    <t>Prepaid Computer Expenses</t>
  </si>
  <si>
    <t>Prepaid Exp - Annual Support Cover</t>
  </si>
  <si>
    <t>Prepaid Exp- Cargo Insurance</t>
  </si>
  <si>
    <t>Prepaid Exp- Commercial General Liability Insurance</t>
  </si>
  <si>
    <t xml:space="preserve">Prepaid Expenses_x000D_
</t>
  </si>
  <si>
    <t>Prepaid Expenses - OPN Membership</t>
  </si>
  <si>
    <t>Prepaid Legal Entity Identifier</t>
  </si>
  <si>
    <t>Prepaid Microsoft Office License</t>
  </si>
  <si>
    <t xml:space="preserve">Prepaid Rent_x000D_
</t>
  </si>
  <si>
    <t xml:space="preserve">Prepaid Rent Office (Madhavi H M)_x000D_
</t>
  </si>
  <si>
    <t xml:space="preserve">Prepaid Tally Licence_x000D_
</t>
  </si>
  <si>
    <t xml:space="preserve">Prepaid Water Purifier_x000D_
</t>
  </si>
  <si>
    <t xml:space="preserve">Printer_x000D_
</t>
  </si>
  <si>
    <t>Printing &amp; Stationary</t>
  </si>
  <si>
    <t>Profession Tax</t>
  </si>
  <si>
    <t>Profession Tax (Company)</t>
  </si>
  <si>
    <t>Profession Tax Interest</t>
  </si>
  <si>
    <t>Profession Tax Payable (Employees)</t>
  </si>
  <si>
    <t>Professional Charges</t>
  </si>
  <si>
    <t>Professional Fees</t>
  </si>
  <si>
    <t>Provident Fund</t>
  </si>
  <si>
    <t xml:space="preserve">Provident Fund Arrears (Employees)_x000D_
</t>
  </si>
  <si>
    <t>Provident Fund Payable</t>
  </si>
  <si>
    <t xml:space="preserve">Provision for Depreciation_x000D_
</t>
  </si>
  <si>
    <t>Provision for Doubtful TDS - Liability</t>
  </si>
  <si>
    <t xml:space="preserve">Provision for Gratuity_x000D_
</t>
  </si>
  <si>
    <t>Provision for Income Tax  F. Y. 2019-20</t>
  </si>
  <si>
    <t>Provision for Income Tax F. Y. 2021-22</t>
  </si>
  <si>
    <t>Provision for Income Tax F. Y. 2022-23</t>
  </si>
  <si>
    <t>Provision for Income Tax F. Y. 2023-24</t>
  </si>
  <si>
    <t>Purchase - Meridian IT Solutions PTE Limited</t>
  </si>
  <si>
    <t>Purchase Accounts</t>
  </si>
  <si>
    <t>Purchase IGST 18%</t>
  </si>
  <si>
    <t>Purchase Import</t>
  </si>
  <si>
    <t>Purchase - Goods</t>
  </si>
  <si>
    <t>Purchase Import - Goods</t>
  </si>
  <si>
    <t>PURCHASE - SERVICES</t>
  </si>
  <si>
    <t>Purchase Import - Services</t>
  </si>
  <si>
    <t>Purchase Interstate 18% - Goods</t>
  </si>
  <si>
    <t>Purchase Interstate 18% - Services</t>
  </si>
  <si>
    <t>Purchase Interstate 28% - Goods</t>
  </si>
  <si>
    <t>Purchase Local 18%</t>
  </si>
  <si>
    <t>Purchase Local 18% - Goods</t>
  </si>
  <si>
    <t>Purchase Local 18% - Services</t>
  </si>
  <si>
    <t>Purchase Local 28% - Goods</t>
  </si>
  <si>
    <t>Purchases Local - 18% - Goods</t>
  </si>
  <si>
    <t>Purchases Local - 18% - Services</t>
  </si>
  <si>
    <t>RA ENTERPRISES</t>
  </si>
  <si>
    <t>RAHUL JUGAL PADIA</t>
  </si>
  <si>
    <t>RAHUL JUGAL PADIA - SALARY</t>
  </si>
  <si>
    <t xml:space="preserve">RAJESH AITHA_x000D_
</t>
  </si>
  <si>
    <t>RAJESH AITHA - Salary</t>
  </si>
  <si>
    <t>RAM KUMAR</t>
  </si>
  <si>
    <t>RAM KUMAR - BONUS</t>
  </si>
  <si>
    <t>RAM KUMAR - SALARY</t>
  </si>
  <si>
    <t xml:space="preserve">RAMAKRISHNA DODDA_x000D_
</t>
  </si>
  <si>
    <t>RAMAKRISHNA DODDA - BONUS</t>
  </si>
  <si>
    <t>RAMAKRISHNA DODDA - SALARY</t>
  </si>
  <si>
    <t>RAMAKRISHNA DODDA - Sodexo</t>
  </si>
  <si>
    <t>RAVI KUMAR</t>
  </si>
  <si>
    <t>RAVI KUMAR - BONUS</t>
  </si>
  <si>
    <t>RAVI KUMAR - SALARY</t>
  </si>
  <si>
    <t xml:space="preserve">RAVIRAJ DATTARAY KULKARNI_x000D_
</t>
  </si>
  <si>
    <t>RAVIRAJ DATTARAY KULKARNI - BONUS</t>
  </si>
  <si>
    <t>RAVIRAJ DATTARAY KULKARNI - SALARY</t>
  </si>
  <si>
    <t>REDINGTON - Delhi</t>
  </si>
  <si>
    <t>REDINGTON - Tamil Nadu</t>
  </si>
  <si>
    <t>RGA Global Shared Services India Pvt. Ltd.</t>
  </si>
  <si>
    <t>RGA Life Reinsurance Company of Canada</t>
  </si>
  <si>
    <t>ROC Filing Charges</t>
  </si>
  <si>
    <t>ROUNDROBIN TECH. SERVICES PRIVATE LTD.</t>
  </si>
  <si>
    <t>Rajesh Talapaneni</t>
  </si>
  <si>
    <t>Rajesh Talapaneni - Bonus</t>
  </si>
  <si>
    <t>Rajesh Talapaneni - Salary</t>
  </si>
  <si>
    <t>Ramadevi Yanamala</t>
  </si>
  <si>
    <t>Ramakrishna Dodda - NPS Payable</t>
  </si>
  <si>
    <t>Ramesh Book Binders</t>
  </si>
  <si>
    <t>Ramesh Reddy Gangireddy</t>
  </si>
  <si>
    <t>Ramesh Reddy Gangireddy - Salary</t>
  </si>
  <si>
    <t>Rathi Rathi &amp; Co.</t>
  </si>
  <si>
    <t>Rathi Rathi and Co.</t>
  </si>
  <si>
    <t>Supplier Volume Rebate</t>
  </si>
  <si>
    <t>Rebate - Foreign</t>
  </si>
  <si>
    <t>Sales - Rebate</t>
  </si>
  <si>
    <t>Rebate - Interstate</t>
  </si>
  <si>
    <t>Rebate - Local</t>
  </si>
  <si>
    <t>Recharge Income Provision (Accrual)</t>
  </si>
  <si>
    <t>Recharge of Expenses to MITUS</t>
  </si>
  <si>
    <t>Recharge MITUS - Bills with GST</t>
  </si>
  <si>
    <t>Recharge MITUS - Bonus</t>
  </si>
  <si>
    <t>Recharge MITUS - Employee Expenses</t>
  </si>
  <si>
    <t>Recharge MITUS - HDFC Insurance</t>
  </si>
  <si>
    <t>Recharge MITUS - Health Insurance</t>
  </si>
  <si>
    <t>Recharge MITUS - Hyderabad Office Exp (Rent)</t>
  </si>
  <si>
    <t>Recharge MITUS - Hyderabad Office Internet</t>
  </si>
  <si>
    <t>Recharge MITUS - National Pension Scheme</t>
  </si>
  <si>
    <t>Recharge MITUS - Office Deposit</t>
  </si>
  <si>
    <t>Recharge MITUS - Other Exps</t>
  </si>
  <si>
    <t>Recharge MITUS - Others</t>
  </si>
  <si>
    <t>Recharge MITUS - Professional Fees</t>
  </si>
  <si>
    <t>Recharge MITUS - Provident Fund</t>
  </si>
  <si>
    <t>Recharge MITUS - Salary</t>
  </si>
  <si>
    <t>Recharge MITUS - Sodexo</t>
  </si>
  <si>
    <t>Recharge of Employees</t>
  </si>
  <si>
    <t>Recharge of Employees - Services</t>
  </si>
  <si>
    <t>Recharge of Other Expenses</t>
  </si>
  <si>
    <t>Redington - Maharashtra</t>
  </si>
  <si>
    <t>Referral Fees</t>
  </si>
  <si>
    <t>Referral Fees - Services</t>
  </si>
  <si>
    <t>Regal Beloit America Inc.</t>
  </si>
  <si>
    <t>Reimbursement of Expenses</t>
  </si>
  <si>
    <t>Reliance General Insurance Company Limited</t>
  </si>
  <si>
    <t>Reliance Insurance</t>
  </si>
  <si>
    <t>Repair &amp; Maintenance</t>
  </si>
  <si>
    <t>Repairs &amp; Maintenance - Office</t>
  </si>
  <si>
    <t>Repairs &amp; Maintenance - computer</t>
  </si>
  <si>
    <t>Roechling Industrial India Pvt Ltd</t>
  </si>
  <si>
    <t>Root Technologies</t>
  </si>
  <si>
    <t>Round-Off</t>
  </si>
  <si>
    <t>S Gautam &amp; Associates LLP</t>
  </si>
  <si>
    <t>S R Foods</t>
  </si>
  <si>
    <t>SAI SHARAN MULASTHAM</t>
  </si>
  <si>
    <t>SAI SHARAN MULASTHAM - BONUS</t>
  </si>
  <si>
    <t>SAI SHARAN MULASTHAM - SALARY</t>
  </si>
  <si>
    <t>SALES LOCAL @ 18%</t>
  </si>
  <si>
    <t>SANDEEP RAMESH KADE</t>
  </si>
  <si>
    <t>SANDEEP RAMESH KADE - BONUS</t>
  </si>
  <si>
    <t>SANDEEP RAMESH KADE - SALARY</t>
  </si>
  <si>
    <t>SANGHVI COMPUTERS</t>
  </si>
  <si>
    <t xml:space="preserve">SANJAY BALWANTA YADAV_x000D_
</t>
  </si>
  <si>
    <t>SANJAY BALWANTA YADAV - SALARY</t>
  </si>
  <si>
    <t>SANJAY DATTARAM PAWAR</t>
  </si>
  <si>
    <t>SANJAY DATTARAM PAWAR - Bonus</t>
  </si>
  <si>
    <t>SANJAY DATTARAM PAWAR - Salary</t>
  </si>
  <si>
    <t>SANJAY DATTARAM PAWAR - Sodexo</t>
  </si>
  <si>
    <t>SATCOM INFOTECH PRIVATE LIMITED</t>
  </si>
  <si>
    <t>SATISHKUMAR KV</t>
  </si>
  <si>
    <t>SATISHKUMAR KV - Bonus</t>
  </si>
  <si>
    <t>SATISHKUMAR KV - NPS</t>
  </si>
  <si>
    <t>SATISHKUMAR KV - NPS Payable</t>
  </si>
  <si>
    <t>SATISHKUMAR KV - Salary</t>
  </si>
  <si>
    <t>SATISHKUMAR KV - Sodexo</t>
  </si>
  <si>
    <t>SEZ UNITS</t>
  </si>
  <si>
    <t>SEZ - ZYCUS INFOTECH PRIVATE LIMITED</t>
  </si>
  <si>
    <t>SEZ FDC Web Technologies Private Limited</t>
  </si>
  <si>
    <t>SEZ Sales Under LUT</t>
  </si>
  <si>
    <t>SEZ Sales Under LUT - Goods</t>
  </si>
  <si>
    <t>SEZ Sales Under LUT - Services</t>
  </si>
  <si>
    <t xml:space="preserve">SEZ Wurth Information Technology India Pvt. Ltd._x000D_
</t>
  </si>
  <si>
    <t>SEZ eClerx Services Limited</t>
  </si>
  <si>
    <t>SEZ unit UBS Business Solutions - Telangana</t>
  </si>
  <si>
    <t xml:space="preserve">SGST - 18% F.Y. 2018-19_x000D_
</t>
  </si>
  <si>
    <t>SGST 14% - F. Y. 2021-22</t>
  </si>
  <si>
    <t>SGST 2.5% - F. Y. 2022-23</t>
  </si>
  <si>
    <t>SGST 2.5% - F. Y. 2023-24</t>
  </si>
  <si>
    <t>SGST 6% - F. Y. 2021-22</t>
  </si>
  <si>
    <t>SGST 6% - F. Y. 2022-23</t>
  </si>
  <si>
    <t>SGST 9% - F. Y. 2021-22</t>
  </si>
  <si>
    <t>SGST 9% - F. Y. 2022-23</t>
  </si>
  <si>
    <t>SGST 9% - F. Y. 2023-24</t>
  </si>
  <si>
    <t>SHAKTI COMPUTERS</t>
  </si>
  <si>
    <t>SHEELARANI R</t>
  </si>
  <si>
    <t>SHEELARANI R - BONUS</t>
  </si>
  <si>
    <t>SHEELARANI R - SALARY</t>
  </si>
  <si>
    <t>SHIRISHA BESANA</t>
  </si>
  <si>
    <t>SHIRISHA BESANA - Bonus</t>
  </si>
  <si>
    <t>SHIRISHA BESANA - Salary</t>
  </si>
  <si>
    <t>SHIRISHA BESANA - Sodexo</t>
  </si>
  <si>
    <t>SHREEJI INFOTECH</t>
  </si>
  <si>
    <t>SIDDH WORKSPACES PRIVATE LIMITED</t>
  </si>
  <si>
    <t>SMA Solar India Private Limited</t>
  </si>
  <si>
    <t>SRINIVAS GONE</t>
  </si>
  <si>
    <t>SRINIVAS GONE - BONUS</t>
  </si>
  <si>
    <t>SRINIVAS GONE - Sodexo</t>
  </si>
  <si>
    <t>SRINIVAS GONE -SALARY</t>
  </si>
  <si>
    <t>STERLING INFOWAYS PVT LTD - BANGALORE</t>
  </si>
  <si>
    <t>STERLING INFOWAYS PVT. LTD. - Delhi</t>
  </si>
  <si>
    <t>STERLING INFOWAYS PVT. LTD. HARYANA</t>
  </si>
  <si>
    <t>SUDIPTO CHATTERJEE</t>
  </si>
  <si>
    <t>SUDIPTO CHATTERJEE - BONUS</t>
  </si>
  <si>
    <t>SUDIPTO CHATTERJEE - SALARY</t>
  </si>
  <si>
    <t>SUPERTRON ELECTRONICS PRIVATE LIMITED</t>
  </si>
  <si>
    <t>SURYAKIRAN.A - Bonus</t>
  </si>
  <si>
    <t>SWAPNA TEKUMATLA</t>
  </si>
  <si>
    <t>SWAPNA TEKUMATLA - BONUS</t>
  </si>
  <si>
    <t>SWAPNA TEKUMATLA - SALARY</t>
  </si>
  <si>
    <t>SWEATHA KATTA</t>
  </si>
  <si>
    <t>SWEATHA KATTA - BONUS</t>
  </si>
  <si>
    <t>SWEATHA KATTA - SALARY</t>
  </si>
  <si>
    <t>SWEATHA KATTA - Sodexo</t>
  </si>
  <si>
    <t>SYED KHALEEL</t>
  </si>
  <si>
    <t>SYED KHALEEL - BONUS</t>
  </si>
  <si>
    <t>SYED KHALEEL - NPS</t>
  </si>
  <si>
    <t>SYED KHALEEL - NPS Payable</t>
  </si>
  <si>
    <t>SYED KHALEEL - SALARY</t>
  </si>
  <si>
    <t>SYED KHALEEL - Sodexo</t>
  </si>
  <si>
    <t>Sai Edge Solutions</t>
  </si>
  <si>
    <t>Sales - Meridian It Solution Pte Ltd - SG</t>
  </si>
  <si>
    <t>Sales Interstate 18%</t>
  </si>
  <si>
    <t>Sales Interstate 18% - Goods</t>
  </si>
  <si>
    <t>Sales Interstate 18% - Services</t>
  </si>
  <si>
    <t>Sales Interstate 28% - Goods</t>
  </si>
  <si>
    <t>Sales Local 18% - Goods</t>
  </si>
  <si>
    <t>Sales Local 18% - Services</t>
  </si>
  <si>
    <t>Sales Local 28% - Goods</t>
  </si>
  <si>
    <t>Sambhaji Jadhav</t>
  </si>
  <si>
    <t>Sambhaji Jadhav - Bonus</t>
  </si>
  <si>
    <t>Sambhaji Jadhav - Salary</t>
  </si>
  <si>
    <t>Sampath Venkateswara Communications Pvt Ltd</t>
  </si>
  <si>
    <t xml:space="preserve">Samsung Curved Gaming Monitor_x000D_
</t>
  </si>
  <si>
    <t xml:space="preserve">Samsung Curved Gaming Monitor - 2_x000D_
</t>
  </si>
  <si>
    <t xml:space="preserve">Samsung External Monitor_x000D_
</t>
  </si>
  <si>
    <t>Savex Technologies - Tamil Nadu</t>
  </si>
  <si>
    <t>Savex Technologies Pvt. Ltd.</t>
  </si>
  <si>
    <t>Savex Technologies Pvt. Ltd. - Delhi</t>
  </si>
  <si>
    <t>Schindler India Private Limited</t>
  </si>
  <si>
    <t>Scrap Sales</t>
  </si>
  <si>
    <t xml:space="preserve">Seagate External Hard Drive_x000D_
</t>
  </si>
  <si>
    <t>Securelink Infratech Pvt.Ltd</t>
  </si>
  <si>
    <t>Security Guard</t>
  </si>
  <si>
    <t xml:space="preserve">Server Life 3 Year_x000D_
</t>
  </si>
  <si>
    <t xml:space="preserve">Service Tax_x000D_
</t>
  </si>
  <si>
    <t>Service Tax 14%</t>
  </si>
  <si>
    <t>Sez Unit UBS Business Solutions</t>
  </si>
  <si>
    <t>Shree Krishna Airconditioning &amp; Electricals</t>
  </si>
  <si>
    <t>Shree Sharvani Enterprises</t>
  </si>
  <si>
    <t>Shreem Infotech</t>
  </si>
  <si>
    <t>Sigma Aldrich Chemical Pvt.Ltd</t>
  </si>
  <si>
    <t>Sodexo Payable (Employees)</t>
  </si>
  <si>
    <t>Software Subscription</t>
  </si>
  <si>
    <t>Spectrum Quality Consultants</t>
  </si>
  <si>
    <t>Sporta Technologies Private Limited</t>
  </si>
  <si>
    <t>Srinivasa Rao Sunkara</t>
  </si>
  <si>
    <t>Srinivasa Rao Sunkara - Bonus</t>
  </si>
  <si>
    <t>Srinivasa Rao Sunkara - Salary</t>
  </si>
  <si>
    <t>Staff Welfare Expenses</t>
  </si>
  <si>
    <t>Surya Kiran A.</t>
  </si>
  <si>
    <t>Surya Kiran A. - Salary</t>
  </si>
  <si>
    <t>Surya Kiran A. - Sodexo</t>
  </si>
  <si>
    <t>Surya Om Solutions</t>
  </si>
  <si>
    <t>Suspense A/c</t>
  </si>
  <si>
    <t>Swatch Bharat Cess on Sales</t>
  </si>
  <si>
    <t>Swift Charges</t>
  </si>
  <si>
    <t>SysTools Software Private Limited</t>
  </si>
  <si>
    <t>T-Systems Information and Communication Technology India Private Limited</t>
  </si>
  <si>
    <t>TATA AIG General Insurance Company Ltd.</t>
  </si>
  <si>
    <t>TCS From Customer</t>
  </si>
  <si>
    <t>TCS</t>
  </si>
  <si>
    <t xml:space="preserve">TCS Liability - F. Y. 2020-21_x000D_
</t>
  </si>
  <si>
    <t>TCS Liability - F. Y. 2021-22</t>
  </si>
  <si>
    <t>TCS - F. Y. 2022-23</t>
  </si>
  <si>
    <t>TCS Liability - F. Y. 2022-23</t>
  </si>
  <si>
    <t xml:space="preserve">TCS Payable F. Y. 2020-21_x000D_
</t>
  </si>
  <si>
    <t>Income Tax - F. Y. 2021-22</t>
  </si>
  <si>
    <t>TCS Receivable - F. Y. 2021-22</t>
  </si>
  <si>
    <t>Income Tax - F. Y. 2022-23</t>
  </si>
  <si>
    <t>TCS Receivable - F. Y. 2022-23</t>
  </si>
  <si>
    <t xml:space="preserve">Income Tax F. Y. 2020-21_x000D_
</t>
  </si>
  <si>
    <t>TCS Receivable F. Y. 2020-21</t>
  </si>
  <si>
    <t>TCS Recoverable From Customer - F. Y. 2021-22</t>
  </si>
  <si>
    <t>TCS Recoverable From Customer - F. Y. 2022-23</t>
  </si>
  <si>
    <t>TDS</t>
  </si>
  <si>
    <t>Income Tax F. Y. 2019-20</t>
  </si>
  <si>
    <t>TDS From Customer to Check 26AS - F. Y. 2019-20</t>
  </si>
  <si>
    <t>TDS From Customer to Check 26AS F. Y. 2020-21</t>
  </si>
  <si>
    <t>TDS From Customer to Check 26AS F. Y. 2021-22</t>
  </si>
  <si>
    <t>TDS From Customer to Check 26AS F. Y. 2022-23</t>
  </si>
  <si>
    <t>TDS Interest</t>
  </si>
  <si>
    <t>TDS Receivable F. Y. 2019-20</t>
  </si>
  <si>
    <t>TDS Receivable F. Y. 2020-21</t>
  </si>
  <si>
    <t>TDS Receivable F. Y. 2021-22</t>
  </si>
  <si>
    <t>TDS Receivable F. Y. 2022-23</t>
  </si>
  <si>
    <t>Income Tax - F. Y. 2023-24</t>
  </si>
  <si>
    <t>TDS Receivable F. Y. 2023-24</t>
  </si>
  <si>
    <t>TDS on Bank FD - F.Y. 2020-21</t>
  </si>
  <si>
    <t>TDS on Bank FD - F.Y. 2021-22</t>
  </si>
  <si>
    <t>TDS on Bank FD - F.Y. 2022-23</t>
  </si>
  <si>
    <t>TDS F. Y. 2021-22</t>
  </si>
  <si>
    <t>TDS on Goods - U/s 194Q - F. Y. 2021-22</t>
  </si>
  <si>
    <t>TDS F. Y. 2022-23</t>
  </si>
  <si>
    <t>TDS on Goods - U/s 194Q - F. Y. 2022-23</t>
  </si>
  <si>
    <t>TDS F. Y. 2023-24</t>
  </si>
  <si>
    <t>TDS on Goods - U/s 194Q - F. Y. 2023-24</t>
  </si>
  <si>
    <t>TDS to Be Checked with 26AS -F.Y. 2023-24</t>
  </si>
  <si>
    <t>TECHKNOWLOGIC CONSULTANTS INDIA PVT LTD</t>
  </si>
  <si>
    <t>THARUN KARAMPUDI</t>
  </si>
  <si>
    <t>THARUN KARAMPUDI - Bonus</t>
  </si>
  <si>
    <t>THARUN KARAMPUDI - SALARY</t>
  </si>
  <si>
    <t xml:space="preserve">THIRUPATHI PASHAM_x000D_
</t>
  </si>
  <si>
    <t>THIRUPATHI PASHAM - Salary</t>
  </si>
  <si>
    <t>TRANSACTION SQUARE LLP</t>
  </si>
  <si>
    <t>TUMMA KALPANA</t>
  </si>
  <si>
    <t>TUMMA KALPANA - BONUS</t>
  </si>
  <si>
    <t>TUMMA KALPANA - Salary</t>
  </si>
  <si>
    <t>TUV SUD South Asia Pvt. Ltd.</t>
  </si>
  <si>
    <t>TDS F. Y. 2020-21</t>
  </si>
  <si>
    <t>Tds (Salary) F. Y. 2020-21</t>
  </si>
  <si>
    <t>Tds (Salary) F. Y. 2021-22</t>
  </si>
  <si>
    <t>Tds (Salary) F. Y. 2022-23</t>
  </si>
  <si>
    <t>Tds (Salary) F. Y. 2023-24</t>
  </si>
  <si>
    <t>TDS F. Y. 2019-20</t>
  </si>
  <si>
    <t>Tds on Contractor - F. Y. 2019-20</t>
  </si>
  <si>
    <t>Tds on Contractor F. Y. 2020-21</t>
  </si>
  <si>
    <t>Tds on Contractor F. Y. 2021-22</t>
  </si>
  <si>
    <t>Tds on Contractor F. Y. 2022-23</t>
  </si>
  <si>
    <t>Tds on Contractor F. Y. 2023-24</t>
  </si>
  <si>
    <t>Tds on Old Professional Fees</t>
  </si>
  <si>
    <t>Tds on Professional Fees - F. Y. 2019-20</t>
  </si>
  <si>
    <t>Tds on Professional Fees F. Y. 2020-21</t>
  </si>
  <si>
    <t>Tds on Professional Fees F. Y. 2021-22</t>
  </si>
  <si>
    <t>Tds on Professional Fees F. Y. 2022-23</t>
  </si>
  <si>
    <t>Tds on Professional Fees F. Y. 2023-24</t>
  </si>
  <si>
    <t>Tds on Rent F. Y. 2019-20</t>
  </si>
  <si>
    <t>Tds on Rent F. Y. 2020-21</t>
  </si>
  <si>
    <t>Tds on Rent F. Y. 2021-22</t>
  </si>
  <si>
    <t>Tds on Rent F. Y. 2022-23</t>
  </si>
  <si>
    <t>Tds on Rent F. Y. 2023-24</t>
  </si>
  <si>
    <t>Tds on Royalty/Technical (195) - F. Y. 2019-20</t>
  </si>
  <si>
    <t>Tds on Royalty/Technical (195) - F. Y. 2020-21</t>
  </si>
  <si>
    <t>Tds on Royalty/Technical (195) - F. Y. 2021-22</t>
  </si>
  <si>
    <t>Tds on Royalty/Technical (195) - F. Y. 2022-23</t>
  </si>
  <si>
    <t>Tds on Royalty/Technical (195) - F. Y. 2023-24</t>
  </si>
  <si>
    <t>Tech Data Advanced Solutions (India) Private Limited</t>
  </si>
  <si>
    <t>Tech Data Advanced Solutions (India) Pvt. Ltd. - Deb</t>
  </si>
  <si>
    <t>Tech Data Advanced Solutions - TELANGANA</t>
  </si>
  <si>
    <t>Techdata Advanced Solutions (India) - Delhi</t>
  </si>
  <si>
    <t>Techguy Info Service LLP</t>
  </si>
  <si>
    <t>Technofive Solutions</t>
  </si>
  <si>
    <t>Telephone - Land</t>
  </si>
  <si>
    <t>Telephone - Mobile</t>
  </si>
  <si>
    <t>Temasek Holdings Advisors India Private Limited</t>
  </si>
  <si>
    <t>Trafigura Global Services Private Limited</t>
  </si>
  <si>
    <t>Training</t>
  </si>
  <si>
    <t>Trans-Fast India Private Limited</t>
  </si>
  <si>
    <t>TransPrice Tax Advisors LLP</t>
  </si>
  <si>
    <t>Transparent Value Private Limited</t>
  </si>
  <si>
    <t>Transportation (Employee)</t>
  </si>
  <si>
    <t>Transportation - Local (No Overnight)</t>
  </si>
  <si>
    <t>Travel - Local (Overnight)</t>
  </si>
  <si>
    <t>Travel - Overseas</t>
  </si>
  <si>
    <t>Travelling &amp; Conveyance Expenses</t>
  </si>
  <si>
    <t>UBS Business Solutions India Private Limited</t>
  </si>
  <si>
    <t>UBS Securities India Private Limited</t>
  </si>
  <si>
    <t>UChicago Center in India Private Limited</t>
  </si>
  <si>
    <t>UNILATERAL TECHNOLOGY PVT LTD</t>
  </si>
  <si>
    <t>UNISERVED TECH SOLUTIONS PVT LTD</t>
  </si>
  <si>
    <t>Utilities</t>
  </si>
  <si>
    <t>VA Tech Ventures Private Limited</t>
  </si>
  <si>
    <t>VARA PRASAD GANDHAM</t>
  </si>
  <si>
    <t>VARA PRASAD GANDHAM - Salary</t>
  </si>
  <si>
    <t>VARA PRASAD GANDHAM- BONUS</t>
  </si>
  <si>
    <t>VENKATESH GURAP</t>
  </si>
  <si>
    <t>VENKATESH GURAP - BONUS</t>
  </si>
  <si>
    <t>VENKATESH GURAP - NPS</t>
  </si>
  <si>
    <t>VENKATESH GURAP - SALARY</t>
  </si>
  <si>
    <t>VENKATESH GURAP - Sodexo</t>
  </si>
  <si>
    <t>VENKATESH KATIKARA</t>
  </si>
  <si>
    <t>VENKATESH KATIKARA - BONUS</t>
  </si>
  <si>
    <t>VENKATESH KATIKARA - SALARY</t>
  </si>
  <si>
    <t>VENKATESH VAJINEPALLI</t>
  </si>
  <si>
    <t>VENKATESH VAJINEPALLI - BONUS</t>
  </si>
  <si>
    <t>VENKATESH VAJINEPALLI - SALARY</t>
  </si>
  <si>
    <t>VENKATESH VAJINEPALLI - Sodexo</t>
  </si>
  <si>
    <t>VETOQUINOL INDIA ANIMAL HEALTH PRIVATE LIMITED</t>
  </si>
  <si>
    <t>VICTOR DAS</t>
  </si>
  <si>
    <t>VICTOR DAS - SALARY</t>
  </si>
  <si>
    <t>VIDEOJET TECHNOLOGIES (I) PRIVATE LIMITED</t>
  </si>
  <si>
    <t>VIKRAM RAO</t>
  </si>
  <si>
    <t>VIKRAM RAO - Bonus</t>
  </si>
  <si>
    <t>VIKRAM RAO - Salary</t>
  </si>
  <si>
    <t>VIMAL VIJAY</t>
  </si>
  <si>
    <t>VIMAL VIJAY - BONUS</t>
  </si>
  <si>
    <t>VIMAL VIJAY - SALARY</t>
  </si>
  <si>
    <t>VIMAL VIJAY - Sodexo</t>
  </si>
  <si>
    <t>VIMAL VIJAY D</t>
  </si>
  <si>
    <t>VIMAL VIJAY D - Sodexo</t>
  </si>
  <si>
    <t>VIVEK C</t>
  </si>
  <si>
    <t>VIVEK C - BONUS</t>
  </si>
  <si>
    <t>VIVEK C - SALARY</t>
  </si>
  <si>
    <t>VIVEK C - Sodexo</t>
  </si>
  <si>
    <t>VMware International Unlimited Company</t>
  </si>
  <si>
    <t>Valluri Manisha</t>
  </si>
  <si>
    <t>Valluri Manisha - Salary</t>
  </si>
  <si>
    <t>Vandana J Thakur &amp; Associates</t>
  </si>
  <si>
    <t xml:space="preserve">Vat Deposit_x000D_
</t>
  </si>
  <si>
    <t>Vimal Vijay - NPS Payable</t>
  </si>
  <si>
    <t xml:space="preserve">Vinay_x000D_
</t>
  </si>
  <si>
    <t>Vsquare Systems Private Limited</t>
  </si>
  <si>
    <t>Vyom Labs Private Limited</t>
  </si>
  <si>
    <t>WISSEN TECHNOLOGY PRIVATE LIMITED</t>
  </si>
  <si>
    <t xml:space="preserve">Water Filter_x000D_
</t>
  </si>
  <si>
    <t>White Oak Capital Management Consultants LLP</t>
  </si>
  <si>
    <t>Wild Work Office Rent - Hyderabad</t>
  </si>
  <si>
    <t xml:space="preserve">Window Server Software License_x000D_
</t>
  </si>
  <si>
    <t>Wuerth India Private Limited</t>
  </si>
  <si>
    <t>YOGESH COMPUTERS</t>
  </si>
  <si>
    <t>ZENDESK, INC.</t>
  </si>
  <si>
    <t>ZEROMILES TECHNOLOGIES SERVICES PVT LTD</t>
  </si>
  <si>
    <t>ZenTech Systems</t>
  </si>
  <si>
    <t>iValue InfoSolutions Private Limited</t>
  </si>
  <si>
    <t>prepaid exp - E-invoicing ClearTax</t>
  </si>
  <si>
    <t>Abhilash Marri - NPS Payable</t>
  </si>
  <si>
    <t>Advance Tax AY 25-26</t>
  </si>
  <si>
    <t>Anixter India Private Limited</t>
  </si>
  <si>
    <t>Auditor Remuneration</t>
  </si>
  <si>
    <t>B Santosh Kumar - NPS Payable</t>
  </si>
  <si>
    <t>Bank Charges (Foreign Remitance)</t>
  </si>
  <si>
    <t>Bheem Reddy Bakanati - NPS Payable</t>
  </si>
  <si>
    <t>Bonus Expense</t>
  </si>
  <si>
    <t>GST 2024-25</t>
  </si>
  <si>
    <t>CGST 14% -FY 24-25</t>
  </si>
  <si>
    <t>CGST 9% - F.Y. 2023-24</t>
  </si>
  <si>
    <t>CGST 9% - F.Y. 2024-25</t>
  </si>
  <si>
    <t xml:space="preserve">Cross Sale - USA- Meridian IT INC_x000D_
</t>
  </si>
  <si>
    <t>Cross Sales -Concat AG</t>
  </si>
  <si>
    <t>DELL LATI-5440-I7-1355U/16/512/W11P/14"FHD LAPTOP</t>
  </si>
  <si>
    <t>Delivery Charges on Sales</t>
  </si>
  <si>
    <t>Dell International Services India Private Limited</t>
  </si>
  <si>
    <t>DevX System Integrator</t>
  </si>
  <si>
    <t>Discount Received</t>
  </si>
  <si>
    <t>EPR - MasterCard Technology</t>
  </si>
  <si>
    <t>Employees July Payroll</t>
  </si>
  <si>
    <t>Engineer Support</t>
  </si>
  <si>
    <t>FOSSHW0201 FG-60F-HW-APPFG-60F</t>
  </si>
  <si>
    <t>GST Expenses</t>
  </si>
  <si>
    <t>GST on RCM -  2024-25</t>
  </si>
  <si>
    <t>Giant Connection LLP</t>
  </si>
  <si>
    <t>Gst Payable - F. Y. 2024-25</t>
  </si>
  <si>
    <t>IGST 18% - F.Y. 2024-25</t>
  </si>
  <si>
    <t>IGST 18% -F.Y. 2023-24</t>
  </si>
  <si>
    <t>ITC Not in Auto-Populated 2B - F.Y. 24-25</t>
  </si>
  <si>
    <t>ITC Not in Auto-Populated GSTR-2B-2A - 2024-25</t>
  </si>
  <si>
    <t>Income Tax</t>
  </si>
  <si>
    <t>Income Tax (Branch A/C)</t>
  </si>
  <si>
    <t>Income Tax F. Y. 2024-25</t>
  </si>
  <si>
    <t>Income Tax Refund 21-22</t>
  </si>
  <si>
    <t>Interest on Income Tax FY 23-24</t>
  </si>
  <si>
    <t>LATI5450/7155U/16/512/W11P/NODD/3Y/BPNB</t>
  </si>
  <si>
    <t>Late Fees and Penalty</t>
  </si>
  <si>
    <t>Legal &amp; Statutory Fees</t>
  </si>
  <si>
    <t>Local Sales Commission</t>
  </si>
  <si>
    <t>Local Commission - Hemangi Panchal</t>
  </si>
  <si>
    <t>Local Commission - Meenakshi Iyer</t>
  </si>
  <si>
    <t>Local Commission - Sanjay Yadav</t>
  </si>
  <si>
    <t>M J Consultancy</t>
  </si>
  <si>
    <t>Mek Peripherals India Private Limited.</t>
  </si>
  <si>
    <t>Meridian IT Ltd - UK</t>
  </si>
  <si>
    <t>Misc Income</t>
  </si>
  <si>
    <t>Nikhil Rajesh Jain</t>
  </si>
  <si>
    <t>Other Deduction</t>
  </si>
  <si>
    <t>PROEDGE INFOTECH</t>
  </si>
  <si>
    <t>Pritam Madhav Saraf - NPS Payable</t>
  </si>
  <si>
    <t>Provision for Auditor's Remuneration</t>
  </si>
  <si>
    <t>Provision for Auditors Remuneration</t>
  </si>
  <si>
    <t>Provision for Bonus</t>
  </si>
  <si>
    <t>Provision for Expenses</t>
  </si>
  <si>
    <t>Provision for Income Tax F. Y. 2024-25</t>
  </si>
  <si>
    <t>RGA Life Reinsurance Company of Canada – India Branch</t>
  </si>
  <si>
    <t>Rosen India Private Limited</t>
  </si>
  <si>
    <t>SGST 14% -F Y 24-25</t>
  </si>
  <si>
    <t>SGST 9% - F.Y. 2024-25</t>
  </si>
  <si>
    <t>SGST 9% -F.Y. 2023-24</t>
  </si>
  <si>
    <t>Salary Payable</t>
  </si>
  <si>
    <t>TDS on Contractor F.Y. 2024-25</t>
  </si>
  <si>
    <t>TDS on Goods - U/s 194Q - F. Y. 2024-25</t>
  </si>
  <si>
    <t>TDS on Import F.Y. 2024-25</t>
  </si>
  <si>
    <t>TDS on Rent F.Y. 2024-25</t>
  </si>
  <si>
    <t>TDS on Salary F.Y. 2024-25</t>
  </si>
  <si>
    <t>Income Tax F.Y. 2024-25</t>
  </si>
  <si>
    <t>TDS to Be Checked with 26AS - F.Y. 24-25</t>
  </si>
  <si>
    <t>Tds on Professional Fees F.Y. 2024-25</t>
  </si>
  <si>
    <t>Tds on Professional Fees F.Y.2023-24</t>
  </si>
  <si>
    <t>Tds( Salary) F. Y. 2024-25</t>
  </si>
  <si>
    <t>Tech Data Advanced Private Limited</t>
  </si>
  <si>
    <t>Unbilled Revenue (Current Asset)</t>
  </si>
  <si>
    <t>Vivek C - NPS Payable</t>
  </si>
  <si>
    <t xml:space="preserve">BHAVANI SINGH TAKUR_x000D_
</t>
  </si>
  <si>
    <t>BHAVANI SINGH TAKUR - Salary</t>
  </si>
  <si>
    <t>CGST-9%- FY-25-26</t>
  </si>
  <si>
    <t>CGST-FY 25-26-2.5%</t>
  </si>
  <si>
    <t>Concat AG (Germany)</t>
  </si>
  <si>
    <t>Contingent Policy premium</t>
  </si>
  <si>
    <t>Converge Technology Solutions US, LLC</t>
  </si>
  <si>
    <t>Cross Sales- Singapore</t>
  </si>
  <si>
    <t>FOSSHW0201 FG-60F-HW-APP_x000D_
FG-60F</t>
  </si>
  <si>
    <t>FOSSSW0089 FC-10-0060F-950-02-12 SUPPORT</t>
  </si>
  <si>
    <t>Gratuity Payable</t>
  </si>
  <si>
    <t>ICICI LOMBARD GENERAL INSURANCE CO LTD -Creditor</t>
  </si>
  <si>
    <t>IGST 18% - F.Y. 2025-26</t>
  </si>
  <si>
    <t>JELLYBEAN SPARES AND PERIPHERALS LLP</t>
  </si>
  <si>
    <t>Kapil Jain</t>
  </si>
  <si>
    <t>LWF Employer Contribution</t>
  </si>
  <si>
    <t>LWF Payable</t>
  </si>
  <si>
    <t>Meridian IT (India) Private Limited - Telangana</t>
  </si>
  <si>
    <t>Meridian IT UK-Cr</t>
  </si>
  <si>
    <t>PPC Technologies India Private Limited</t>
  </si>
  <si>
    <t>Portescap India Pvt. Ltd. (DC Motors)</t>
  </si>
  <si>
    <t>Purchase - Meridian IT Australia</t>
  </si>
  <si>
    <t xml:space="preserve">RAMAKRISHNA CHINTAKINDI_x000D_
</t>
  </si>
  <si>
    <t>RAMAKRISHNA CHINTAKINDI - Salary</t>
  </si>
  <si>
    <t>SGST-9%- FY 25-26</t>
  </si>
  <si>
    <t>SGST-FY 25-26- 2.5%</t>
  </si>
  <si>
    <t>SHIRISHA KATAM -Salary</t>
  </si>
  <si>
    <t>SMC CORPORATION</t>
  </si>
  <si>
    <t>SMC CORPORATION(INDIA) PRIVATE LIMITED</t>
  </si>
  <si>
    <t xml:space="preserve">SREEVANI MUKKARIGARIS_x000D_
</t>
  </si>
  <si>
    <t>SREEVANI MUKKARIGARIS -Salary</t>
  </si>
  <si>
    <t xml:space="preserve">SUKANYA PANGALA_x000D_
</t>
  </si>
  <si>
    <t>SUKANYA PANGALA - Salary</t>
  </si>
  <si>
    <t>Salary</t>
  </si>
  <si>
    <t>Sandeep Kade</t>
  </si>
  <si>
    <t>Seema Mahalingam</t>
  </si>
  <si>
    <t>Shop Act Renewal</t>
  </si>
  <si>
    <t>Singapore InvestCorp (India) Private Limited</t>
  </si>
  <si>
    <t>TATA TELESERVICES (MAHARASHTRA) LTD</t>
  </si>
  <si>
    <t>TDS Receivable F. Y. 2024-25</t>
  </si>
  <si>
    <t>TDS U/s 192 (Salary)</t>
  </si>
  <si>
    <t>TDS U/s 194C</t>
  </si>
  <si>
    <t>TDS U/s 194I</t>
  </si>
  <si>
    <t>TDS on Goods F.Y. 2024-25</t>
  </si>
  <si>
    <t>TDS on Rent FY 2025-26</t>
  </si>
  <si>
    <t>Tds U/s 194 J(Professional)</t>
  </si>
  <si>
    <t>Tds U/s 194Q (Goods)</t>
  </si>
  <si>
    <t>Tds U/s 195 (Imports)</t>
  </si>
  <si>
    <t xml:space="preserve">VINAY KUMAR NETTEM_x000D_
</t>
  </si>
  <si>
    <t>VINAY KUMAR NETTEM - Salary</t>
  </si>
  <si>
    <t>Valmet Flow Control Private Limited</t>
  </si>
  <si>
    <t>Vibrant IT Solutions</t>
  </si>
  <si>
    <t>Watson &amp; Chalin India Private Limited</t>
  </si>
  <si>
    <t>Zycus Infotech Private Limited</t>
  </si>
  <si>
    <t>Meridian IT (India) Private Limited</t>
  </si>
  <si>
    <t xml:space="preserve">Accrual - Transfer Pricing Services
</t>
  </si>
  <si>
    <t xml:space="preserve">Provision for Depreciation
</t>
  </si>
  <si>
    <t>Rent Equalisation Reserve</t>
  </si>
  <si>
    <t xml:space="preserve">Prepaid Rent
</t>
  </si>
  <si>
    <t xml:space="preserve">Perfect Consultancy
</t>
  </si>
  <si>
    <t>Meridian IT Asia Pacific Pty Ltd</t>
  </si>
  <si>
    <t>Merex Technology Inc</t>
  </si>
  <si>
    <t>Meridian IT Solutions PTE Ltd (Singapore)</t>
  </si>
  <si>
    <t>Meridian IT Ltd UK</t>
  </si>
  <si>
    <t>Meridian Group International Inc. (USA)</t>
  </si>
  <si>
    <t>Concat AG IT Solutions (Germany)</t>
  </si>
  <si>
    <t>Meridian Leasing Corporation (USA)</t>
  </si>
  <si>
    <t>Sale of Traded Goods</t>
  </si>
  <si>
    <t xml:space="preserve">Sale of services </t>
  </si>
  <si>
    <t>Meridian IT (Inda) Private Limited</t>
  </si>
  <si>
    <t>Audit for the period 1st April 2024 to 31st March 2025</t>
  </si>
  <si>
    <t>Deferred Tax Calculation</t>
  </si>
  <si>
    <t>Amt. as on 31st March 2025</t>
  </si>
  <si>
    <t>Amt. as on 31st March 2024</t>
  </si>
  <si>
    <t>Property Plant and Equipment</t>
  </si>
  <si>
    <t xml:space="preserve"> a.  WDV as on 31st March, 2025 as per Income Tax Act, 1961</t>
  </si>
  <si>
    <t xml:space="preserve"> b.  WDV as on 31st March, 2025 as per Companies Tax Act, 2013</t>
  </si>
  <si>
    <t>Lease Equilization Reserve</t>
  </si>
  <si>
    <t>NA</t>
  </si>
  <si>
    <t>Tax Implication</t>
  </si>
  <si>
    <t>Tax Impact</t>
  </si>
  <si>
    <t>Total Deferred Tax Liability created during the year</t>
  </si>
  <si>
    <t>Tax Rate as per PY Financials</t>
  </si>
  <si>
    <t>Opening Balance of Deferred Tax Liability</t>
  </si>
  <si>
    <t>Basic earnings per share is computed by dividing the profit after tax (including the post tax effect of extraordinary items, if any) by the weighted average number of equity shares outstanding during the year.</t>
  </si>
  <si>
    <t xml:space="preserve"> It is preferable to provide details of the Company's normal operating cycle, even if such operating cycle is only for a duration of 12 months.</t>
  </si>
  <si>
    <t>Reimbursement</t>
  </si>
  <si>
    <t>Significant accounting policies</t>
  </si>
  <si>
    <t xml:space="preserve">Cash and cash equivalents </t>
  </si>
  <si>
    <t>Furniture and Fittings- 10 years</t>
  </si>
  <si>
    <t>Office Equipment- 5 years</t>
  </si>
  <si>
    <t>Software- 3 years</t>
  </si>
  <si>
    <t>Servers- 6 years</t>
  </si>
  <si>
    <t>Leave encashment does not form part of the retirement benefits to the employees therefore the same is not provided for.</t>
  </si>
  <si>
    <r>
      <t xml:space="preserve">Where the Company as a lessor leases assets under finance leases, such amounts are recognised as receivables at an amount equal to the net investment in the lease and the finance income is recognised based on a constant rate of return on the outstanding net investment.
Assets leased by the Company in its capacity as a lessee, where  substantially all the risks and rewards of ownership vest in the Company are classified as finance leases. Such leases are capitalised at the inception of the lease at the lower of the fair value and the present value of the minimum lease payments and a liability is created for an equivalent amount. Each lease rental paid is allocated between the liability and the interest cost so as to obtain a constant periodic rate of interest on the outstanding liability for each year.
Lease arrangements where the risks and rewards incidental to ownership of an asset substantially vest with the lessor are recognised as operating leases. Lease rentals under operating leases are recognised in the Statement of Profit and Loss </t>
    </r>
    <r>
      <rPr>
        <sz val="11"/>
        <color rgb="FFEE0000"/>
        <rFont val="Book Antiqua"/>
        <family val="1"/>
      </rPr>
      <t>on a straight-line basis</t>
    </r>
    <r>
      <rPr>
        <sz val="11"/>
        <rFont val="Book Antiqua"/>
        <family val="1"/>
      </rPr>
      <t xml:space="preserve"> </t>
    </r>
    <r>
      <rPr>
        <sz val="11"/>
        <color rgb="FFFF0000"/>
        <rFont val="Book Antiqua"/>
        <family val="1"/>
      </rPr>
      <t>over the lease term</t>
    </r>
    <r>
      <rPr>
        <sz val="11"/>
        <rFont val="Book Antiqua"/>
        <family val="1"/>
      </rPr>
      <t>.</t>
    </r>
  </si>
  <si>
    <t>Intangible assets are amortised over their estimated useful life on written down value method as follows:</t>
  </si>
  <si>
    <t xml:space="preserve">Deferred tax is recognised on timing differences, being the differences between the taxable income and the accounting income that originate in one period and are capable of reversal in one or more subsequent periods.  Deferred tax is measured using the tax rates and the tax laws enacted or substantively enacted as at the reporting date.   Deferred tax liabilities are recognised for all timing differences. Deferred tax assets are recognised for timing differences of items other than unabsorbed depreciation and carry forward losses only to the extent that reasonable certainty exists that sufficient future taxable income will be available against which these can be realised. However, if there are unabsorbed depreciation and carry forward of losses and items relating to capital losses, deferred tax assets are recognised only if there is virtual certainty supported by convincing evidence that there will be sufficient future taxable income available to realise the assets. Deferred tax assets and liabilities are offset if such items relate to taxes on income levied by the same governing tax laws and the Company has a legally enforceable right for such set off. Deferred tax assets are reviewed at each balance sheet date for their realisability. </t>
  </si>
  <si>
    <t>As the Company does not have any qualifying assets as defined under Accounting Standard (AS) 16 – Borrowing Costs, all borrowing costs are charged to the Statement of Profit and Loss in the period in which they are incurred</t>
  </si>
  <si>
    <t>Since there has been no indication of impairment based on the internal and external factors no impairment loss or gain has been recognized in the books.</t>
  </si>
  <si>
    <t>Insurance claims are accounted for on the basis of claims admitted to be admitted and to the extent that  the amount recoverable can be measured reliably and it is reasonable to expect ultimate collection.</t>
  </si>
  <si>
    <t>Balances for Fixed Assets for  FY 2024-25</t>
  </si>
  <si>
    <t>As per books data</t>
  </si>
  <si>
    <t>As per Books</t>
  </si>
  <si>
    <t>Category</t>
  </si>
  <si>
    <t>Sub-Category</t>
  </si>
  <si>
    <t>Acquisition Date</t>
  </si>
  <si>
    <t>Useful Life</t>
  </si>
  <si>
    <t>Last useful year for the asset</t>
  </si>
  <si>
    <t xml:space="preserve">No. of days </t>
  </si>
  <si>
    <t>Depreciation Rate</t>
  </si>
  <si>
    <t>Gross Block as on 31st March 2025</t>
  </si>
  <si>
    <t>Opening WDV as on 1st April 2024 as per Rrco Workings</t>
  </si>
  <si>
    <t>Depreciation for the year as per RRCo Workings</t>
  </si>
  <si>
    <t>Deletions</t>
  </si>
  <si>
    <t>Closing WDV as on 31st March 2025 as per RRCo Workings</t>
  </si>
  <si>
    <t>Closing WDV as per FAR prepared and received</t>
  </si>
  <si>
    <t>Difference in closing WDV b/w FAR and RRCo Workings</t>
  </si>
  <si>
    <t>Depreciation as per FAR (MIT)</t>
  </si>
  <si>
    <t>Difference in Depn for the year b/w FAR and RRCo Workings</t>
  </si>
  <si>
    <t>Remarks</t>
  </si>
  <si>
    <t>I.Tangible Asset</t>
  </si>
  <si>
    <t>Printer</t>
  </si>
  <si>
    <t>Laptop</t>
  </si>
  <si>
    <t>Dell XPS Laptop</t>
  </si>
  <si>
    <t>HP 240G7 ALC Laptop</t>
  </si>
  <si>
    <t>To be disposed off- write off entry to be passed-No closing WDV in PY Financials</t>
  </si>
  <si>
    <t>Done</t>
  </si>
  <si>
    <t>Dell Latitude - Laptop</t>
  </si>
  <si>
    <t>Dell Laptop</t>
  </si>
  <si>
    <t>Laptop Dell - 2</t>
  </si>
  <si>
    <t>Harddrive - calisto</t>
  </si>
  <si>
    <t>Samsung external monitor</t>
  </si>
  <si>
    <t>Samsung Curved Gaming Monitor</t>
  </si>
  <si>
    <t>Samsung Curved Gaming Monitor - 2</t>
  </si>
  <si>
    <t>Apple 16" MacBook Pro</t>
  </si>
  <si>
    <t>Lenovo Thinkpad L14</t>
  </si>
  <si>
    <t>Dell Latitude 3420 (Hemangi)</t>
  </si>
  <si>
    <t>Dell Latitude 5440</t>
  </si>
  <si>
    <t>Furniture &amp; Fittings</t>
  </si>
  <si>
    <t>Office furntiure (Sofa)</t>
  </si>
  <si>
    <t>Plant &amp; Machinery</t>
  </si>
  <si>
    <t>Mini Fridge &amp; Water Filter</t>
  </si>
  <si>
    <t>Office Equipment</t>
  </si>
  <si>
    <t>Edge gateway device</t>
  </si>
  <si>
    <t>workstation - backup</t>
  </si>
  <si>
    <t>Difference in Depn amount charged- useful life over-no depn to be charged</t>
  </si>
  <si>
    <t>office equipment</t>
  </si>
  <si>
    <t>Dell USB-C Mobile Adapter</t>
  </si>
  <si>
    <t>Dell USB-C Mobile Adapter - 2</t>
  </si>
  <si>
    <t>Difference in Depn amount charged-hard punched figure</t>
  </si>
  <si>
    <t>Inverter</t>
  </si>
  <si>
    <t>Seagate External Hard Drive</t>
  </si>
  <si>
    <t>Apple USB-C Multiport Adapter</t>
  </si>
  <si>
    <t>II. Intangible assets</t>
  </si>
  <si>
    <t>Softwares &amp; Servers</t>
  </si>
  <si>
    <t>Software- Tally</t>
  </si>
  <si>
    <t>Office - 365 Premium</t>
  </si>
  <si>
    <t>Office - 365 Premium - 2</t>
  </si>
  <si>
    <t>Office - 365 Premium - 3</t>
  </si>
  <si>
    <t>server life - 3Y</t>
  </si>
  <si>
    <t>Firewall</t>
  </si>
  <si>
    <t>Window Server Software License</t>
  </si>
  <si>
    <t>Note:</t>
  </si>
  <si>
    <t>First case- Assets acquired in PY having useful life beyond current years, second case- assets having acquired before the current but useful life ending in current year and last case- assets acquired during the year</t>
  </si>
  <si>
    <t>There is a difference of Rs.108 in the opening as per FAR 23-24  and Depn working for FY 23-24</t>
  </si>
  <si>
    <t>There is a difference of Rs.78 in the opening as per FAR 23-24  and Depn working for FY 23-24</t>
  </si>
  <si>
    <t>There is a difference of Rs.303 in the opening as per FAR 23-24  and Depn working for FY 23-24</t>
  </si>
  <si>
    <t>There is a difference of Rs.111 in the opening as per FAR 23-24  and Depn working for FY 23-24</t>
  </si>
  <si>
    <t>As At 31st March 2024</t>
  </si>
  <si>
    <t>As At 31st March 2025</t>
  </si>
  <si>
    <t>For the Year ended 31st March 2025</t>
  </si>
  <si>
    <t>For the Year ended 31st March 2024</t>
  </si>
  <si>
    <t>Unadjusted Forex Gain/Loss</t>
  </si>
  <si>
    <t>Figures of March 2024</t>
  </si>
  <si>
    <t>XYZ private Limited</t>
  </si>
  <si>
    <t xml:space="preserve">UDIN : </t>
  </si>
  <si>
    <t>M.No.135143W</t>
  </si>
  <si>
    <t>DIN :7331450</t>
  </si>
  <si>
    <t>DIN :123456</t>
  </si>
  <si>
    <t>Place : Pune</t>
  </si>
  <si>
    <t>Place : Hyderabad</t>
  </si>
  <si>
    <t>Date : 4 September 2024</t>
  </si>
  <si>
    <t>Date : 2 September 2024</t>
  </si>
  <si>
    <t>2</t>
  </si>
  <si>
    <t>Note 21 Earning per Share</t>
  </si>
  <si>
    <t>Balance Sheet As At 31st March 2023</t>
  </si>
  <si>
    <t>Meridian IT Asia Pacific Pty. Ltd.(Australia)</t>
  </si>
  <si>
    <t>Merex Technology Inc.</t>
  </si>
  <si>
    <t>Meridian IT Solutions Pte. Ltd. (Singapore)</t>
  </si>
  <si>
    <t>Meridian IT Pty. Ltd. (Australia)</t>
  </si>
  <si>
    <t>Meridian IT Inc. (USA)</t>
  </si>
  <si>
    <t>Meridian IT Limited (UK)</t>
  </si>
  <si>
    <t>Joseph Burgio</t>
  </si>
  <si>
    <t>Murali Krishna</t>
  </si>
  <si>
    <t>Related Party Disclosure</t>
  </si>
  <si>
    <t>Name of Related Parties &amp; Relationship</t>
  </si>
  <si>
    <t xml:space="preserve">A) </t>
  </si>
  <si>
    <t>Holding company/Enterprise holding Control/Ultimate Holding Company</t>
  </si>
  <si>
    <t>B)</t>
  </si>
  <si>
    <t>Fellow Subsidiary (where common control exist)</t>
  </si>
  <si>
    <t>i.</t>
  </si>
  <si>
    <t>ii.</t>
  </si>
  <si>
    <t>iii.</t>
  </si>
  <si>
    <t>iv.</t>
  </si>
  <si>
    <t>v.</t>
  </si>
  <si>
    <t>vi.</t>
  </si>
  <si>
    <t>C)</t>
  </si>
  <si>
    <t>Key Management Personnel</t>
  </si>
  <si>
    <t>Type of Relationship</t>
  </si>
  <si>
    <t>31st March 2025</t>
  </si>
  <si>
    <t>31st March 2024</t>
  </si>
  <si>
    <t>Nature of Contract</t>
  </si>
  <si>
    <t>Purchase of goods/ services</t>
  </si>
  <si>
    <t>B(ii)</t>
  </si>
  <si>
    <t>Meridian IT Solutions Pte. Ltd. (SG)</t>
  </si>
  <si>
    <t>B(i)</t>
  </si>
  <si>
    <t>MERIDIAN IT SINGAPORE</t>
  </si>
  <si>
    <t>B(iii)</t>
  </si>
  <si>
    <t>B(vi)</t>
  </si>
  <si>
    <t>Cross Sales Commission :-</t>
  </si>
  <si>
    <t>B(iv)</t>
  </si>
  <si>
    <t>Sale of Goods/Services</t>
  </si>
  <si>
    <t>B(v)</t>
  </si>
  <si>
    <t>Global Recharge (Reimbursement)</t>
  </si>
  <si>
    <t>Meridian IT Inc U.S.</t>
  </si>
  <si>
    <t>Key Management personnel</t>
  </si>
  <si>
    <t>Director Remuneration</t>
  </si>
  <si>
    <t>C(ii)</t>
  </si>
  <si>
    <t xml:space="preserve">    - Salary  </t>
  </si>
  <si>
    <t xml:space="preserve">   - Gratuity contribution to fund with LIC</t>
  </si>
  <si>
    <t>Expenditure in Foreign Currency</t>
  </si>
  <si>
    <t>Earnings in Foreign Currency</t>
  </si>
  <si>
    <t>FY 24-25</t>
  </si>
  <si>
    <t>FY 23-24</t>
  </si>
  <si>
    <t>There has been approved scheme of arrangements for the FY 24-25.</t>
  </si>
  <si>
    <t>Ultimate Holding Companies</t>
  </si>
  <si>
    <t xml:space="preserve">(e) Current investments considered as part of Cash and cash equivalents </t>
  </si>
  <si>
    <t>For the year ended 
31 March, 2025</t>
  </si>
  <si>
    <t>For the year ended 
31 March, 2024</t>
  </si>
  <si>
    <t>check grouping with siddhant for grouping of provision for income tax in current year</t>
  </si>
  <si>
    <t xml:space="preserve">(a) Sale of products </t>
  </si>
  <si>
    <t>pending-confirm if the payment to auditors will be shown in trade payables or other expenses</t>
  </si>
  <si>
    <t>(a) Claims against the Company not acknowledged as debt</t>
  </si>
  <si>
    <t>MVAT demand for F.Y. 2015-16</t>
  </si>
  <si>
    <t>CST Demand for F.Y. 2015-16</t>
  </si>
  <si>
    <t>Income tax Demand F.Y. 2020-21</t>
  </si>
  <si>
    <t>Notes annexed to &amp; forming part of accounts as at 31st March, 2024</t>
  </si>
  <si>
    <t>Note No. 24 "OTHER NOTES TO FINANCIAL STATEMENTS"</t>
  </si>
  <si>
    <t>Claim Against the Company not acknowledged as debt/disputed by the company</t>
  </si>
  <si>
    <t>Do we need to include GST Demand under contingent liability</t>
  </si>
  <si>
    <t xml:space="preserve">Deferred Tax </t>
  </si>
  <si>
    <t>Deferred Tax Assets opening Balance</t>
  </si>
  <si>
    <t>Add : Deferred Tax Asset/(Liability) created for the year</t>
  </si>
  <si>
    <t>Deferred Tax Assets/(Liability) Closing Balance</t>
  </si>
  <si>
    <t>C</t>
  </si>
  <si>
    <t>A) Holding company/Enterprise holding Control/Ultimate Holding Company</t>
  </si>
  <si>
    <t>B) Fellow Subsidiary (where common control exist)</t>
  </si>
  <si>
    <t>C) Key Management Personnel</t>
  </si>
  <si>
    <t>Transactions with Related Parties</t>
  </si>
  <si>
    <t>D</t>
  </si>
  <si>
    <t>Transactions in Foreign Exchange</t>
  </si>
  <si>
    <t>Foreign Exchange Earning</t>
  </si>
  <si>
    <t>Sale of  Goods &amp; Services</t>
  </si>
  <si>
    <t>Foreign Exchange Expenses</t>
  </si>
  <si>
    <t>Purchase of Goods and services/Commission</t>
  </si>
  <si>
    <t>E</t>
  </si>
  <si>
    <t>Earning Per Share</t>
  </si>
  <si>
    <t>Net Profit/(Loss) as per Profit and Loss A/c</t>
  </si>
  <si>
    <t>Weighted average number of equity shares outstanding during the year in calculating basic EPS</t>
  </si>
  <si>
    <t>Nominal value of shares</t>
  </si>
  <si>
    <t>F</t>
  </si>
  <si>
    <t xml:space="preserve">Auditor's remuneration </t>
  </si>
  <si>
    <t>Statutory Audit fees</t>
  </si>
  <si>
    <t>Other Audits/matter fees</t>
  </si>
  <si>
    <t>G</t>
  </si>
  <si>
    <t xml:space="preserve">Disclosures relating to post employment benefits </t>
  </si>
  <si>
    <t>In accordance with Accounting Standard 15 – ‘ Employee Benefits ' (Revised), The Company has classified the various post employee benefits provided to the employees as under:</t>
  </si>
  <si>
    <t>I. Defined benefit plans</t>
  </si>
  <si>
    <t>A. Gratuity Fund</t>
  </si>
  <si>
    <t xml:space="preserve">Change in present value of Projected Benefit Obligation </t>
  </si>
  <si>
    <t>Present value of Benefit Obligation at the beginning of the period</t>
  </si>
  <si>
    <t>Interest Cost</t>
  </si>
  <si>
    <t>Current Service Cost</t>
  </si>
  <si>
    <t>Past Service Cost</t>
  </si>
  <si>
    <t>Liability transferred in/ acquisitions</t>
  </si>
  <si>
    <t>( Liability transferred out/ divestments)</t>
  </si>
  <si>
    <t>(Gains)/ Losses on curtailment</t>
  </si>
  <si>
    <t>( Liabilities Extinguished on settlement</t>
  </si>
  <si>
    <t>( Benefit paid directly by the employer )</t>
  </si>
  <si>
    <t>( Benefit paid from the fund )</t>
  </si>
  <si>
    <t>The effect of changes in Foreign Exchange Rates</t>
  </si>
  <si>
    <t>Actuarial (Gains)/ Losses on Obligation- Due to change in Demographic Assumptions</t>
  </si>
  <si>
    <t>Actuarial (Gains)/ Losses on Obligation- Due to change in Financial Assumptions</t>
  </si>
  <si>
    <t>Actuarial (Gains)/ Losses on Obligation- Due to Experience</t>
  </si>
  <si>
    <t>Present value of Benefit Obligation at the end of the period</t>
  </si>
  <si>
    <t>Change in Fair value of Plan Assets</t>
  </si>
  <si>
    <t>Fair value of Plan Assets at the beginning of the period</t>
  </si>
  <si>
    <t>Expected Return on Plan Assets</t>
  </si>
  <si>
    <t>Contributions by the Employer</t>
  </si>
  <si>
    <t>Expected Contributions by the Employees</t>
  </si>
  <si>
    <t>Assets transferred in/ acquisitions</t>
  </si>
  <si>
    <t>( Assets transferred out/ divestments)</t>
  </si>
  <si>
    <t>( Assets Distributed on Settlement)</t>
  </si>
  <si>
    <t>Effects of Asset Ceiling</t>
  </si>
  <si>
    <t>Actuarial Gains/ (Losses) on Obligation- Due to Experience</t>
  </si>
  <si>
    <t>Fair value of Plan Assets at the end of the period</t>
  </si>
  <si>
    <t>Amount Recognized in Balance Sheet</t>
  </si>
  <si>
    <t>( Present value of Benefit Obligation at the end of the period)</t>
  </si>
  <si>
    <t>Funded Status ( Surplus/ (Deficit) )</t>
  </si>
  <si>
    <t>Unrecognized Past Service Cost at the end of the period</t>
  </si>
  <si>
    <t>Net ( Liability)/ Asset Recognized in the Balance Sheet</t>
  </si>
  <si>
    <t>Expenses recognized in the Statement of Profit &amp; Loss</t>
  </si>
  <si>
    <t>Net Interest Cost</t>
  </si>
  <si>
    <t>Actuarial ( Gain)/ Loss</t>
  </si>
  <si>
    <t>( Expected Contributions by the Employees)</t>
  </si>
  <si>
    <t>(Gains)/ Losses on curtailment and settlements</t>
  </si>
  <si>
    <t>Net effect of changes in Foreign Exchange Rates</t>
  </si>
  <si>
    <t>Change in Asset ceiling</t>
  </si>
  <si>
    <t>Expected return on Plan Assets</t>
  </si>
  <si>
    <t>Rate of discounting</t>
  </si>
  <si>
    <t>Rate of salary increase</t>
  </si>
  <si>
    <t>Mortality Rate during employment</t>
  </si>
  <si>
    <t>Sensitivity Analysis</t>
  </si>
  <si>
    <t>Projected Benefit Obligation on Current Assumptions</t>
  </si>
  <si>
    <t>Delta Effect of +1% Change in Rate of Discounting</t>
  </si>
  <si>
    <t>Delta Effect of -1% Change in Rate of Discounting</t>
  </si>
  <si>
    <t>Delta Effect of +1% Change in Rate of Salary Increase</t>
  </si>
  <si>
    <t>Delta Effect of -1% Change in Rate of Salary Increase</t>
  </si>
  <si>
    <t>Delta Effect of +1% Change in Rate of Withdrawal</t>
  </si>
  <si>
    <t>Delta Effect of -1% Change in Rate of Withdrawal</t>
  </si>
  <si>
    <t>H</t>
  </si>
  <si>
    <t>The company has complied with the Accounting Standard as applicable to Small and Medium Sized Company as prescribed under Rule 7 of Companies (Accounts) Rules, 2014. Accordingly, the company has complied with the Accounting Standard as applicable to Small and Medium Sized Company.</t>
  </si>
  <si>
    <t>I</t>
  </si>
  <si>
    <t>As at the year end, no amount fall due for credit to the Investors Education and Protection Fund as stated under sub section (2) of Section 205C of the Companies Act, 2013.</t>
  </si>
  <si>
    <t>J</t>
  </si>
  <si>
    <t xml:space="preserve">Under the head  “Current liabilities and Trades Payable, separate disclosure is made for outstanding amounts due to Micro, Small &amp; Medium Enterprises based on the information received from the respective Parties. </t>
  </si>
  <si>
    <t>K</t>
  </si>
  <si>
    <t xml:space="preserve">For the purpose of classifying the assets and liabilities as current &amp; non-current, the duration of operating cycle is taken as 12 months. </t>
  </si>
  <si>
    <t>L</t>
  </si>
  <si>
    <t>The Trade Receivables, Trade Payables &amp; Loans &amp; Advances are subject to confirmation by the parties. In the opinion of the Board, the Current Assets are approximate of the value stated if realised in the ordinary course of business.</t>
  </si>
  <si>
    <t>M</t>
  </si>
  <si>
    <t>Dues of small enterprises &amp; Micro enterprises:</t>
  </si>
  <si>
    <t>The disclosure pursuant to Micro, small &amp; medium enterprises Development Act, 2006, (MSMED Act) for dues to micro enterprises &amp; small enterprises as on March 31, 2024 &amp; 2023 is as under:</t>
  </si>
  <si>
    <t>Dues remaining unpaid to any supplier</t>
  </si>
  <si>
    <t>Interest on the above</t>
  </si>
  <si>
    <t>The amount of interest paid by the buyer in terms of section 16, along with the amounts of the payment made to the supplier beyond the appointed day during each accounting year;</t>
  </si>
  <si>
    <t xml:space="preserve">The amount of interest due and payable for the period of delay in making payment (which have been paid but beyond the appointed day during the year) but without adding the interest specified under this Act; </t>
  </si>
  <si>
    <t>The amount of interest accrued and remaining unpaid at the end of each accounting year; and</t>
  </si>
  <si>
    <t>The amount of further interest remaining due and payable even in the succeeding years, until such date when the interest dues as above are actually paid to the small enterprise, for the purpose of dis allowance as a deductible expenditure under section 23.</t>
  </si>
  <si>
    <t>N</t>
  </si>
  <si>
    <t>Previous year's figures have been regrouped where necessary to conform this year's classification.</t>
  </si>
  <si>
    <t>As Per Our Report of Even Date</t>
  </si>
  <si>
    <t>For and On Behalf of the Board</t>
  </si>
  <si>
    <t>For N. P. Dharamshi &amp; Co..</t>
  </si>
  <si>
    <t>For MERIDIAN IT ( INDIA) PRIVATE LIMITED</t>
  </si>
  <si>
    <t>CHARTERED ACCOUNTANTS</t>
  </si>
  <si>
    <t>Firm Regn.No. 130845W</t>
  </si>
  <si>
    <t>(NEETA P. DHARAMSHI)</t>
  </si>
  <si>
    <t>JOSEPH BURGIO</t>
  </si>
  <si>
    <t>MURALI KRISHNA</t>
  </si>
  <si>
    <t>PROPRIETOR</t>
  </si>
  <si>
    <t>DIRECTOR</t>
  </si>
  <si>
    <t>Membership No. 049113</t>
  </si>
  <si>
    <t>DIN: 08701175</t>
  </si>
  <si>
    <t>DIN: 09608983</t>
  </si>
  <si>
    <t>Place: Mumbai</t>
  </si>
  <si>
    <t>Place: Australia</t>
  </si>
  <si>
    <t>Date: 05th Sept, 2024</t>
  </si>
  <si>
    <t>Date: 02nd Sept, 2024</t>
  </si>
  <si>
    <t>Date: 04th Sept, 2024</t>
  </si>
  <si>
    <t>Mortality</t>
  </si>
  <si>
    <t xml:space="preserve">Meridian IT (India) Private Limited ('the Company') is a private limited company incorporated on 9th September 2014 and has its registered office at Sigma Building , Hiranandani Business Park, OFF A S Road,Powai, Mumbai-400076. The Company is principally engaged in the business of trading in IT Product and in providing IT services. </t>
  </si>
  <si>
    <t xml:space="preserve">The preparation of the financial statements in conformity with  Indian GAAP  requires the Management to make estimates and assumptions considered in the reported amounts of assets and liabilities (including contingent liabilities) and the reported income and expenses during the year.  The Management believes that the estimates used in preparation of the financial statements are prudent and reasonable.
Actual results may differ from these estimates. Estimates and underlying assumptions are reviewed on an ongoing basis. Revisions to accounting estimates are recognized in the financial statements in the period in which the estimate is revised, and if material, their effects are disclosed in the notes to financial statements.
 </t>
  </si>
  <si>
    <t>Details of leasing agreement</t>
  </si>
  <si>
    <t>The Company has enter into operating lease arrangements for office premises.</t>
  </si>
  <si>
    <r>
      <t xml:space="preserve">The leases are non-cancellable and are for a period of 36 months for </t>
    </r>
    <r>
      <rPr>
        <b/>
        <sz val="11"/>
        <color theme="1"/>
        <rFont val="Book Antiqua"/>
        <family val="1"/>
      </rPr>
      <t>Mumbai</t>
    </r>
    <r>
      <rPr>
        <sz val="11"/>
        <color theme="1"/>
        <rFont val="Book Antiqua"/>
        <family val="1"/>
      </rPr>
      <t xml:space="preserve"> location.</t>
    </r>
  </si>
  <si>
    <t>The lease agreements provide for an increase in the monthly lease payments by 7.5% every year.</t>
  </si>
  <si>
    <r>
      <t xml:space="preserve">The leases are non-cancellable and are for a period of 24 months for </t>
    </r>
    <r>
      <rPr>
        <b/>
        <sz val="11"/>
        <color theme="1"/>
        <rFont val="Book Antiqua"/>
        <family val="1"/>
      </rPr>
      <t>Hyderabad</t>
    </r>
    <r>
      <rPr>
        <sz val="11"/>
        <color theme="1"/>
        <rFont val="Book Antiqua"/>
        <family val="1"/>
      </rPr>
      <t xml:space="preserve"> location.</t>
    </r>
  </si>
  <si>
    <t>The lease agreements provide for an increase in the monthly lease payments by 5.0% every year.</t>
  </si>
  <si>
    <t>For the year ended 31 March, 2025</t>
  </si>
  <si>
    <t>Future minimum lease payments</t>
  </si>
  <si>
    <t>Lease payments recognised in Statement of Profit &amp; Loss</t>
  </si>
  <si>
    <t>IALM(2012-14) ult</t>
  </si>
  <si>
    <t>2024-25</t>
  </si>
  <si>
    <t>2023-24</t>
  </si>
  <si>
    <t>Balances written back</t>
  </si>
  <si>
    <t>OI11</t>
  </si>
  <si>
    <t>Interest Income</t>
  </si>
  <si>
    <t>Cost of Services Rendered</t>
  </si>
  <si>
    <t>OE50</t>
  </si>
  <si>
    <t>This is amount for MITUS-Recharge and not grouped under employee benefit expenses for last year but this I have grouped it here?</t>
  </si>
  <si>
    <t>This is amount for staff welfare expenses and not grouped under employee benefit expenses for last year but this I have grouped it here?</t>
  </si>
  <si>
    <t>Internet Expenses</t>
  </si>
  <si>
    <t>OE51</t>
  </si>
  <si>
    <t>OE52</t>
  </si>
  <si>
    <t>OE55</t>
  </si>
  <si>
    <t>OE56</t>
  </si>
  <si>
    <t>Utilities (Electricity)</t>
  </si>
  <si>
    <t>OE57</t>
  </si>
  <si>
    <t>OE60</t>
  </si>
  <si>
    <t>OE62</t>
  </si>
  <si>
    <t>OE63</t>
  </si>
  <si>
    <t>Balance Written-Off</t>
  </si>
  <si>
    <t>OE65</t>
  </si>
  <si>
    <t>Courier Charges</t>
  </si>
  <si>
    <t>OE66</t>
  </si>
  <si>
    <t>Membership and Subscriptions</t>
  </si>
  <si>
    <t>OE67</t>
  </si>
  <si>
    <t>Security Expenses</t>
  </si>
  <si>
    <t>OE70</t>
  </si>
  <si>
    <t>OE75</t>
  </si>
  <si>
    <t>-Provision for Bonus</t>
  </si>
  <si>
    <t>OCL45</t>
  </si>
  <si>
    <t>s</t>
  </si>
  <si>
    <t>Details of leasing arrangements</t>
  </si>
  <si>
    <t>Note 22 Disclosures under Accounting Standards (contd.)</t>
  </si>
  <si>
    <t>For the year ended 
31  March, 2024</t>
  </si>
  <si>
    <t>For the year ended 
31  March, 2025</t>
  </si>
  <si>
    <r>
      <t xml:space="preserve">The Company has enter into operating lease arrangements for office premises.The leases are non-cancellable and are for a period of 36 months for </t>
    </r>
    <r>
      <rPr>
        <b/>
        <sz val="11"/>
        <rFont val="Book Antiqua"/>
        <family val="1"/>
      </rPr>
      <t>Mumbai</t>
    </r>
    <r>
      <rPr>
        <sz val="11"/>
        <rFont val="Book Antiqua"/>
        <family val="1"/>
      </rPr>
      <t xml:space="preserve"> location.The lease agreements provide for an increase in the monthly lease payments by 7.5% every year.</t>
    </r>
  </si>
  <si>
    <r>
      <t xml:space="preserve">The leases are non-cancellable and are for a period of 24 months for </t>
    </r>
    <r>
      <rPr>
        <b/>
        <sz val="11"/>
        <rFont val="Book Antiqua"/>
        <family val="1"/>
      </rPr>
      <t>Hyderabad</t>
    </r>
    <r>
      <rPr>
        <sz val="11"/>
        <rFont val="Book Antiqua"/>
        <family val="1"/>
      </rPr>
      <t xml:space="preserve"> location..The lease agreements provide for an increase in the monthly lease payments by 5.0% every year.</t>
    </r>
  </si>
  <si>
    <t>The Company does not have any such immovable property.</t>
  </si>
  <si>
    <t>The Company has not done revaluation of any Property, Plant and Equipment during the year.</t>
  </si>
  <si>
    <t>The Company has not granted any loan to promoters, directors, KMP's and related parties.</t>
  </si>
  <si>
    <t>The Company does not have any Capital work-in-progress as on year end.</t>
  </si>
  <si>
    <t>The Company does not have any intangible assets under development</t>
  </si>
  <si>
    <t>The Company does not have any borrowings on the security of current assets.</t>
  </si>
  <si>
    <t>The Company does not have relation with any Struck off Companies.</t>
  </si>
  <si>
    <t>There is has been no utilization of borrowed funds and share premium for the year ended 31st March 2025.</t>
  </si>
  <si>
    <t>The Company does not have any pending registraion or satisfaction of charges for the year ended 31st March 2025.</t>
  </si>
  <si>
    <t>The Company has not been declared Wilful Defaulter by any bank or financial institution during the year
 ended 31st March, 2025.</t>
  </si>
  <si>
    <t>The Company does not hold any Benami Property as at the year ended 31st March, 2025.</t>
  </si>
  <si>
    <t>The Company does not have any undisclosed income for the year ended 31st March, 2025.</t>
  </si>
  <si>
    <t>Corporate Social Responsibility is not applicable to the company for the year ended 31st March 2025.</t>
  </si>
  <si>
    <t>The Company has not traded or invested in Crypto currency or Virtual Currency during the year ended 31st March 2025.</t>
  </si>
  <si>
    <t xml:space="preserve">Contingent liabilities and commitments </t>
  </si>
  <si>
    <t xml:space="preserve">Profit / (Loss) from discontinuing operations </t>
  </si>
  <si>
    <t>CIN: *********</t>
  </si>
  <si>
    <t>Balance Sheet As At 31st March 2024</t>
  </si>
  <si>
    <t>The Company offers the following employee benefit schemes to its employees:</t>
  </si>
  <si>
    <t>Meridian IT Singapore</t>
  </si>
  <si>
    <t>Respective Foreign Party</t>
  </si>
  <si>
    <t>Receivable/Payable</t>
  </si>
  <si>
    <t>Closing balance after effect of forex</t>
  </si>
  <si>
    <t>Amount to be reported in financials</t>
  </si>
  <si>
    <t>Receivable</t>
  </si>
  <si>
    <t>Payable</t>
  </si>
  <si>
    <t>Closing Balance as per Tally</t>
  </si>
  <si>
    <t>done</t>
  </si>
  <si>
    <t>Balance written back includes both Mastercard and TCS balances written back</t>
  </si>
  <si>
    <t xml:space="preserve">Office Furniture
</t>
  </si>
  <si>
    <t xml:space="preserve">Apple USB-C Multiport Adapter
</t>
  </si>
  <si>
    <t xml:space="preserve">Dell USB-C Mobile Adapter - 2
</t>
  </si>
  <si>
    <t xml:space="preserve">Inverter
</t>
  </si>
  <si>
    <t xml:space="preserve">Seagate External Hard Drive
</t>
  </si>
  <si>
    <t>Additional entries</t>
  </si>
  <si>
    <t xml:space="preserve">Accrued Interest(Kotak FD)
</t>
  </si>
  <si>
    <t>As per Tally TB</t>
  </si>
  <si>
    <t xml:space="preserve">Commission Local Accrual
</t>
  </si>
  <si>
    <t xml:space="preserve">Computer Software
</t>
  </si>
  <si>
    <t xml:space="preserve">Cross Sale - USA- Meridian IT INC
</t>
  </si>
  <si>
    <t xml:space="preserve">Deferred Tax Asset(B/S)
</t>
  </si>
  <si>
    <t>TB as per Financials</t>
  </si>
  <si>
    <t xml:space="preserve">DELL USB-C Mobile Adapter
</t>
  </si>
  <si>
    <t xml:space="preserve">Dell XPS 13 Laptop
</t>
  </si>
  <si>
    <t xml:space="preserve">Deposit for Sigma Office
</t>
  </si>
  <si>
    <t xml:space="preserve">Hard Drive - Calisto
</t>
  </si>
  <si>
    <t>IGST 18% - FY 2024-25</t>
  </si>
  <si>
    <t xml:space="preserve">Laptop Dell - 2
</t>
  </si>
  <si>
    <t xml:space="preserve">Laptop-Dell
</t>
  </si>
  <si>
    <t xml:space="preserve">Laptops
</t>
  </si>
  <si>
    <t xml:space="preserve">LENOVO THINKPAD L14 - Leonilda
</t>
  </si>
  <si>
    <t xml:space="preserve">LENOVO THINKPAD L14 - Sanjay Yadav
</t>
  </si>
  <si>
    <t xml:space="preserve">N. P. Dharamshi &amp; Co
</t>
  </si>
  <si>
    <t xml:space="preserve">Office Eqp - Edge Gateway Payment
</t>
  </si>
  <si>
    <t xml:space="preserve">Office Equipment
</t>
  </si>
  <si>
    <t xml:space="preserve">Other Professional Services
</t>
  </si>
  <si>
    <t xml:space="preserve">Prepaid Rent Office (Madhavi H M)
</t>
  </si>
  <si>
    <t xml:space="preserve">Printer
</t>
  </si>
  <si>
    <t xml:space="preserve">Samsung Curved Gaming Monitor
</t>
  </si>
  <si>
    <t xml:space="preserve">Samsung Curved Gaming Monitor - 2
</t>
  </si>
  <si>
    <t xml:space="preserve">Samsung External Monitor
</t>
  </si>
  <si>
    <t>SGST- 9% - F. Y. 2024-25</t>
  </si>
  <si>
    <t>TDS ON RENT F. Y. 2024-25</t>
  </si>
  <si>
    <t>Net Balance as per Financials</t>
  </si>
  <si>
    <t xml:space="preserve">TCS Liability - F. Y. 2020-21
</t>
  </si>
  <si>
    <t>Amt as per TB</t>
  </si>
  <si>
    <t>Row Labels</t>
  </si>
  <si>
    <t>Grand Total</t>
  </si>
  <si>
    <t>Sum of Additional entries</t>
  </si>
  <si>
    <t>Net Balance</t>
  </si>
  <si>
    <t>Meridian IT(India) Private Limited</t>
  </si>
  <si>
    <t>Trial Balance for the FY 24-25</t>
  </si>
  <si>
    <t>Profit and Loss as per TB</t>
  </si>
  <si>
    <t>Deferred TDS FY 2025-26</t>
  </si>
  <si>
    <t>Deferred Sales FY 2025-26</t>
  </si>
  <si>
    <t>Deferred Sales FY 2026-27</t>
  </si>
  <si>
    <t>Deferred Sales FY 2027-28</t>
  </si>
  <si>
    <t>Deferred Cost</t>
  </si>
  <si>
    <t>OT005</t>
  </si>
  <si>
    <t>directly routed through notes</t>
  </si>
  <si>
    <t xml:space="preserve">Revenue from sale of goods and services is recognized upon the completion of delivery or rendering of services and the raising of invoices, provided it is probable that the economic benefits will flow to the Company and the revenue can be reliably measured. Sales are recorded exclusive of applicable taxes. </t>
  </si>
  <si>
    <t>Amount in Rs ' 00</t>
  </si>
  <si>
    <t xml:space="preserve">Deferred Tax Income </t>
  </si>
  <si>
    <t>Unearned Revenue</t>
  </si>
  <si>
    <t>OCL550</t>
  </si>
  <si>
    <t>Deferred Tax Expense FY 24-25</t>
  </si>
  <si>
    <t>routed directly</t>
  </si>
  <si>
    <t>Prepaid Expenses-Insurance</t>
  </si>
  <si>
    <t>OK</t>
  </si>
  <si>
    <t>ok</t>
  </si>
  <si>
    <t>Mastercard Technology Private Limited</t>
  </si>
  <si>
    <t>Gsk India Global Services Private Limited</t>
  </si>
  <si>
    <t xml:space="preserve">Office Internet - Hyderabad
</t>
  </si>
  <si>
    <t>Base TB everywhere name should be according to this</t>
  </si>
  <si>
    <t>Provision for Gratuity</t>
  </si>
  <si>
    <t>Provision for Income Tax (Mumbai Branch)</t>
  </si>
  <si>
    <t>Provision for Income Tax (Hyd Branch)</t>
  </si>
  <si>
    <t>New ledger to be created in tally</t>
  </si>
  <si>
    <t>MUM</t>
  </si>
  <si>
    <t>HYD</t>
  </si>
  <si>
    <t>Being Prepaid expense booking calculation changed</t>
  </si>
  <si>
    <t>Being settlement of NPS Liability account</t>
  </si>
  <si>
    <t>Being excess provsion of PY consultant reversed</t>
  </si>
  <si>
    <t>Being account settled as the person was left on 31st Dec. 2022</t>
  </si>
  <si>
    <t>Being policy refund to be consider as other income</t>
  </si>
  <si>
    <t>Being NPD 24-25/120 that is for TA/TP &amp; 3CB for which prov was booked as audit remuneration, however this year it was classified into professional fees</t>
  </si>
  <si>
    <t>Being Depreciation charged in books to be reduced by respective amount</t>
  </si>
  <si>
    <t>Being additional expense to be booked for rent equalisation reserve</t>
  </si>
  <si>
    <t>Being expense of subsequent period classified to asset from expense</t>
  </si>
  <si>
    <t>Being rectification entry passed</t>
  </si>
  <si>
    <t>Being income tax refund taken to other income</t>
  </si>
  <si>
    <t>Being Vandana J - CS professional fees invoice to be adjusted</t>
  </si>
  <si>
    <t xml:space="preserve">Being expensed to be booked in excess of provision for  MITI-02/2024-25 </t>
  </si>
  <si>
    <t xml:space="preserve">Being invoices  MITI-03/2024-25  MITI-04/2024-25  MITI-05/2024-25 to be booked </t>
  </si>
  <si>
    <t xml:space="preserve">Being provision reversed  MITI-02/2024-25 </t>
  </si>
  <si>
    <t>Being tds booking made MITIHYD-02/2024-25</t>
  </si>
  <si>
    <t>Being provision reversed for 2024-25/MIPLHYD-102</t>
  </si>
  <si>
    <t>Being provision reversed excess</t>
  </si>
  <si>
    <t xml:space="preserve">Being provision reversed </t>
  </si>
  <si>
    <t>Being rectification entry passed for the provision reversed agianst invoice 2023-24/MIPL-105</t>
  </si>
  <si>
    <t xml:space="preserve">Being rectification entry passed for the provision reversed agianst invoice </t>
  </si>
  <si>
    <t>Transfer Entries</t>
  </si>
  <si>
    <t>Being health insurance refund taken to other income</t>
  </si>
  <si>
    <t>Being health insurance expense reversed</t>
  </si>
  <si>
    <t>Being GST credit deferred</t>
  </si>
  <si>
    <t xml:space="preserve">Credit availed only in books </t>
  </si>
  <si>
    <t>Transfer entries for GST balances</t>
  </si>
  <si>
    <t>Deferred GST credit of previous years availed</t>
  </si>
  <si>
    <t>Transfer entries</t>
  </si>
  <si>
    <t>ITC blocked therefore credit availed in books expensed out</t>
  </si>
  <si>
    <t>ITC not available so credit availed expensed out</t>
  </si>
  <si>
    <t>GST Refund to be claimed</t>
  </si>
  <si>
    <t>Set off of PY GST balances</t>
  </si>
  <si>
    <t>Being unrealized foreign exchange gain booked</t>
  </si>
  <si>
    <t>Being unrealized foreign exchange loss booked</t>
  </si>
  <si>
    <t>Being previous year TCS balances set off</t>
  </si>
  <si>
    <t>Less liability booked</t>
  </si>
  <si>
    <t>Excess prepaid written off</t>
  </si>
  <si>
    <t>Excess liability written off</t>
  </si>
  <si>
    <t>Being 23-24 PT paid by MM being adjusted against Office Expenses</t>
  </si>
  <si>
    <t>Being Income Tax provision set off entries paassed</t>
  </si>
  <si>
    <t xml:space="preserve">Being opening balances of books and Finacials reconciled </t>
  </si>
  <si>
    <t>Being Computer software written off from books</t>
  </si>
  <si>
    <t>Being tally license expenses trf to prepaid expenses</t>
  </si>
  <si>
    <t>Being depreciation on intangible assets reversed</t>
  </si>
  <si>
    <t>Being provision for Gratuity booked</t>
  </si>
  <si>
    <t>Excess prepaid of Gratuity expenses reversed</t>
  </si>
  <si>
    <t>Rectification entry passed</t>
  </si>
  <si>
    <t>Accrued Interest of FY 23-24 realized in FY 24-25</t>
  </si>
  <si>
    <t>Accrued interest for FY 24-25</t>
  </si>
  <si>
    <t>TDS Receivable on Interest received on FD</t>
  </si>
  <si>
    <t>Transfer entry</t>
  </si>
  <si>
    <t>Being balance for MasterCard Sevices settled</t>
  </si>
  <si>
    <t>Transfer entry for GST balances</t>
  </si>
  <si>
    <t>Being balance trnasferred to Mastercard technology for set off</t>
  </si>
  <si>
    <t>Unearned revenue recorded in books</t>
  </si>
  <si>
    <t>Unbilled Revenue recorded reversed as there exists a balance of unearned revenue</t>
  </si>
  <si>
    <t>Being prepaid expenses reversed</t>
  </si>
  <si>
    <t>Interest received on FD directly transferred to FD so amount reversed</t>
  </si>
  <si>
    <t>Being provision for Income Tax transferred from Hyd branch to Mumbai Branch</t>
  </si>
  <si>
    <t>Being deferred tax income booked as per deferred exp/income working</t>
  </si>
  <si>
    <t>Being additional income tax provision booked for FY 24-25 as per income tax computation</t>
  </si>
  <si>
    <t>Provision for Depreciation reversed and charged to respestive assets</t>
  </si>
  <si>
    <t xml:space="preserve">Window Server Software License
</t>
  </si>
  <si>
    <t>Deferred TDS FY 2026-27</t>
  </si>
  <si>
    <t>Being TDS receivable balance deferred to subsequent years</t>
  </si>
  <si>
    <t>Deferred Cost (Purchases) F.Y. 25-26</t>
  </si>
  <si>
    <t>Deferred Cost (Purchases) F.Y. 26-27</t>
  </si>
  <si>
    <t>Deferred Cost (Purchases) F.Y. 27-28</t>
  </si>
  <si>
    <t>Purchase Local 18%-Services</t>
  </si>
  <si>
    <t>Purchase Import-Services</t>
  </si>
  <si>
    <t>Purchase Interstate 18%-Services</t>
  </si>
  <si>
    <t>Being Cost deferred to subsequent years</t>
  </si>
  <si>
    <t>Purchase Interstate 18%-Goods</t>
  </si>
  <si>
    <t>Being Penalty paid against the credit not reversed for Mastercard as a prior period adjustment in current financial year and interest paid through DRC-03 in month of July 25</t>
  </si>
  <si>
    <t>Income Tax Expense F.Y. 23-24</t>
  </si>
  <si>
    <t>Profession Tax Payable (Employee)</t>
  </si>
  <si>
    <t>Income Tax Expense F.Y. 24-25</t>
  </si>
  <si>
    <t>Provision for Income Tax F.Y. 24-25</t>
  </si>
  <si>
    <t xml:space="preserve">MERIDIAN IT SINGAPORE
</t>
  </si>
  <si>
    <t>Commission-Cross Sales</t>
  </si>
  <si>
    <t>Converge Technology Solutions LLC</t>
  </si>
  <si>
    <t>Dicount Received</t>
  </si>
  <si>
    <t>OI16</t>
  </si>
  <si>
    <t xml:space="preserve"> - </t>
  </si>
  <si>
    <t>0</t>
  </si>
  <si>
    <t>Purchases of Stock-in-trade</t>
  </si>
  <si>
    <t xml:space="preserve">Purchases </t>
  </si>
  <si>
    <t>Purchase</t>
  </si>
  <si>
    <t>Income Tax Expense</t>
  </si>
  <si>
    <t>Balance Write Off</t>
  </si>
  <si>
    <t>GST -2024-25</t>
  </si>
  <si>
    <t>Deferred Cost(Purchases)</t>
  </si>
  <si>
    <t xml:space="preserve">Deferred Cost (Purchases) F.Y. 25-26_x000D_
</t>
  </si>
  <si>
    <t xml:space="preserve">Deferred Cost (Purchases) F.Y. 26-27_x000D_
</t>
  </si>
  <si>
    <t xml:space="preserve">Deferred Cost (Purchases) F.Y. 27-28_x000D_
</t>
  </si>
  <si>
    <t>Deferred Sales</t>
  </si>
  <si>
    <t>Deferred Sales F.Y 2025-26</t>
  </si>
  <si>
    <t>Deferred Sales F.Y 2026-27</t>
  </si>
  <si>
    <t>Deferred Sales F.Y. 2027-28</t>
  </si>
  <si>
    <t>Deferred TDS Receivable</t>
  </si>
  <si>
    <t>Deferred TDS F.Y. 2025-26</t>
  </si>
  <si>
    <t>Deferred TDS F.Y. 2026-27</t>
  </si>
  <si>
    <t>Deferred Tax Income</t>
  </si>
  <si>
    <t>Prepaid Rent</t>
  </si>
  <si>
    <t>TDS F. Y. 2024-25</t>
  </si>
  <si>
    <t>Audit entries</t>
  </si>
  <si>
    <t>Background Verification Services</t>
  </si>
  <si>
    <t>GST 2025-26</t>
  </si>
  <si>
    <t>CGST - F.Y. 2025-26 -6%</t>
  </si>
  <si>
    <t>CGST - F.Y. 25-26 - 9%</t>
  </si>
  <si>
    <t>Curefit Services Private Ltd</t>
  </si>
  <si>
    <t>Dell Technologies</t>
  </si>
  <si>
    <t>Electricity Bill</t>
  </si>
  <si>
    <t>GST on RCM -  2025-26</t>
  </si>
  <si>
    <t>Grand Continent Hotels Limited</t>
  </si>
  <si>
    <t>IGST 2025-26</t>
  </si>
  <si>
    <t>Income Tax F. Y. 2025-26</t>
  </si>
  <si>
    <t>Labour Welfare Fund</t>
  </si>
  <si>
    <t>Lodging and Boarding Expenses</t>
  </si>
  <si>
    <t>PRASAD NARVEKAR - Bonus</t>
  </si>
  <si>
    <t>Provision for Income Tax F. Y. 2025-26</t>
  </si>
  <si>
    <t>Recharge Income Accrued</t>
  </si>
  <si>
    <t>S Deepthi</t>
  </si>
  <si>
    <t>SGST - F.Y. 2025-26 - 6%</t>
  </si>
  <si>
    <t>SGST - F.Y. 2025-26 - 9%</t>
  </si>
  <si>
    <t>Sodexo</t>
  </si>
  <si>
    <t>TDS F.Y. 2025-26</t>
  </si>
  <si>
    <t>Ur Choice Entertainment and Events</t>
  </si>
  <si>
    <t>V4 Info Private Limited</t>
  </si>
  <si>
    <t>Vinay Nettam</t>
  </si>
  <si>
    <t>Branch</t>
  </si>
  <si>
    <t>Deferred Revenue</t>
  </si>
  <si>
    <t>OCL551</t>
  </si>
  <si>
    <t xml:space="preserve"> 308 </t>
  </si>
  <si>
    <t>reimbursement-0.4</t>
  </si>
  <si>
    <t>Funds managed by insurer</t>
  </si>
  <si>
    <t>Purchase of Goods and Services</t>
  </si>
  <si>
    <t>Sales earning</t>
  </si>
  <si>
    <t>Recharge amount</t>
  </si>
  <si>
    <t>Prior period Sales to Mastercard Technology Private Limited</t>
  </si>
  <si>
    <t>Presentation Entries-FY 24-25</t>
  </si>
  <si>
    <t>Presentation Entries-FY 23-24</t>
  </si>
  <si>
    <t>Total- FY 24-25</t>
  </si>
  <si>
    <t>Total- FY 23-24</t>
  </si>
  <si>
    <t>Sr. No.</t>
  </si>
  <si>
    <t>v</t>
  </si>
  <si>
    <t>vi</t>
  </si>
  <si>
    <t>vii</t>
  </si>
  <si>
    <t>Total Expenditure</t>
  </si>
  <si>
    <t>Purchase-Cross Sales commission-Management Fees-Managerial Remuneration</t>
  </si>
  <si>
    <t>in hundreds</t>
  </si>
  <si>
    <t>Earnings from Sale of goods/services</t>
  </si>
  <si>
    <t>Earnings from Recharge of services</t>
  </si>
  <si>
    <t>Total (in hundreds)</t>
  </si>
  <si>
    <t>Related Party Disclosure-Transaction details</t>
  </si>
  <si>
    <t>RPT Disclosure-Receivables and Payables</t>
  </si>
  <si>
    <t>Prior period Income</t>
  </si>
  <si>
    <t>Australia</t>
  </si>
  <si>
    <t>Mumbai</t>
  </si>
  <si>
    <t>MVAT demand for F.Y. 2016-17</t>
  </si>
  <si>
    <t>CST Demand for F.Y. 2016-17</t>
  </si>
  <si>
    <t>GST demand under dispute for F.Y. 2022-23</t>
  </si>
  <si>
    <t>TDS demand as per Traces Portal for F.Y. 2024-25</t>
  </si>
  <si>
    <t>CA Sheetal Bangad</t>
  </si>
  <si>
    <t>Details of shares held by the holding company:</t>
  </si>
  <si>
    <t>MVAT demand for F.Y. 2015-16*</t>
  </si>
  <si>
    <t>CST Demand for F.Y. 2015-16*</t>
  </si>
  <si>
    <t>*Excludes interest on delayed payment</t>
  </si>
  <si>
    <t>FLA Return</t>
  </si>
  <si>
    <t>Club</t>
  </si>
  <si>
    <t>Miscellanous Income</t>
  </si>
  <si>
    <t xml:space="preserve">Gratuity </t>
  </si>
  <si>
    <t>2022-23</t>
  </si>
  <si>
    <t>Global Recharge (Cost Plus Sales)</t>
  </si>
  <si>
    <t>i. Gratuity  (included in Note 19 Employee benefits expense)</t>
  </si>
  <si>
    <t>1.MVAT demand for F.Y. 2015-16*</t>
  </si>
  <si>
    <t>2.CST Demand for F.Y. 2015-16*</t>
  </si>
  <si>
    <t>3.MVAT demand for F.Y. 2016-17</t>
  </si>
  <si>
    <t>4.CST Demand for F.Y. 2016-17</t>
  </si>
  <si>
    <t>Deferred tax assets (net)</t>
  </si>
  <si>
    <t>The Company has recognised deferred tax asset arising on timing differences in respect of gratuity, difference between the book balance and the written down value of fixed assets under the Income Tax Act, 1961, and difference in treatment of rent equalization reserve under Companies Act,2013 and Income Tax Act,1961, in accordance with the requirements of Accounting Standard (AS) 22 – Accounting for Taxes on Income.</t>
  </si>
  <si>
    <t>ff</t>
  </si>
  <si>
    <t>Unhdeged Foreign currency</t>
  </si>
  <si>
    <t>Nature of exposure</t>
  </si>
  <si>
    <t>As at 31st March,2025</t>
  </si>
  <si>
    <t>Amount in Foreign currency</t>
  </si>
  <si>
    <t>Amount in INR</t>
  </si>
  <si>
    <t>Unhedged foreign currency exposures</t>
  </si>
  <si>
    <t xml:space="preserve"> The year-end foreign currency exposures that have not been hedged by a derivative instrument or otherwise are given below:</t>
  </si>
  <si>
    <t>In India</t>
  </si>
  <si>
    <t>Outside India</t>
  </si>
  <si>
    <t xml:space="preserve">Unallocable income (net) </t>
  </si>
  <si>
    <t>Employee Benefit Expense</t>
  </si>
  <si>
    <t>Other unallocable expense</t>
  </si>
  <si>
    <t>Other Information</t>
  </si>
  <si>
    <t>Un-allocable segment Assets</t>
  </si>
  <si>
    <t>Trade payables to related parties</t>
  </si>
  <si>
    <t>Trade receivables from related parties</t>
  </si>
  <si>
    <t xml:space="preserve">- Statutory remittances (Contributions to PF, TDS,GST, etc.)   
     </t>
  </si>
  <si>
    <t>e</t>
  </si>
  <si>
    <t>(a) Cost of Services Rendered</t>
  </si>
  <si>
    <t>b</t>
  </si>
  <si>
    <t>(r)  Utilities</t>
  </si>
  <si>
    <t>The Company makes Provident Fund contributions which are defined contribution plans. The Company recognised  Rs. 84,496  for the year ended 31 March, 2025 for Provident Fund contributions in the Statement of Profit and Loss.</t>
  </si>
  <si>
    <t>The Company has identified business segments as its primary segment and geographical segments as its secondary segment.  Geographical revenues are allocated based on the location of the customer. Certain expenses such as depreciation and amortization, which form a significant component of total expenses, are not specifically allocable to specific segments as the underlying assets are used interchangeably. The Management believes that it is not practical to provide segment disclosures relating to those costs and expenses, and accordingly these expenses are separately disclosed as “unallocated” and adjusted against the total income of the Group.</t>
  </si>
  <si>
    <t>Unallocable</t>
  </si>
  <si>
    <t>(iii) Fellow Subsidiaries</t>
  </si>
  <si>
    <t>(iv) Key Management Personnel (KMP)</t>
  </si>
  <si>
    <t>Revenue from Annual Maintenance Service contracts is recognised on raising of invoice irrespective of period for which it pertains, since the amount is not refundable even in case of cancellation of contract. Further, there are back to back contracts with vendor for corresponding Annual Maintainence service contracts.</t>
  </si>
  <si>
    <t>Previous year Audit</t>
  </si>
  <si>
    <t>The figures of the previous year have been incorporated in these accounts on the basis of Financial Statements audited by another firm of Chartered Accountant on which the existing auditors have relied upon.</t>
  </si>
  <si>
    <t>(d) Repairs &amp; Maintenance - computer</t>
  </si>
  <si>
    <t>(f) Bank Charges</t>
  </si>
  <si>
    <t>g</t>
  </si>
  <si>
    <t>(j) Office Expenses</t>
  </si>
  <si>
    <t>k</t>
  </si>
  <si>
    <t>(p) Management Fees</t>
  </si>
  <si>
    <t>(q) Balance Written-Off</t>
  </si>
  <si>
    <t>Return on capital employed</t>
  </si>
  <si>
    <t>EBIT</t>
  </si>
  <si>
    <t>Profit after tax</t>
  </si>
  <si>
    <t>Return on Investment</t>
  </si>
  <si>
    <t>FY 22-23</t>
  </si>
  <si>
    <t>(a) Plant and equipment</t>
  </si>
  <si>
    <t>(b) Furniture and fixtures</t>
  </si>
  <si>
    <t>(c) Office equipment</t>
  </si>
  <si>
    <t>(d) Computer and Peripherials</t>
  </si>
  <si>
    <t>(a) Sales of Products</t>
  </si>
  <si>
    <t>(b) Sale of Services</t>
  </si>
  <si>
    <t>(c) Other operating revenues</t>
  </si>
  <si>
    <t>(a) Interest Income</t>
  </si>
  <si>
    <t>(b) Balances written back</t>
  </si>
  <si>
    <t>(c) Dicount Received</t>
  </si>
  <si>
    <t>(d) Miscellanous Income</t>
  </si>
  <si>
    <t>Deposits</t>
  </si>
  <si>
    <t>(a) Interest from banks on:</t>
  </si>
  <si>
    <t>(b) Interest on income tax refund</t>
  </si>
  <si>
    <t>(a) Stock-in-trade</t>
  </si>
  <si>
    <t>(a) Inventories at the end of the year:</t>
  </si>
  <si>
    <t>(b) Inventories at the beginning of the year:</t>
  </si>
  <si>
    <t>(s) Security Expenses</t>
  </si>
  <si>
    <t>u</t>
  </si>
  <si>
    <t>(t) loss on disposal / write-off of property plant and equipment</t>
  </si>
  <si>
    <t>Loss on disposal / write-off of property plant and equipment</t>
  </si>
  <si>
    <t>Capital Employed = Tangible Net Worth + Total Debt + Deferred Tax Liability</t>
  </si>
  <si>
    <t>Not Applicable</t>
  </si>
  <si>
    <t>The variation is mainly on account of reduction in average inventory balance as compared to previous years</t>
  </si>
  <si>
    <t>Reason for variance</t>
  </si>
  <si>
    <t>The reduction is mainly on account of increase in receivable balance at the year end</t>
  </si>
  <si>
    <t>Exceptional Items (Prior period items)</t>
  </si>
  <si>
    <t>The variation is mainly on account of income from exceptional items during the year</t>
  </si>
  <si>
    <t>The financial statements of the Company have been prepared in accordance with the Generally Accepted Accounting Principles in India (Indian GAAP) to comply with the Accounting Standards specified under Section 133 of the Companies Act, 2013, read with Rule 7 of the Companies (Accounts) Rules, 2014 and the relevant provisions of the Companies Act, 2013. The financial statements have been prepared on accrual basis under the historical cost convention. All the items of income and expenditure having material bearing on the accounts are maintained on accrual basis. The accounting policies adopted in the preparation of the financial statements are consistent with those followed in the previous year.
'The Company is a Small and Medium Sized Company (SMC) as defined in the Companies (Accounting Standards) Rules, 2021 notified under the Companies Act, 2013. Accordingly, the Company has complied with the Accounting Standards as applicable to a Small and Medium Sized Company.</t>
  </si>
  <si>
    <t>All assets and liabilities have been classified as current or non-current as per the Company’s operating cycle and other criteria set out in the Schedule III of the Companies Act, 2013. Based on the nature of products and services and the time between the acquisition of assets for processing and their realisation in cash and cash equivalents, the Company has ascertained its operating cycle as 12 months for the purpose of current – non current classification of assets and liabilities.</t>
  </si>
  <si>
    <t>Inventories of traded goods are stated at lower of cost and net realisable value. Cost of traded goods is ascertained on a FIFO basis. Cost includes the purchase price and other incidental expenses. Net realisable value is the estimated selling price in the ordinary course of business, less estimated costs necessary to make the sale.</t>
  </si>
  <si>
    <t xml:space="preserve">Sales are recognised, net of returns and trade discounts, on transfer of significant risks and rewards of ownership to the buyer, which generally coincides with the delivery of goods to customers. Sales are recorded exclusive of applicable taxes. </t>
  </si>
  <si>
    <t>Interest income is accounted on accrual basis.</t>
  </si>
  <si>
    <t>Property, plant and equipment are carried at cost less accumulated depreciation / amortisation and impairment losses, if any. The cost of Property, plant and equipment comprises its purchase price net of any trade discounts and rebates, any import duties and other taxes (other than those subsequently recoverable from the tax authorities), any directly attributable expenditure on making the asset ready for its intended use, other incidental expenses and interest on borrowings attributable to acquisition of qualifying Property, plant and equipment up to the date the asset is ready for its intended use.
Subsequent expenditure on Property, plant and equipment after its purchase / completion is capitalised only if such expenditure results in an increase in the future benefits from such asset beyond its previously assessed standard of performance.All other expenses on existing Property, plant and equipment, including day to day repairs &amp; Maintenance expenditure and cost of replacing parts are charged to the statement of profit &amp; Loss for the period during which such expenses are incurred.</t>
  </si>
  <si>
    <t xml:space="preserve">Property, plant and equipment retired from active use and held for sale are stated at the lower of their net book value and net realisable value and are disclosed separately. </t>
  </si>
  <si>
    <t xml:space="preserve">The functional currency of the company is the India Rupee (INR). These financial statements are presented in the Indian Rupees and are not rounded off.
On initial recognition, all transactions denominated in foreign currency are translated at the exchange rate prevalent at the date of transaction.
On subsequent recognition, foreign currency denominated monetary assets and liabilities are translated into the relevant functional currency at the exchange rates in the effect at the balance sheet date. Non-monetary assets and liabilities denominated in a foreign currency and measured at fair value are translated at the exchange rate prevalent at the date when the fair value was determined. Non-monetary assets and liabilities denominated in a foreign currency and measured at historical cost are translated at the exchange rate prevalent at the date of transaction.The gains or losses resulting from such translations are recognized in the Statement of Profit and Loss.
Transaction gains or losses relized upon sattlement of foreign currency transactions are recognized in the Statement of Profit and Loss for the period in which the transaction is settled.
</t>
  </si>
  <si>
    <t xml:space="preserve">Employee benefits include provident fund, gratuity fund, post-employment medical benefits. </t>
  </si>
  <si>
    <t>The Company's contribution to provident fund, is considered as defined contribution plans and are charged as an expense based on the amount of contribution required to be made and when services are rendered by the employees.</t>
  </si>
  <si>
    <t xml:space="preserve">Current tax is the amount of tax payable on the taxable income for the year as determined in accordance with the applicable tax rates and the provisions of the Income Tax Act, 1961 and other applicable tax laws.
</t>
  </si>
  <si>
    <t>Depreciable amount for assets is the cost of an asset, or other amount substituted for cost, less its estimated residual value. 
Depreciation on tangible fixed assets has been provided on the written down value method as per the useful life prescribed in Schedule II to the Companies Act, 2013.</t>
  </si>
  <si>
    <t>(b)  Unearned Revenue</t>
  </si>
  <si>
    <t>8B</t>
  </si>
  <si>
    <t>Note 21 Disclosures under Accounting Standards</t>
  </si>
  <si>
    <t>AS 22 Tax : Deferred Tax Assets / (Liabilities)</t>
  </si>
  <si>
    <t>32. AS 17 Segment Reporting Disclosures:</t>
  </si>
  <si>
    <t xml:space="preserve"> Note 33 Additional Regulatory Information</t>
  </si>
  <si>
    <t>M.No.125160</t>
  </si>
  <si>
    <t>DIN :8701175</t>
  </si>
  <si>
    <t>DIN :9608983</t>
  </si>
  <si>
    <t>Place : Australia</t>
  </si>
  <si>
    <t>Place : Mumbai</t>
  </si>
  <si>
    <t xml:space="preserve">Concat AG </t>
  </si>
  <si>
    <t>*The company has received an intimation under the Goods and Service (GST) Act during the year amounting to Rs.56,36,000, which has been duly responded to by the management with the reply dated 25th April 2025. The matter is currently under consideration by the department.</t>
  </si>
  <si>
    <t>5.Income tax Demand F.Y. 2020-21</t>
  </si>
  <si>
    <t xml:space="preserve">Date : </t>
  </si>
  <si>
    <t>Hyderabad</t>
  </si>
  <si>
    <t>Date : 05-09-2025</t>
  </si>
  <si>
    <t>Date : 30-08-2025</t>
  </si>
  <si>
    <t>Details of related party transactions during the year ended 31 March, 2025 and balances outstanding as at 31 March, 2025:</t>
  </si>
  <si>
    <t>net</t>
  </si>
  <si>
    <t>add</t>
  </si>
  <si>
    <t>delet</t>
  </si>
  <si>
    <t>dep</t>
  </si>
  <si>
    <t xml:space="preserve">Gratuity Premium
</t>
  </si>
  <si>
    <t>Sample Company</t>
  </si>
  <si>
    <t>xxxx</t>
  </si>
  <si>
    <t>xxxxx</t>
  </si>
  <si>
    <t>For Name of Auditor</t>
  </si>
  <si>
    <t>FRN No. xxxxxx</t>
  </si>
  <si>
    <t>UDIN : xxxxxxxxxxxxxxxxxxxxxx</t>
  </si>
  <si>
    <t>QWERTY</t>
  </si>
  <si>
    <t>YGFCSDFGH</t>
  </si>
  <si>
    <t>JGFVBN</t>
  </si>
  <si>
    <t>HYTFB</t>
  </si>
  <si>
    <t>HYTRERTYU</t>
  </si>
  <si>
    <t>YUIJHGFDSSDVB</t>
  </si>
  <si>
    <t>DCVBHUYTR</t>
  </si>
  <si>
    <t>CVGHJ</t>
  </si>
  <si>
    <t>R</t>
  </si>
  <si>
    <t>GBD</t>
  </si>
  <si>
    <t>SGDHZD</t>
  </si>
  <si>
    <t>WEWEW</t>
  </si>
  <si>
    <t>RE</t>
  </si>
  <si>
    <t>RERETR</t>
  </si>
  <si>
    <t>FNVF</t>
  </si>
  <si>
    <t>ASDFGHJKL</t>
  </si>
  <si>
    <t>QWERTYUIOJHBV</t>
  </si>
  <si>
    <t>ZXCVBNM</t>
  </si>
  <si>
    <t>YTG</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</si>
</sst>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_(* \(#,##0\);_(* &quot;-&quot;_);_(@_)"/>
    <numFmt numFmtId="44" formatCode="_(&quot;$&quot;* #,##0.00_);_(&quot;$&quot;* \(#,##0.00\);_(&quot;$&quot;* &quot;-&quot;??_);_(@_)"/>
    <numFmt numFmtId="43" formatCode="_(* #,##0.00_);_(* \(#,##0.00\);_(* &quot;-&quot;??_);_(@_)"/>
    <numFmt numFmtId="164" formatCode="_ * #,##0.00_ ;_ * \-#,##0.00_ ;_ * &quot;-&quot;??_ ;_ @_ "/>
    <numFmt numFmtId="165" formatCode="_(* #,##0.000000_);_(* \(#,##0.000000\);_(* &quot;-&quot;??_);_(@_)"/>
    <numFmt numFmtId="166" formatCode="_ * #,##0.00_)\ _$_ ;_ * \(#,##0.00\)\ _$_ ;_ * &quot;-&quot;??_)\ _$_ ;_ @_ "/>
    <numFmt numFmtId="167" formatCode="_(* #,##0_);_(* \(#,##0\);_(* &quot;-&quot;??_);_(@_)"/>
    <numFmt numFmtId="168" formatCode="0.0"/>
    <numFmt numFmtId="169" formatCode="[$-409]d/mmm/yy;@"/>
    <numFmt numFmtId="170" formatCode="0.00_);\(0.00\)"/>
    <numFmt numFmtId="171" formatCode="_ * #,##0_ ;_ * \-#,##0_ ;_ * &quot;-&quot;??_ ;_ @_ "/>
    <numFmt numFmtId="172" formatCode="[$-14009]\ mmmm\ dd\,\ yyyy;@"/>
    <numFmt numFmtId="173" formatCode="[$-14009]dd\ mmmm\ yyyy;@"/>
    <numFmt numFmtId="174" formatCode="_-* #,##0.00_-;\-* #,##0.00_-;_-* &quot;-&quot;??_-;_-@_-"/>
  </numFmts>
  <fonts count="62" x14ac:knownFonts="1">
    <font>
      <sz val="11"/>
      <color theme="1"/>
      <name val="Calibri"/>
      <family val="2"/>
      <scheme val="minor"/>
    </font>
    <font>
      <sz val="11"/>
      <color theme="1"/>
      <name val="Calibri"/>
      <family val="2"/>
      <scheme val="minor"/>
    </font>
    <font>
      <sz val="10"/>
      <name val="Arial"/>
      <family val="2"/>
    </font>
    <font>
      <sz val="11"/>
      <color indexed="8"/>
      <name val="Calibri"/>
      <family val="2"/>
    </font>
    <font>
      <u/>
      <sz val="10"/>
      <color indexed="12"/>
      <name val="Arial"/>
      <family val="2"/>
    </font>
    <font>
      <u/>
      <sz val="11"/>
      <color theme="10"/>
      <name val="Calibri"/>
      <family val="2"/>
    </font>
    <font>
      <strike/>
      <sz val="10"/>
      <color rgb="FFFF0000"/>
      <name val="Arial"/>
      <family val="2"/>
    </font>
    <font>
      <sz val="11"/>
      <color theme="1"/>
      <name val="Arial"/>
      <family val="2"/>
    </font>
    <font>
      <sz val="11"/>
      <color theme="1"/>
      <name val="Book Antiqua"/>
      <family val="1"/>
    </font>
    <font>
      <strike/>
      <sz val="11"/>
      <name val="Book Antiqua"/>
      <family val="1"/>
    </font>
    <font>
      <sz val="11"/>
      <name val="Book Antiqua"/>
      <family val="1"/>
    </font>
    <font>
      <b/>
      <sz val="11"/>
      <color theme="1"/>
      <name val="Book Antiqua"/>
      <family val="1"/>
    </font>
    <font>
      <sz val="11"/>
      <color rgb="FFFF0000"/>
      <name val="Book Antiqua"/>
      <family val="1"/>
    </font>
    <font>
      <b/>
      <sz val="11"/>
      <name val="Book Antiqua"/>
      <family val="1"/>
    </font>
    <font>
      <u/>
      <sz val="11"/>
      <name val="Book Antiqua"/>
      <family val="1"/>
    </font>
    <font>
      <sz val="11"/>
      <color rgb="FF000000"/>
      <name val="Book Antiqua"/>
      <family val="1"/>
    </font>
    <font>
      <b/>
      <sz val="11"/>
      <color rgb="FF000000"/>
      <name val="Book Antiqua"/>
      <family val="1"/>
    </font>
    <font>
      <b/>
      <sz val="11"/>
      <color rgb="FFFF0000"/>
      <name val="Book Antiqua"/>
      <family val="1"/>
    </font>
    <font>
      <i/>
      <sz val="11"/>
      <name val="Book Antiqua"/>
      <family val="1"/>
    </font>
    <font>
      <b/>
      <u/>
      <sz val="11"/>
      <name val="Book Antiqua"/>
      <family val="1"/>
    </font>
    <font>
      <i/>
      <u/>
      <sz val="11"/>
      <name val="Book Antiqua"/>
      <family val="1"/>
    </font>
    <font>
      <sz val="11"/>
      <color rgb="FFC00000"/>
      <name val="Book Antiqua"/>
      <family val="1"/>
    </font>
    <font>
      <b/>
      <sz val="11"/>
      <color theme="0"/>
      <name val="Book Antiqua"/>
      <family val="1"/>
    </font>
    <font>
      <sz val="11"/>
      <color theme="0"/>
      <name val="Book Antiqua"/>
      <family val="1"/>
    </font>
    <font>
      <sz val="11"/>
      <color theme="0"/>
      <name val="Calibri"/>
      <family val="2"/>
      <scheme val="minor"/>
    </font>
    <font>
      <sz val="11"/>
      <color rgb="FF002060"/>
      <name val="Book Antiqua"/>
      <family val="1"/>
    </font>
    <font>
      <sz val="8"/>
      <name val="Calibri"/>
      <family val="2"/>
      <scheme val="minor"/>
    </font>
    <font>
      <b/>
      <sz val="11"/>
      <color rgb="FF353435"/>
      <name val="Book Antiqua"/>
      <family val="1"/>
    </font>
    <font>
      <sz val="11"/>
      <color rgb="FF444444"/>
      <name val="Book Antiqua"/>
      <family val="1"/>
    </font>
    <font>
      <strike/>
      <sz val="11"/>
      <color rgb="FFFF0000"/>
      <name val="Book Antiqua"/>
      <family val="1"/>
    </font>
    <font>
      <b/>
      <sz val="11"/>
      <color theme="1"/>
      <name val="Calibri"/>
      <family val="2"/>
      <scheme val="minor"/>
    </font>
    <font>
      <b/>
      <sz val="11"/>
      <color rgb="FFFFFF00"/>
      <name val="Book Antiqua"/>
      <family val="1"/>
    </font>
    <font>
      <sz val="10"/>
      <name val="Book Antiqua"/>
      <family val="1"/>
    </font>
    <font>
      <b/>
      <u/>
      <sz val="11"/>
      <color theme="1"/>
      <name val="Book Antiqua"/>
      <family val="1"/>
    </font>
    <font>
      <sz val="11"/>
      <color rgb="FFEE0000"/>
      <name val="Book Antiqua"/>
      <family val="1"/>
    </font>
    <font>
      <b/>
      <sz val="10"/>
      <color theme="1"/>
      <name val="Book Antiqua"/>
      <family val="1"/>
    </font>
    <font>
      <sz val="10"/>
      <color theme="1"/>
      <name val="Book Antiqua"/>
      <family val="1"/>
    </font>
    <font>
      <b/>
      <u/>
      <sz val="10"/>
      <color theme="1"/>
      <name val="Book Antiqua"/>
      <family val="1"/>
    </font>
    <font>
      <sz val="11"/>
      <color rgb="FFFFFF00"/>
      <name val="Book Antiqua"/>
      <family val="1"/>
    </font>
    <font>
      <sz val="11"/>
      <color rgb="FFFF0000"/>
      <name val="Calibri"/>
      <family val="2"/>
      <scheme val="minor"/>
    </font>
    <font>
      <b/>
      <sz val="14"/>
      <name val="Calibri"/>
      <family val="2"/>
      <scheme val="minor"/>
    </font>
    <font>
      <b/>
      <u/>
      <sz val="11"/>
      <color rgb="FFFF0000"/>
      <name val="Calibri"/>
      <family val="2"/>
      <scheme val="minor"/>
    </font>
    <font>
      <b/>
      <sz val="12"/>
      <name val="Calibri"/>
      <family val="2"/>
      <scheme val="minor"/>
    </font>
    <font>
      <sz val="12"/>
      <name val="Calibri"/>
      <family val="2"/>
      <scheme val="minor"/>
    </font>
    <font>
      <b/>
      <sz val="11"/>
      <name val="Calibri"/>
      <family val="2"/>
      <scheme val="minor"/>
    </font>
    <font>
      <b/>
      <sz val="11"/>
      <color rgb="FFFF0000"/>
      <name val="Calibri"/>
      <family val="2"/>
      <scheme val="minor"/>
    </font>
    <font>
      <sz val="11"/>
      <name val="Calibri"/>
      <family val="2"/>
      <scheme val="minor"/>
    </font>
    <font>
      <b/>
      <u/>
      <sz val="11"/>
      <name val="Calibri"/>
      <family val="2"/>
      <scheme val="minor"/>
    </font>
    <font>
      <sz val="11"/>
      <name val="Calibri"/>
      <family val="2"/>
    </font>
    <font>
      <sz val="10"/>
      <name val="Courier New"/>
      <family val="3"/>
    </font>
    <font>
      <sz val="10"/>
      <color indexed="8"/>
      <name val="Arial"/>
      <family val="2"/>
    </font>
    <font>
      <sz val="11"/>
      <color rgb="FFFF0000"/>
      <name val="Times New Roman"/>
      <family val="1"/>
    </font>
    <font>
      <sz val="11"/>
      <name val="Times New Roman"/>
      <family val="1"/>
    </font>
    <font>
      <b/>
      <sz val="10"/>
      <name val="Arial"/>
      <family val="2"/>
    </font>
    <font>
      <b/>
      <u/>
      <sz val="11"/>
      <color rgb="FFEE0000"/>
      <name val="Book Antiqua"/>
      <family val="1"/>
    </font>
    <font>
      <u/>
      <sz val="11"/>
      <color theme="1"/>
      <name val="Book Antiqua"/>
      <family val="1"/>
    </font>
    <font>
      <i/>
      <sz val="11"/>
      <color theme="1"/>
      <name val="Book Antiqua"/>
      <family val="1"/>
    </font>
    <font>
      <sz val="11"/>
      <color theme="1" tint="4.9989318521683403E-2"/>
      <name val="Book Antiqua"/>
      <family val="1"/>
    </font>
    <font>
      <b/>
      <sz val="11"/>
      <color theme="0" tint="-0.34998626667073579"/>
      <name val="Book Antiqua"/>
      <family val="1"/>
    </font>
    <font>
      <sz val="9"/>
      <color indexed="81"/>
      <name val="Tahoma"/>
      <family val="2"/>
    </font>
    <font>
      <b/>
      <sz val="9"/>
      <color indexed="81"/>
      <name val="Tahoma"/>
      <family val="2"/>
    </font>
    <font>
      <sz val="11"/>
      <color theme="1"/>
      <name val="Book Antiqua"/>
    </font>
  </fonts>
  <fills count="2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65"/>
        <bgColor indexed="64"/>
      </patternFill>
    </fill>
    <fill>
      <patternFill patternType="solid">
        <fgColor indexed="9"/>
        <bgColor indexed="64"/>
      </patternFill>
    </fill>
    <fill>
      <patternFill patternType="solid">
        <fgColor theme="0"/>
        <bgColor indexed="64"/>
      </patternFill>
    </fill>
    <fill>
      <patternFill patternType="solid">
        <fgColor rgb="FFFFFFFF"/>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4" tint="-0.49998474074526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002060"/>
        <bgColor indexed="64"/>
      </patternFill>
    </fill>
    <fill>
      <patternFill patternType="solid">
        <fgColor rgb="FFFEC6C6"/>
        <bgColor indexed="64"/>
      </patternFill>
    </fill>
    <fill>
      <patternFill patternType="solid">
        <fgColor indexed="65"/>
        <bgColor rgb="FF000000"/>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FF"/>
        <bgColor rgb="FF000000"/>
      </patternFill>
    </fill>
    <fill>
      <patternFill patternType="solid">
        <fgColor rgb="FFF2DCDB"/>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499984740745262"/>
        <bgColor indexed="64"/>
      </patternFill>
    </fill>
  </fills>
  <borders count="9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double">
        <color indexed="64"/>
      </left>
      <right style="thin">
        <color auto="1"/>
      </right>
      <top style="double">
        <color indexed="64"/>
      </top>
      <bottom/>
      <diagonal/>
    </border>
    <border>
      <left style="thin">
        <color auto="1"/>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auto="1"/>
      </bottom>
      <diagonal/>
    </border>
    <border>
      <left style="thin">
        <color auto="1"/>
      </left>
      <right/>
      <top style="thin">
        <color indexed="64"/>
      </top>
      <bottom style="double">
        <color indexed="64"/>
      </bottom>
      <diagonal/>
    </border>
    <border>
      <left/>
      <right/>
      <top style="thin">
        <color indexed="64"/>
      </top>
      <bottom style="double">
        <color indexed="64"/>
      </bottom>
      <diagonal/>
    </border>
    <border>
      <left/>
      <right style="thin">
        <color auto="1"/>
      </right>
      <top style="thin">
        <color auto="1"/>
      </top>
      <bottom style="double">
        <color auto="1"/>
      </bottom>
      <diagonal/>
    </border>
    <border>
      <left style="thin">
        <color auto="1"/>
      </left>
      <right style="thin">
        <color auto="1"/>
      </right>
      <top style="thin">
        <color indexed="64"/>
      </top>
      <bottom style="double">
        <color indexed="64"/>
      </bottom>
      <diagonal/>
    </border>
    <border>
      <left/>
      <right style="double">
        <color indexed="64"/>
      </right>
      <top style="thin">
        <color auto="1"/>
      </top>
      <bottom style="double">
        <color indexed="64"/>
      </bottom>
      <diagonal/>
    </border>
    <border>
      <left style="thin">
        <color indexed="64"/>
      </left>
      <right style="double">
        <color indexed="64"/>
      </right>
      <top/>
      <bottom style="thin">
        <color indexed="64"/>
      </bottom>
      <diagonal/>
    </border>
    <border>
      <left style="double">
        <color indexed="64"/>
      </left>
      <right/>
      <top/>
      <bottom style="double">
        <color indexed="64"/>
      </bottom>
      <diagonal/>
    </border>
    <border>
      <left style="thin">
        <color auto="1"/>
      </left>
      <right/>
      <top/>
      <bottom style="double">
        <color auto="1"/>
      </bottom>
      <diagonal/>
    </border>
    <border>
      <left/>
      <right style="thin">
        <color auto="1"/>
      </right>
      <top/>
      <bottom style="double">
        <color auto="1"/>
      </bottom>
      <diagonal/>
    </border>
    <border>
      <left/>
      <right style="double">
        <color indexed="64"/>
      </right>
      <top/>
      <bottom style="double">
        <color indexed="64"/>
      </bottom>
      <diagonal/>
    </border>
    <border>
      <left style="double">
        <color indexed="64"/>
      </left>
      <right/>
      <top style="double">
        <color indexed="64"/>
      </top>
      <bottom/>
      <diagonal/>
    </border>
    <border>
      <left/>
      <right style="double">
        <color indexed="64"/>
      </right>
      <top style="thin">
        <color auto="1"/>
      </top>
      <bottom style="thin">
        <color auto="1"/>
      </bottom>
      <diagonal/>
    </border>
    <border>
      <left style="double">
        <color indexed="64"/>
      </left>
      <right style="thin">
        <color auto="1"/>
      </right>
      <top/>
      <bottom/>
      <diagonal/>
    </border>
    <border>
      <left style="thin">
        <color auto="1"/>
      </left>
      <right style="double">
        <color indexed="64"/>
      </right>
      <top style="thin">
        <color auto="1"/>
      </top>
      <bottom/>
      <diagonal/>
    </border>
    <border>
      <left/>
      <right style="double">
        <color indexed="64"/>
      </right>
      <top style="thin">
        <color auto="1"/>
      </top>
      <bottom/>
      <diagonal/>
    </border>
    <border>
      <left style="thin">
        <color auto="1"/>
      </left>
      <right style="double">
        <color indexed="64"/>
      </right>
      <top/>
      <bottom/>
      <diagonal/>
    </border>
    <border>
      <left/>
      <right/>
      <top/>
      <bottom style="double">
        <color indexed="64"/>
      </bottom>
      <diagonal/>
    </border>
    <border>
      <left style="thin">
        <color auto="1"/>
      </left>
      <right style="thin">
        <color auto="1"/>
      </right>
      <top/>
      <bottom style="double">
        <color auto="1"/>
      </bottom>
      <diagonal/>
    </border>
    <border>
      <left style="thin">
        <color auto="1"/>
      </left>
      <right style="double">
        <color indexed="64"/>
      </right>
      <top/>
      <bottom style="double">
        <color auto="1"/>
      </bottom>
      <diagonal/>
    </border>
    <border>
      <left style="thin">
        <color auto="1"/>
      </left>
      <right style="thin">
        <color auto="1"/>
      </right>
      <top style="double">
        <color auto="1"/>
      </top>
      <bottom/>
      <diagonal/>
    </border>
    <border>
      <left style="double">
        <color indexed="64"/>
      </left>
      <right/>
      <top/>
      <bottom style="thin">
        <color auto="1"/>
      </bottom>
      <diagonal/>
    </border>
    <border>
      <left style="medium">
        <color rgb="FFDDDDDD"/>
      </left>
      <right style="medium">
        <color rgb="FFDDDDDD"/>
      </right>
      <top style="medium">
        <color rgb="FFDDDDDD"/>
      </top>
      <bottom style="medium">
        <color rgb="FFDDDDDD"/>
      </bottom>
      <diagonal/>
    </border>
  </borders>
  <cellStyleXfs count="45">
    <xf numFmtId="0" fontId="0" fillId="0" borderId="0"/>
    <xf numFmtId="43" fontId="3" fillId="0" borderId="0" applyFont="0" applyFill="0" applyBorder="0" applyAlignment="0" applyProtection="0"/>
    <xf numFmtId="0" fontId="4" fillId="0" borderId="0" applyNumberFormat="0" applyFill="0" applyBorder="0" applyAlignment="0" applyProtection="0">
      <alignment vertical="top"/>
      <protection locked="0"/>
    </xf>
    <xf numFmtId="43" fontId="2" fillId="0" borderId="0" applyFont="0" applyFill="0" applyBorder="0" applyAlignment="0" applyProtection="0"/>
    <xf numFmtId="166" fontId="2" fillId="0" borderId="0" applyFont="0" applyFill="0" applyBorder="0" applyAlignment="0" applyProtection="0"/>
    <xf numFmtId="0" fontId="2" fillId="0" borderId="0"/>
    <xf numFmtId="169" fontId="3"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0" fontId="1" fillId="0" borderId="0"/>
    <xf numFmtId="0" fontId="2" fillId="0" borderId="0"/>
    <xf numFmtId="9"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7" fillId="0" borderId="0"/>
    <xf numFmtId="0" fontId="1" fillId="0" borderId="0"/>
    <xf numFmtId="43" fontId="2" fillId="0" borderId="0" applyFont="0" applyFill="0" applyBorder="0" applyAlignment="0" applyProtection="0"/>
    <xf numFmtId="43" fontId="2" fillId="0" borderId="0" applyFont="0" applyFill="0" applyBorder="0" applyAlignment="0" applyProtection="0"/>
    <xf numFmtId="0" fontId="1" fillId="0" borderId="0"/>
    <xf numFmtId="0" fontId="1" fillId="0" borderId="0"/>
    <xf numFmtId="41" fontId="1" fillId="0" borderId="0" applyFont="0" applyFill="0" applyBorder="0" applyAlignment="0" applyProtection="0"/>
    <xf numFmtId="9" fontId="1" fillId="0" borderId="0" applyFont="0" applyFill="0" applyBorder="0" applyAlignment="0" applyProtection="0"/>
    <xf numFmtId="41" fontId="1" fillId="0" borderId="0" applyFon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1" fillId="0" borderId="0"/>
    <xf numFmtId="164" fontId="1" fillId="0" borderId="0" applyFont="0" applyFill="0" applyBorder="0" applyAlignment="0" applyProtection="0"/>
    <xf numFmtId="0" fontId="2" fillId="0" borderId="0"/>
    <xf numFmtId="164" fontId="1" fillId="0" borderId="0" applyFont="0" applyFill="0" applyBorder="0" applyAlignment="0" applyProtection="0"/>
    <xf numFmtId="174" fontId="2" fillId="0" borderId="0" applyFont="0" applyFill="0" applyBorder="0" applyAlignment="0" applyProtection="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applyFont="0" applyFill="0" applyBorder="0" applyAlignment="0" applyProtection="0"/>
    <xf numFmtId="0" fontId="49" fillId="0" borderId="0"/>
    <xf numFmtId="43" fontId="2" fillId="0" borderId="0" applyFont="0" applyFill="0" applyBorder="0" applyAlignment="0" applyProtection="0"/>
    <xf numFmtId="43" fontId="2" fillId="0" borderId="0" applyFont="0" applyFill="0" applyBorder="0" applyAlignment="0" applyProtection="0"/>
    <xf numFmtId="0" fontId="1" fillId="0" borderId="0"/>
    <xf numFmtId="0" fontId="50" fillId="0" borderId="0"/>
    <xf numFmtId="0" fontId="50" fillId="0" borderId="0"/>
    <xf numFmtId="9" fontId="1" fillId="0" borderId="0" applyFont="0" applyFill="0" applyBorder="0" applyAlignment="0" applyProtection="0"/>
    <xf numFmtId="0" fontId="2" fillId="0" borderId="0"/>
  </cellStyleXfs>
  <cellXfs count="3248">
    <xf numFmtId="0" fontId="0" fillId="0" borderId="0" xfId="0"/>
    <xf numFmtId="0" fontId="8" fillId="0" borderId="0" xfId="0" applyFont="1"/>
    <xf numFmtId="0" fontId="8" fillId="0" borderId="56" xfId="0" applyFont="1" applyBorder="1"/>
    <xf numFmtId="0" fontId="10" fillId="0" borderId="0" xfId="0" applyFont="1" applyAlignment="1">
      <alignment vertical="top" wrapText="1"/>
    </xf>
    <xf numFmtId="0" fontId="11" fillId="0" borderId="0" xfId="0" applyFont="1"/>
    <xf numFmtId="0" fontId="8" fillId="0" borderId="0" xfId="0" applyFont="1" applyAlignment="1">
      <alignment vertical="top" wrapText="1"/>
    </xf>
    <xf numFmtId="0" fontId="8" fillId="0" borderId="22" xfId="0" applyFont="1" applyBorder="1"/>
    <xf numFmtId="0" fontId="8" fillId="0" borderId="20" xfId="0" applyFont="1" applyBorder="1"/>
    <xf numFmtId="0" fontId="8" fillId="0" borderId="0" xfId="0" applyFont="1" applyAlignment="1">
      <alignment horizontal="center" vertical="top"/>
    </xf>
    <xf numFmtId="167" fontId="8" fillId="0" borderId="0" xfId="1" applyNumberFormat="1" applyFont="1"/>
    <xf numFmtId="0" fontId="8" fillId="0" borderId="0" xfId="0" applyFont="1" applyProtection="1">
      <protection locked="0"/>
    </xf>
    <xf numFmtId="172" fontId="8" fillId="0" borderId="0" xfId="0" applyNumberFormat="1" applyFont="1"/>
    <xf numFmtId="172" fontId="8" fillId="0" borderId="0" xfId="0" applyNumberFormat="1" applyFont="1" applyAlignment="1">
      <alignment horizontal="right"/>
    </xf>
    <xf numFmtId="43" fontId="8" fillId="0" borderId="0" xfId="0" applyNumberFormat="1" applyFont="1"/>
    <xf numFmtId="0" fontId="10" fillId="0" borderId="0" xfId="0" applyFont="1"/>
    <xf numFmtId="0" fontId="8" fillId="0" borderId="0" xfId="0" quotePrefix="1" applyFont="1"/>
    <xf numFmtId="0" fontId="12" fillId="0" borderId="0" xfId="18" applyFont="1"/>
    <xf numFmtId="0" fontId="13" fillId="0" borderId="0" xfId="0" applyFont="1" applyAlignment="1">
      <alignment horizontal="left" vertical="top"/>
    </xf>
    <xf numFmtId="0" fontId="10" fillId="0" borderId="0" xfId="5" applyFont="1" applyAlignment="1">
      <alignment vertical="top"/>
    </xf>
    <xf numFmtId="0" fontId="13" fillId="5" borderId="0" xfId="0" applyFont="1" applyFill="1" applyAlignment="1">
      <alignment horizontal="left" vertical="top"/>
    </xf>
    <xf numFmtId="0" fontId="13" fillId="6" borderId="0" xfId="0" applyFont="1" applyFill="1" applyAlignment="1">
      <alignment horizontal="left" vertical="top"/>
    </xf>
    <xf numFmtId="43" fontId="13" fillId="0" borderId="13" xfId="1" applyFont="1" applyFill="1" applyBorder="1" applyAlignment="1">
      <alignment horizontal="center" vertical="center"/>
    </xf>
    <xf numFmtId="0" fontId="10" fillId="0" borderId="28" xfId="0" applyFont="1" applyBorder="1" applyAlignment="1">
      <alignment vertical="top"/>
    </xf>
    <xf numFmtId="43" fontId="13" fillId="0" borderId="5" xfId="1" applyFont="1" applyFill="1" applyBorder="1" applyAlignment="1">
      <alignment horizontal="center" vertical="center"/>
    </xf>
    <xf numFmtId="43" fontId="13" fillId="0" borderId="21" xfId="1" applyFont="1" applyFill="1" applyBorder="1" applyAlignment="1">
      <alignment horizontal="center" vertical="center"/>
    </xf>
    <xf numFmtId="43" fontId="13" fillId="0" borderId="18" xfId="1" applyFont="1" applyFill="1" applyBorder="1" applyAlignment="1">
      <alignment horizontal="center" vertical="center"/>
    </xf>
    <xf numFmtId="0" fontId="10" fillId="6" borderId="22" xfId="6" applyNumberFormat="1" applyFont="1" applyFill="1" applyBorder="1" applyAlignment="1">
      <alignment vertical="top"/>
    </xf>
    <xf numFmtId="0" fontId="15" fillId="0" borderId="0" xfId="0" applyFont="1" applyAlignment="1">
      <alignment horizontal="left" vertical="top"/>
    </xf>
    <xf numFmtId="0" fontId="8" fillId="0" borderId="0" xfId="0" applyFont="1" applyAlignment="1">
      <alignment horizontal="center" vertical="top" wrapText="1"/>
    </xf>
    <xf numFmtId="0" fontId="8" fillId="0" borderId="13" xfId="0" applyFont="1" applyBorder="1"/>
    <xf numFmtId="0" fontId="8" fillId="0" borderId="0" xfId="0" applyFont="1" applyAlignment="1">
      <alignment vertical="top"/>
    </xf>
    <xf numFmtId="0" fontId="10" fillId="0" borderId="0" xfId="0" applyFont="1" applyAlignment="1">
      <alignment horizontal="left" vertical="top" wrapText="1"/>
    </xf>
    <xf numFmtId="0" fontId="10" fillId="0" borderId="0" xfId="0" applyFont="1" applyAlignment="1">
      <alignment horizontal="left" vertical="top"/>
    </xf>
    <xf numFmtId="0" fontId="10" fillId="0" borderId="13" xfId="0" applyFont="1" applyBorder="1" applyAlignment="1">
      <alignment horizontal="left" vertical="top"/>
    </xf>
    <xf numFmtId="171" fontId="8" fillId="0" borderId="0" xfId="0" applyNumberFormat="1" applyFont="1"/>
    <xf numFmtId="0" fontId="8" fillId="0" borderId="0" xfId="0" applyFont="1" applyAlignment="1">
      <alignment wrapText="1"/>
    </xf>
    <xf numFmtId="0" fontId="10" fillId="0" borderId="13" xfId="0" applyFont="1" applyBorder="1" applyAlignment="1">
      <alignment vertical="top"/>
    </xf>
    <xf numFmtId="0" fontId="10" fillId="0" borderId="21" xfId="0" applyFont="1" applyBorder="1" applyAlignment="1">
      <alignment horizontal="left" vertical="top" wrapText="1"/>
    </xf>
    <xf numFmtId="0" fontId="10" fillId="6" borderId="0" xfId="5" applyFont="1" applyFill="1"/>
    <xf numFmtId="0" fontId="10" fillId="0" borderId="0" xfId="5" applyFont="1"/>
    <xf numFmtId="0" fontId="13" fillId="0" borderId="0" xfId="0" applyFont="1" applyAlignment="1">
      <alignment horizontal="left"/>
    </xf>
    <xf numFmtId="0" fontId="10" fillId="0" borderId="0" xfId="0" applyFont="1" applyAlignment="1">
      <alignment vertical="top"/>
    </xf>
    <xf numFmtId="0" fontId="13" fillId="0" borderId="0" xfId="0" applyFont="1" applyAlignment="1">
      <alignment vertical="top"/>
    </xf>
    <xf numFmtId="0" fontId="10" fillId="0" borderId="5" xfId="0" applyFont="1" applyBorder="1" applyAlignment="1">
      <alignment vertical="top"/>
    </xf>
    <xf numFmtId="0" fontId="10" fillId="0" borderId="5" xfId="0" applyFont="1" applyBorder="1" applyAlignment="1">
      <alignment vertical="top" wrapText="1"/>
    </xf>
    <xf numFmtId="0" fontId="13" fillId="0" borderId="15" xfId="0" applyFont="1" applyBorder="1" applyAlignment="1">
      <alignment horizontal="center" vertical="top"/>
    </xf>
    <xf numFmtId="0" fontId="13" fillId="0" borderId="13" xfId="0" applyFont="1" applyBorder="1" applyAlignment="1">
      <alignment horizontal="center" vertical="top" wrapText="1"/>
    </xf>
    <xf numFmtId="0" fontId="10" fillId="0" borderId="22" xfId="0" applyFont="1" applyBorder="1" applyAlignment="1">
      <alignment vertical="top" wrapText="1"/>
    </xf>
    <xf numFmtId="0" fontId="10" fillId="0" borderId="21" xfId="0" applyFont="1" applyBorder="1" applyAlignment="1">
      <alignment horizontal="center" vertical="top"/>
    </xf>
    <xf numFmtId="0" fontId="10" fillId="0" borderId="33" xfId="0" applyFont="1" applyBorder="1" applyAlignment="1">
      <alignment vertical="top"/>
    </xf>
    <xf numFmtId="0" fontId="10" fillId="0" borderId="22" xfId="0" applyFont="1" applyBorder="1" applyAlignment="1">
      <alignment vertical="top"/>
    </xf>
    <xf numFmtId="3" fontId="10" fillId="0" borderId="21" xfId="0" applyNumberFormat="1" applyFont="1" applyBorder="1" applyAlignment="1">
      <alignment horizontal="right" vertical="top"/>
    </xf>
    <xf numFmtId="0" fontId="10" fillId="0" borderId="21" xfId="0" applyFont="1" applyBorder="1" applyAlignment="1">
      <alignment horizontal="right" vertical="top"/>
    </xf>
    <xf numFmtId="0" fontId="10" fillId="0" borderId="33" xfId="0" applyFont="1" applyBorder="1" applyAlignment="1">
      <alignment horizontal="right" vertical="top"/>
    </xf>
    <xf numFmtId="43" fontId="10" fillId="0" borderId="21" xfId="1" applyFont="1" applyFill="1" applyBorder="1" applyAlignment="1">
      <alignment horizontal="right" vertical="top"/>
    </xf>
    <xf numFmtId="43" fontId="10" fillId="0" borderId="33" xfId="1" applyFont="1" applyFill="1" applyBorder="1" applyAlignment="1">
      <alignment horizontal="right" vertical="top"/>
    </xf>
    <xf numFmtId="0" fontId="10" fillId="0" borderId="0" xfId="0" applyFont="1" applyAlignment="1">
      <alignment horizontal="justify" vertical="top" wrapText="1"/>
    </xf>
    <xf numFmtId="3" fontId="10" fillId="0" borderId="18" xfId="0" applyNumberFormat="1" applyFont="1" applyBorder="1" applyAlignment="1">
      <alignment horizontal="right" vertical="top"/>
    </xf>
    <xf numFmtId="43" fontId="10" fillId="0" borderId="18" xfId="1" applyFont="1" applyFill="1" applyBorder="1" applyAlignment="1">
      <alignment horizontal="right" vertical="top"/>
    </xf>
    <xf numFmtId="43" fontId="10" fillId="0" borderId="37" xfId="1" applyFont="1" applyFill="1" applyBorder="1" applyAlignment="1">
      <alignment horizontal="right" vertical="top"/>
    </xf>
    <xf numFmtId="3" fontId="10" fillId="0" borderId="55" xfId="0" applyNumberFormat="1" applyFont="1" applyBorder="1" applyAlignment="1">
      <alignment horizontal="right" vertical="top"/>
    </xf>
    <xf numFmtId="43" fontId="10" fillId="0" borderId="55" xfId="1" applyFont="1" applyFill="1" applyBorder="1" applyAlignment="1">
      <alignment horizontal="right" vertical="top"/>
    </xf>
    <xf numFmtId="43" fontId="10" fillId="0" borderId="31" xfId="1" applyFont="1" applyFill="1" applyBorder="1" applyAlignment="1">
      <alignment horizontal="right" vertical="top"/>
    </xf>
    <xf numFmtId="3" fontId="10" fillId="0" borderId="0" xfId="0" applyNumberFormat="1" applyFont="1" applyAlignment="1">
      <alignment horizontal="right" vertical="top"/>
    </xf>
    <xf numFmtId="43" fontId="10" fillId="0" borderId="0" xfId="1" applyFont="1" applyFill="1" applyBorder="1" applyAlignment="1">
      <alignment horizontal="right" vertical="top"/>
    </xf>
    <xf numFmtId="0" fontId="13" fillId="0" borderId="15" xfId="0" applyFont="1" applyBorder="1" applyAlignment="1">
      <alignment horizontal="center" vertical="top" wrapText="1"/>
    </xf>
    <xf numFmtId="0" fontId="10" fillId="0" borderId="15" xfId="0" applyFont="1" applyBorder="1" applyAlignment="1">
      <alignment vertical="top" wrapText="1"/>
    </xf>
    <xf numFmtId="0" fontId="10" fillId="0" borderId="16" xfId="0" applyFont="1" applyBorder="1" applyAlignment="1">
      <alignment horizontal="right" vertical="top" wrapText="1"/>
    </xf>
    <xf numFmtId="4" fontId="10" fillId="0" borderId="15" xfId="0" applyNumberFormat="1" applyFont="1" applyBorder="1" applyAlignment="1">
      <alignment horizontal="right" vertical="top" wrapText="1"/>
    </xf>
    <xf numFmtId="0" fontId="10" fillId="0" borderId="21" xfId="0" applyFont="1" applyBorder="1" applyAlignment="1">
      <alignment horizontal="right" vertical="top" wrapText="1"/>
    </xf>
    <xf numFmtId="4" fontId="10" fillId="0" borderId="22" xfId="0" applyNumberFormat="1" applyFont="1" applyBorder="1" applyAlignment="1">
      <alignment horizontal="right" vertical="top" wrapText="1"/>
    </xf>
    <xf numFmtId="0" fontId="10" fillId="0" borderId="22" xfId="0" applyFont="1" applyBorder="1" applyAlignment="1">
      <alignment horizontal="right" vertical="top" wrapText="1"/>
    </xf>
    <xf numFmtId="0" fontId="10" fillId="0" borderId="21" xfId="0" applyFont="1" applyBorder="1" applyAlignment="1">
      <alignment vertical="top" wrapText="1"/>
    </xf>
    <xf numFmtId="0" fontId="10" fillId="0" borderId="20" xfId="0" applyFont="1" applyBorder="1" applyAlignment="1">
      <alignment vertical="top" wrapText="1"/>
    </xf>
    <xf numFmtId="0" fontId="10" fillId="0" borderId="18" xfId="0" applyFont="1" applyBorder="1" applyAlignment="1">
      <alignment vertical="top" wrapText="1"/>
    </xf>
    <xf numFmtId="0" fontId="13" fillId="0" borderId="23" xfId="0" applyFont="1" applyBorder="1" applyAlignment="1">
      <alignment horizontal="center" vertical="top" wrapText="1"/>
    </xf>
    <xf numFmtId="10" fontId="10" fillId="0" borderId="21" xfId="0" applyNumberFormat="1" applyFont="1" applyBorder="1" applyAlignment="1">
      <alignment horizontal="right" vertical="top" wrapText="1"/>
    </xf>
    <xf numFmtId="9" fontId="10" fillId="0" borderId="21" xfId="0" applyNumberFormat="1" applyFont="1" applyBorder="1" applyAlignment="1">
      <alignment horizontal="right" vertical="top" wrapText="1"/>
    </xf>
    <xf numFmtId="10" fontId="10" fillId="0" borderId="18" xfId="0" applyNumberFormat="1" applyFont="1" applyBorder="1" applyAlignment="1">
      <alignment horizontal="right" vertical="top" wrapText="1"/>
    </xf>
    <xf numFmtId="0" fontId="10" fillId="0" borderId="11" xfId="0" applyFont="1" applyBorder="1" applyAlignment="1">
      <alignment vertical="top"/>
    </xf>
    <xf numFmtId="0" fontId="10" fillId="0" borderId="12" xfId="0" applyFont="1" applyBorder="1" applyAlignment="1">
      <alignment vertical="top"/>
    </xf>
    <xf numFmtId="0" fontId="10" fillId="0" borderId="0" xfId="0" applyFont="1" applyAlignment="1">
      <alignment horizontal="center" vertical="top"/>
    </xf>
    <xf numFmtId="0" fontId="10" fillId="0" borderId="2" xfId="5" applyFont="1" applyBorder="1" applyAlignment="1">
      <alignment vertical="top"/>
    </xf>
    <xf numFmtId="0" fontId="10" fillId="0" borderId="3" xfId="5" applyFont="1" applyBorder="1" applyAlignment="1">
      <alignment vertical="top"/>
    </xf>
    <xf numFmtId="0" fontId="10" fillId="0" borderId="19" xfId="5" applyFont="1" applyBorder="1" applyAlignment="1">
      <alignment vertical="top"/>
    </xf>
    <xf numFmtId="0" fontId="10" fillId="0" borderId="32" xfId="5" applyFont="1" applyBorder="1" applyAlignment="1">
      <alignment vertical="top"/>
    </xf>
    <xf numFmtId="0" fontId="10" fillId="0" borderId="17" xfId="5" applyFont="1" applyBorder="1" applyAlignment="1">
      <alignment vertical="top"/>
    </xf>
    <xf numFmtId="0" fontId="10" fillId="0" borderId="5" xfId="5" applyFont="1" applyBorder="1" applyAlignment="1">
      <alignment vertical="top"/>
    </xf>
    <xf numFmtId="0" fontId="10" fillId="0" borderId="28" xfId="5" applyFont="1" applyBorder="1" applyAlignment="1">
      <alignment vertical="top"/>
    </xf>
    <xf numFmtId="0" fontId="13" fillId="0" borderId="15" xfId="0" applyFont="1" applyBorder="1" applyAlignment="1">
      <alignment vertical="top" wrapText="1"/>
    </xf>
    <xf numFmtId="3" fontId="10" fillId="0" borderId="21" xfId="0" applyNumberFormat="1" applyFont="1" applyBorder="1" applyAlignment="1">
      <alignment horizontal="right" vertical="top" wrapText="1"/>
    </xf>
    <xf numFmtId="3" fontId="10" fillId="0" borderId="21" xfId="0" quotePrefix="1" applyNumberFormat="1" applyFont="1" applyBorder="1" applyAlignment="1">
      <alignment horizontal="right" vertical="top" wrapText="1"/>
    </xf>
    <xf numFmtId="3" fontId="10" fillId="0" borderId="16" xfId="0" applyNumberFormat="1" applyFont="1" applyBorder="1" applyAlignment="1">
      <alignment horizontal="right" vertical="top" wrapText="1"/>
    </xf>
    <xf numFmtId="3" fontId="10" fillId="0" borderId="18" xfId="0" quotePrefix="1" applyNumberFormat="1" applyFont="1" applyBorder="1" applyAlignment="1">
      <alignment horizontal="right" vertical="top" wrapText="1"/>
    </xf>
    <xf numFmtId="43" fontId="13" fillId="0" borderId="0" xfId="1" applyFont="1" applyFill="1" applyBorder="1" applyAlignment="1">
      <alignment horizontal="center" vertical="top"/>
    </xf>
    <xf numFmtId="0" fontId="13" fillId="0" borderId="16" xfId="0" applyFont="1" applyBorder="1" applyAlignment="1">
      <alignment horizontal="center" vertical="top" wrapText="1"/>
    </xf>
    <xf numFmtId="0" fontId="10" fillId="0" borderId="18" xfId="0" applyFont="1" applyBorder="1" applyAlignment="1">
      <alignment horizontal="center" vertical="top"/>
    </xf>
    <xf numFmtId="0" fontId="10" fillId="0" borderId="19" xfId="0" applyFont="1" applyBorder="1" applyAlignment="1">
      <alignment vertical="top"/>
    </xf>
    <xf numFmtId="0" fontId="10" fillId="0" borderId="20" xfId="0" applyFont="1" applyBorder="1" applyAlignment="1">
      <alignment vertical="top"/>
    </xf>
    <xf numFmtId="0" fontId="10" fillId="0" borderId="51" xfId="5" applyFont="1" applyBorder="1" applyAlignment="1">
      <alignment vertical="top"/>
    </xf>
    <xf numFmtId="0" fontId="10" fillId="0" borderId="19" xfId="0" applyFont="1" applyBorder="1" applyAlignment="1">
      <alignment horizontal="center" vertical="top"/>
    </xf>
    <xf numFmtId="0" fontId="13" fillId="0" borderId="0" xfId="5" applyFont="1" applyAlignment="1">
      <alignment vertical="top"/>
    </xf>
    <xf numFmtId="0" fontId="13" fillId="0" borderId="0" xfId="0" applyFont="1" applyAlignment="1">
      <alignment horizontal="center" vertical="top"/>
    </xf>
    <xf numFmtId="0" fontId="13" fillId="0" borderId="18" xfId="5" applyFont="1" applyBorder="1" applyAlignment="1">
      <alignment vertical="top"/>
    </xf>
    <xf numFmtId="0" fontId="10" fillId="0" borderId="16" xfId="5" applyFont="1" applyBorder="1" applyAlignment="1">
      <alignment vertical="top"/>
    </xf>
    <xf numFmtId="0" fontId="10" fillId="0" borderId="21" xfId="5" applyFont="1" applyBorder="1" applyAlignment="1">
      <alignment horizontal="center" vertical="top"/>
    </xf>
    <xf numFmtId="0" fontId="10" fillId="0" borderId="21" xfId="5" applyFont="1" applyBorder="1" applyAlignment="1">
      <alignment vertical="top"/>
    </xf>
    <xf numFmtId="0" fontId="10" fillId="0" borderId="29" xfId="5" applyFont="1" applyBorder="1" applyAlignment="1">
      <alignment vertical="top"/>
    </xf>
    <xf numFmtId="0" fontId="10" fillId="0" borderId="18" xfId="5" applyFont="1" applyBorder="1" applyAlignment="1">
      <alignment vertical="top"/>
    </xf>
    <xf numFmtId="0" fontId="10" fillId="0" borderId="18" xfId="5" applyFont="1" applyBorder="1" applyAlignment="1">
      <alignment horizontal="center" vertical="top"/>
    </xf>
    <xf numFmtId="0" fontId="10" fillId="0" borderId="34" xfId="5" applyFont="1" applyBorder="1" applyAlignment="1">
      <alignment vertical="top"/>
    </xf>
    <xf numFmtId="0" fontId="10" fillId="0" borderId="11" xfId="5" applyFont="1" applyBorder="1" applyAlignment="1">
      <alignment vertical="top"/>
    </xf>
    <xf numFmtId="0" fontId="10" fillId="0" borderId="12" xfId="5" applyFont="1" applyBorder="1" applyAlignment="1">
      <alignment vertical="top"/>
    </xf>
    <xf numFmtId="0" fontId="10" fillId="0" borderId="0" xfId="5" applyFont="1" applyAlignment="1">
      <alignment horizontal="center" vertical="top"/>
    </xf>
    <xf numFmtId="0" fontId="13" fillId="0" borderId="29" xfId="0" applyFont="1" applyBorder="1" applyAlignment="1">
      <alignment vertical="top" wrapText="1"/>
    </xf>
    <xf numFmtId="0" fontId="10" fillId="0" borderId="33" xfId="5" applyFont="1" applyBorder="1" applyAlignment="1">
      <alignment vertical="top"/>
    </xf>
    <xf numFmtId="0" fontId="10" fillId="0" borderId="29" xfId="0" applyFont="1" applyBorder="1" applyAlignment="1">
      <alignment vertical="top" wrapText="1"/>
    </xf>
    <xf numFmtId="0" fontId="10" fillId="0" borderId="36" xfId="5" applyFont="1" applyBorder="1" applyAlignment="1">
      <alignment vertical="top"/>
    </xf>
    <xf numFmtId="0" fontId="10" fillId="0" borderId="39" xfId="5" applyFont="1" applyBorder="1" applyAlignment="1">
      <alignment vertical="top"/>
    </xf>
    <xf numFmtId="0" fontId="13" fillId="0" borderId="29" xfId="5" applyFont="1" applyBorder="1" applyAlignment="1">
      <alignment vertical="top"/>
    </xf>
    <xf numFmtId="0" fontId="10" fillId="0" borderId="29" xfId="5" applyFont="1" applyBorder="1" applyAlignment="1">
      <alignment horizontal="left" vertical="top" wrapText="1"/>
    </xf>
    <xf numFmtId="0" fontId="10" fillId="0" borderId="0" xfId="5" applyFont="1" applyAlignment="1">
      <alignment horizontal="left" vertical="top" wrapText="1"/>
    </xf>
    <xf numFmtId="0" fontId="19" fillId="0" borderId="29" xfId="5" applyFont="1" applyBorder="1" applyAlignment="1">
      <alignment vertical="top"/>
    </xf>
    <xf numFmtId="0" fontId="10" fillId="0" borderId="21" xfId="5" applyFont="1" applyBorder="1" applyAlignment="1">
      <alignment horizontal="left" vertical="top"/>
    </xf>
    <xf numFmtId="0" fontId="10" fillId="0" borderId="46" xfId="5" applyFont="1" applyBorder="1" applyAlignment="1">
      <alignment vertical="top"/>
    </xf>
    <xf numFmtId="0" fontId="10" fillId="0" borderId="13" xfId="5" applyFont="1" applyBorder="1" applyAlignment="1">
      <alignment vertical="top"/>
    </xf>
    <xf numFmtId="0" fontId="13" fillId="0" borderId="21" xfId="5" applyFont="1" applyBorder="1" applyAlignment="1">
      <alignment vertical="top"/>
    </xf>
    <xf numFmtId="0" fontId="10" fillId="0" borderId="29" xfId="0" applyFont="1" applyBorder="1" applyAlignment="1">
      <alignment horizontal="left" vertical="top" wrapText="1"/>
    </xf>
    <xf numFmtId="0" fontId="10" fillId="0" borderId="29" xfId="5" quotePrefix="1" applyFont="1" applyBorder="1" applyAlignment="1">
      <alignment vertical="top"/>
    </xf>
    <xf numFmtId="0" fontId="13" fillId="0" borderId="16" xfId="5" applyFont="1" applyBorder="1" applyAlignment="1">
      <alignment vertical="top"/>
    </xf>
    <xf numFmtId="0" fontId="10" fillId="0" borderId="29" xfId="5" applyFont="1" applyBorder="1" applyAlignment="1">
      <alignment vertical="top" wrapText="1"/>
    </xf>
    <xf numFmtId="0" fontId="13" fillId="0" borderId="0" xfId="0" applyFont="1" applyAlignment="1">
      <alignment vertical="top" wrapText="1"/>
    </xf>
    <xf numFmtId="43" fontId="10" fillId="0" borderId="22" xfId="7" applyFont="1" applyFill="1" applyBorder="1" applyAlignment="1" applyProtection="1">
      <alignment vertical="top"/>
    </xf>
    <xf numFmtId="43" fontId="10" fillId="0" borderId="22" xfId="7" applyFont="1" applyFill="1" applyBorder="1" applyAlignment="1" applyProtection="1">
      <alignment vertical="top"/>
      <protection locked="0"/>
    </xf>
    <xf numFmtId="0" fontId="10" fillId="0" borderId="21" xfId="0" applyFont="1" applyBorder="1" applyAlignment="1">
      <alignment vertical="top"/>
    </xf>
    <xf numFmtId="0" fontId="10" fillId="0" borderId="22" xfId="5" applyFont="1" applyBorder="1" applyAlignment="1">
      <alignment horizontal="center" vertical="top"/>
    </xf>
    <xf numFmtId="0" fontId="13" fillId="0" borderId="21" xfId="0" applyFont="1" applyBorder="1" applyAlignment="1">
      <alignment horizontal="left" vertical="top"/>
    </xf>
    <xf numFmtId="0" fontId="13" fillId="0" borderId="29" xfId="0" applyFont="1" applyBorder="1" applyAlignment="1">
      <alignment horizontal="left" vertical="top"/>
    </xf>
    <xf numFmtId="0" fontId="10" fillId="0" borderId="16" xfId="0" applyFont="1" applyBorder="1" applyAlignment="1">
      <alignment vertical="top" wrapText="1"/>
    </xf>
    <xf numFmtId="0" fontId="10" fillId="0" borderId="22" xfId="5" applyFont="1" applyBorder="1" applyAlignment="1">
      <alignment vertical="top"/>
    </xf>
    <xf numFmtId="0" fontId="10" fillId="0" borderId="22" xfId="0" applyFont="1" applyBorder="1" applyAlignment="1">
      <alignment horizontal="left" vertical="top" wrapText="1"/>
    </xf>
    <xf numFmtId="0" fontId="10" fillId="0" borderId="29" xfId="0" applyFont="1" applyBorder="1" applyAlignment="1">
      <alignment vertical="top"/>
    </xf>
    <xf numFmtId="0" fontId="10" fillId="0" borderId="46" xfId="0" applyFont="1" applyBorder="1" applyAlignment="1">
      <alignment vertical="top"/>
    </xf>
    <xf numFmtId="0" fontId="10" fillId="0" borderId="20" xfId="5" applyFont="1" applyBorder="1" applyAlignment="1">
      <alignment vertical="top"/>
    </xf>
    <xf numFmtId="0" fontId="10" fillId="0" borderId="20" xfId="5" applyFont="1" applyBorder="1" applyAlignment="1">
      <alignment horizontal="center" vertical="top"/>
    </xf>
    <xf numFmtId="0" fontId="13" fillId="0" borderId="0" xfId="0" applyFont="1" applyAlignment="1">
      <alignment horizontal="left" vertical="top" wrapText="1"/>
    </xf>
    <xf numFmtId="0" fontId="10" fillId="0" borderId="0" xfId="0" applyFont="1" applyAlignment="1">
      <alignment horizontal="center" vertical="top" wrapText="1"/>
    </xf>
    <xf numFmtId="0" fontId="10" fillId="0" borderId="0" xfId="5" applyFont="1" applyAlignment="1">
      <alignment vertical="top" wrapText="1"/>
    </xf>
    <xf numFmtId="0" fontId="13" fillId="0" borderId="16" xfId="5" applyFont="1" applyBorder="1" applyAlignment="1">
      <alignment horizontal="center" vertical="top"/>
    </xf>
    <xf numFmtId="0" fontId="13" fillId="0" borderId="18" xfId="5" applyFont="1" applyBorder="1" applyAlignment="1">
      <alignment horizontal="center" vertical="top"/>
    </xf>
    <xf numFmtId="0" fontId="10" fillId="0" borderId="16" xfId="5" applyFont="1" applyBorder="1" applyAlignment="1">
      <alignment horizontal="center" vertical="top"/>
    </xf>
    <xf numFmtId="0" fontId="10" fillId="0" borderId="48" xfId="5" applyFont="1" applyBorder="1" applyAlignment="1">
      <alignment horizontal="center" vertical="top"/>
    </xf>
    <xf numFmtId="0" fontId="10" fillId="0" borderId="33" xfId="5" applyFont="1" applyBorder="1" applyAlignment="1">
      <alignment horizontal="center" vertical="top"/>
    </xf>
    <xf numFmtId="0" fontId="10" fillId="0" borderId="37" xfId="5" applyFont="1" applyBorder="1" applyAlignment="1">
      <alignment horizontal="center" vertical="top"/>
    </xf>
    <xf numFmtId="0" fontId="10" fillId="0" borderId="21" xfId="5" applyFont="1" applyBorder="1" applyAlignment="1">
      <alignment horizontal="right" vertical="top"/>
    </xf>
    <xf numFmtId="0" fontId="13" fillId="0" borderId="21" xfId="5" applyFont="1" applyBorder="1" applyAlignment="1">
      <alignment horizontal="center" vertical="top"/>
    </xf>
    <xf numFmtId="0" fontId="10" fillId="0" borderId="15" xfId="5" applyFont="1" applyBorder="1" applyAlignment="1">
      <alignment vertical="top"/>
    </xf>
    <xf numFmtId="43" fontId="13" fillId="0" borderId="16" xfId="1" applyFont="1" applyFill="1" applyBorder="1" applyAlignment="1">
      <alignment horizontal="center" vertical="center"/>
    </xf>
    <xf numFmtId="0" fontId="13" fillId="0" borderId="5" xfId="0" applyFont="1" applyBorder="1" applyAlignment="1">
      <alignment horizontal="center" vertical="top"/>
    </xf>
    <xf numFmtId="43" fontId="10" fillId="0" borderId="21" xfId="5" applyNumberFormat="1" applyFont="1" applyBorder="1" applyAlignment="1">
      <alignment vertical="top"/>
    </xf>
    <xf numFmtId="43" fontId="13" fillId="0" borderId="18" xfId="3" applyFont="1" applyFill="1" applyBorder="1" applyAlignment="1">
      <alignment vertical="top" wrapText="1"/>
    </xf>
    <xf numFmtId="43" fontId="10" fillId="0" borderId="21" xfId="3" applyFont="1" applyFill="1" applyBorder="1" applyAlignment="1">
      <alignment vertical="top"/>
    </xf>
    <xf numFmtId="43" fontId="13" fillId="0" borderId="18" xfId="3" applyFont="1" applyFill="1" applyBorder="1" applyAlignment="1">
      <alignment vertical="top"/>
    </xf>
    <xf numFmtId="43" fontId="10" fillId="0" borderId="21" xfId="3" applyFont="1" applyFill="1" applyBorder="1" applyAlignment="1">
      <alignment horizontal="right" vertical="top"/>
    </xf>
    <xf numFmtId="43" fontId="13" fillId="0" borderId="18" xfId="3" applyFont="1" applyFill="1" applyBorder="1" applyAlignment="1">
      <alignment horizontal="right" vertical="top"/>
    </xf>
    <xf numFmtId="10" fontId="10" fillId="0" borderId="21" xfId="11" applyNumberFormat="1" applyFont="1" applyFill="1" applyBorder="1" applyAlignment="1">
      <alignment horizontal="right" vertical="top"/>
    </xf>
    <xf numFmtId="0" fontId="10" fillId="0" borderId="21" xfId="5" applyFont="1" applyBorder="1" applyAlignment="1">
      <alignment vertical="top" wrapText="1"/>
    </xf>
    <xf numFmtId="0" fontId="13" fillId="0" borderId="0" xfId="5" applyFont="1" applyAlignment="1">
      <alignment horizontal="center" vertical="top"/>
    </xf>
    <xf numFmtId="0" fontId="10" fillId="0" borderId="16" xfId="0" applyFont="1" applyBorder="1" applyAlignment="1">
      <alignment vertical="top"/>
    </xf>
    <xf numFmtId="0" fontId="10" fillId="0" borderId="18" xfId="0" applyFont="1" applyBorder="1" applyAlignment="1">
      <alignment vertical="top"/>
    </xf>
    <xf numFmtId="10" fontId="10" fillId="0" borderId="29" xfId="11" applyNumberFormat="1" applyFont="1" applyFill="1" applyBorder="1" applyAlignment="1">
      <alignment horizontal="right" vertical="top"/>
    </xf>
    <xf numFmtId="0" fontId="13" fillId="0" borderId="29" xfId="0" applyFont="1" applyBorder="1" applyAlignment="1">
      <alignment horizontal="left" vertical="top" wrapText="1"/>
    </xf>
    <xf numFmtId="0" fontId="13" fillId="0" borderId="0" xfId="0" applyFont="1" applyAlignment="1">
      <alignment horizontal="center" vertical="top" wrapText="1"/>
    </xf>
    <xf numFmtId="0" fontId="13" fillId="0" borderId="29" xfId="0" applyFont="1" applyBorder="1" applyAlignment="1">
      <alignment horizontal="center" vertical="top" wrapText="1"/>
    </xf>
    <xf numFmtId="43" fontId="13" fillId="0" borderId="13" xfId="1" applyFont="1" applyFill="1" applyBorder="1" applyAlignment="1">
      <alignment horizontal="center" vertical="center" wrapText="1"/>
    </xf>
    <xf numFmtId="0" fontId="10" fillId="0" borderId="29" xfId="5" applyFont="1" applyBorder="1" applyAlignment="1">
      <alignment horizontal="right" vertical="top" wrapText="1"/>
    </xf>
    <xf numFmtId="0" fontId="10" fillId="0" borderId="46" xfId="5" applyFont="1" applyBorder="1" applyAlignment="1">
      <alignment horizontal="right" vertical="top" wrapText="1"/>
    </xf>
    <xf numFmtId="171" fontId="8" fillId="0" borderId="0" xfId="1" applyNumberFormat="1" applyFont="1"/>
    <xf numFmtId="0" fontId="13" fillId="6" borderId="0" xfId="0" applyFont="1" applyFill="1" applyAlignment="1">
      <alignment vertical="top"/>
    </xf>
    <xf numFmtId="43" fontId="8" fillId="0" borderId="0" xfId="1" applyFont="1"/>
    <xf numFmtId="0" fontId="8" fillId="0" borderId="0" xfId="0" applyFont="1" applyAlignment="1">
      <alignment horizontal="justify" vertical="top" wrapText="1"/>
    </xf>
    <xf numFmtId="0" fontId="8" fillId="0" borderId="0" xfId="0" applyFont="1" applyAlignment="1">
      <alignment horizontal="left" vertical="top" wrapText="1"/>
    </xf>
    <xf numFmtId="0" fontId="8" fillId="0" borderId="0" xfId="0" applyFont="1" applyAlignment="1">
      <alignment horizontal="right"/>
    </xf>
    <xf numFmtId="0" fontId="8" fillId="0" borderId="21" xfId="0" applyFont="1" applyBorder="1"/>
    <xf numFmtId="0" fontId="8" fillId="0" borderId="18" xfId="0" applyFont="1" applyBorder="1"/>
    <xf numFmtId="0" fontId="8" fillId="0" borderId="0" xfId="0" applyFont="1" applyAlignment="1">
      <alignment horizontal="center"/>
    </xf>
    <xf numFmtId="0" fontId="8" fillId="0" borderId="29" xfId="0" applyFont="1" applyBorder="1"/>
    <xf numFmtId="0" fontId="11" fillId="0" borderId="13" xfId="0" applyFont="1" applyBorder="1" applyAlignment="1">
      <alignment horizontal="center"/>
    </xf>
    <xf numFmtId="0" fontId="8" fillId="0" borderId="0" xfId="0" applyFont="1" applyAlignment="1">
      <alignment horizontal="left" vertical="top" wrapText="1" indent="2"/>
    </xf>
    <xf numFmtId="0" fontId="11" fillId="0" borderId="0" xfId="0" applyFont="1" applyAlignment="1">
      <alignment horizontal="left" vertical="top" wrapText="1"/>
    </xf>
    <xf numFmtId="0" fontId="13" fillId="6" borderId="0" xfId="0" applyFont="1" applyFill="1" applyAlignment="1">
      <alignment vertical="top" wrapText="1"/>
    </xf>
    <xf numFmtId="0" fontId="10" fillId="4" borderId="0" xfId="0" applyFont="1" applyFill="1" applyAlignment="1">
      <alignment horizontal="left" vertical="top"/>
    </xf>
    <xf numFmtId="43" fontId="10" fillId="4" borderId="0" xfId="1" applyFont="1" applyFill="1" applyBorder="1" applyAlignment="1">
      <alignment vertical="top"/>
    </xf>
    <xf numFmtId="0" fontId="10" fillId="0" borderId="29" xfId="0" applyFont="1" applyBorder="1" applyAlignment="1">
      <alignment horizontal="justify" vertical="top" wrapText="1"/>
    </xf>
    <xf numFmtId="43" fontId="10" fillId="4" borderId="21" xfId="1" applyFont="1" applyFill="1" applyBorder="1" applyAlignment="1">
      <alignment vertical="top"/>
    </xf>
    <xf numFmtId="0" fontId="10" fillId="4" borderId="14" xfId="0" applyFont="1" applyFill="1" applyBorder="1" applyAlignment="1">
      <alignment horizontal="left" vertical="top"/>
    </xf>
    <xf numFmtId="0" fontId="10" fillId="0" borderId="16" xfId="0" applyFont="1" applyBorder="1" applyAlignment="1">
      <alignment horizontal="center" vertical="top"/>
    </xf>
    <xf numFmtId="0" fontId="10" fillId="4" borderId="22" xfId="0" applyFont="1" applyFill="1" applyBorder="1" applyAlignment="1">
      <alignment horizontal="left" vertical="top"/>
    </xf>
    <xf numFmtId="43" fontId="10" fillId="4" borderId="46" xfId="1" applyFont="1" applyFill="1" applyBorder="1" applyAlignment="1">
      <alignment vertical="top"/>
    </xf>
    <xf numFmtId="0" fontId="13" fillId="4" borderId="13" xfId="0" applyFont="1" applyFill="1" applyBorder="1" applyAlignment="1">
      <alignment horizontal="left" vertical="top"/>
    </xf>
    <xf numFmtId="43" fontId="13" fillId="4" borderId="13" xfId="1" applyFont="1" applyFill="1" applyBorder="1" applyAlignment="1">
      <alignment vertical="top"/>
    </xf>
    <xf numFmtId="0" fontId="10" fillId="4" borderId="20" xfId="0" applyFont="1" applyFill="1" applyBorder="1" applyAlignment="1">
      <alignment horizontal="left" vertical="top"/>
    </xf>
    <xf numFmtId="43" fontId="10" fillId="4" borderId="18" xfId="1" applyFont="1" applyFill="1" applyBorder="1" applyAlignment="1">
      <alignment vertical="top"/>
    </xf>
    <xf numFmtId="43" fontId="10" fillId="4" borderId="17" xfId="1" applyFont="1" applyFill="1" applyBorder="1" applyAlignment="1">
      <alignment vertical="top"/>
    </xf>
    <xf numFmtId="43" fontId="10" fillId="4" borderId="19" xfId="1" applyFont="1" applyFill="1" applyBorder="1" applyAlignment="1">
      <alignment vertical="top"/>
    </xf>
    <xf numFmtId="0" fontId="10" fillId="0" borderId="23" xfId="5" applyFont="1" applyBorder="1" applyAlignment="1">
      <alignment horizontal="center" vertical="top" wrapText="1"/>
    </xf>
    <xf numFmtId="0" fontId="10" fillId="4" borderId="17" xfId="0" applyFont="1" applyFill="1" applyBorder="1" applyAlignment="1">
      <alignment horizontal="left" vertical="top"/>
    </xf>
    <xf numFmtId="0" fontId="13" fillId="0" borderId="29" xfId="0" applyFont="1" applyBorder="1" applyAlignment="1">
      <alignment horizontal="right" vertical="top"/>
    </xf>
    <xf numFmtId="0" fontId="13" fillId="0" borderId="22" xfId="0" applyFont="1" applyBorder="1" applyAlignment="1">
      <alignment horizontal="right" vertical="top"/>
    </xf>
    <xf numFmtId="0" fontId="10" fillId="0" borderId="15" xfId="0" applyFont="1" applyBorder="1" applyAlignment="1">
      <alignment vertical="top"/>
    </xf>
    <xf numFmtId="0" fontId="13" fillId="0" borderId="29" xfId="0" applyFont="1" applyBorder="1" applyAlignment="1">
      <alignment vertical="top"/>
    </xf>
    <xf numFmtId="0" fontId="14" fillId="0" borderId="14" xfId="0" applyFont="1" applyBorder="1" applyAlignment="1">
      <alignment vertical="top"/>
    </xf>
    <xf numFmtId="0" fontId="14" fillId="0" borderId="29" xfId="0" applyFont="1" applyBorder="1" applyAlignment="1">
      <alignment vertical="top"/>
    </xf>
    <xf numFmtId="0" fontId="13" fillId="0" borderId="16" xfId="0" applyFont="1" applyBorder="1" applyAlignment="1">
      <alignment vertical="top" wrapText="1"/>
    </xf>
    <xf numFmtId="0" fontId="13" fillId="0" borderId="0" xfId="0" applyFont="1" applyAlignment="1">
      <alignment horizontal="right" vertical="top"/>
    </xf>
    <xf numFmtId="0" fontId="13" fillId="0" borderId="22" xfId="0" applyFont="1" applyBorder="1" applyAlignment="1">
      <alignment horizontal="left" vertical="top" wrapText="1"/>
    </xf>
    <xf numFmtId="0" fontId="10" fillId="0" borderId="46" xfId="0" applyFont="1" applyBorder="1" applyAlignment="1">
      <alignment vertical="top" wrapText="1"/>
    </xf>
    <xf numFmtId="171" fontId="10" fillId="0" borderId="0" xfId="1" applyNumberFormat="1" applyFont="1" applyAlignment="1">
      <alignment vertical="top"/>
    </xf>
    <xf numFmtId="0" fontId="13" fillId="0" borderId="11" xfId="0" applyFont="1" applyBorder="1" applyAlignment="1">
      <alignment vertical="top"/>
    </xf>
    <xf numFmtId="0" fontId="10" fillId="0" borderId="22" xfId="0" applyFont="1" applyBorder="1" applyAlignment="1">
      <alignment horizontal="left" vertical="top"/>
    </xf>
    <xf numFmtId="0" fontId="10" fillId="0" borderId="4" xfId="0" applyFont="1" applyBorder="1" applyAlignment="1">
      <alignment vertical="top"/>
    </xf>
    <xf numFmtId="0" fontId="10" fillId="0" borderId="0" xfId="0" applyFont="1" applyAlignment="1">
      <alignment horizontal="center"/>
    </xf>
    <xf numFmtId="0" fontId="13" fillId="5" borderId="0" xfId="0" applyFont="1" applyFill="1" applyAlignment="1">
      <alignment horizontal="left"/>
    </xf>
    <xf numFmtId="0" fontId="13" fillId="6" borderId="0" xfId="0" applyFont="1" applyFill="1" applyAlignment="1">
      <alignment horizontal="left"/>
    </xf>
    <xf numFmtId="0" fontId="10" fillId="0" borderId="0" xfId="0" applyFont="1" applyAlignment="1">
      <alignment horizontal="left"/>
    </xf>
    <xf numFmtId="0" fontId="13" fillId="0" borderId="0" xfId="0" applyFont="1"/>
    <xf numFmtId="0" fontId="12" fillId="0" borderId="0" xfId="0" applyFont="1"/>
    <xf numFmtId="0" fontId="10" fillId="0" borderId="21" xfId="0" applyFont="1" applyBorder="1"/>
    <xf numFmtId="0" fontId="13" fillId="0" borderId="0" xfId="0" applyFont="1" applyAlignment="1">
      <alignment horizontal="center"/>
    </xf>
    <xf numFmtId="43" fontId="10" fillId="0" borderId="0" xfId="1" applyFont="1" applyFill="1" applyBorder="1" applyAlignment="1">
      <alignment vertical="top"/>
    </xf>
    <xf numFmtId="0" fontId="10" fillId="0" borderId="21" xfId="0" applyFont="1" applyBorder="1" applyAlignment="1">
      <alignment horizontal="left" vertical="top" indent="2"/>
    </xf>
    <xf numFmtId="0" fontId="10" fillId="0" borderId="0" xfId="0" applyFont="1" applyAlignment="1">
      <alignment horizontal="right" vertical="top"/>
    </xf>
    <xf numFmtId="0" fontId="10" fillId="0" borderId="4" xfId="0" applyFont="1" applyBorder="1" applyAlignment="1">
      <alignment horizontal="left" vertical="top"/>
    </xf>
    <xf numFmtId="43" fontId="13" fillId="0" borderId="0" xfId="1" applyFont="1" applyFill="1" applyBorder="1" applyAlignment="1">
      <alignment horizontal="center" vertical="center"/>
    </xf>
    <xf numFmtId="0" fontId="13" fillId="0" borderId="0" xfId="0" applyFont="1" applyAlignment="1">
      <alignment horizontal="right" vertical="top" wrapText="1"/>
    </xf>
    <xf numFmtId="43" fontId="10" fillId="4" borderId="16" xfId="1" applyFont="1" applyFill="1" applyBorder="1" applyAlignment="1">
      <alignment vertical="top"/>
    </xf>
    <xf numFmtId="44" fontId="13" fillId="0" borderId="13" xfId="1" applyNumberFormat="1" applyFont="1" applyFill="1" applyBorder="1" applyAlignment="1">
      <alignment horizontal="center" vertical="top"/>
    </xf>
    <xf numFmtId="0" fontId="13" fillId="6" borderId="0" xfId="0" applyFont="1" applyFill="1"/>
    <xf numFmtId="0" fontId="10" fillId="6" borderId="29" xfId="5" applyFont="1" applyFill="1" applyBorder="1"/>
    <xf numFmtId="0" fontId="10" fillId="6" borderId="21" xfId="5" applyFont="1" applyFill="1" applyBorder="1"/>
    <xf numFmtId="43" fontId="10" fillId="6" borderId="21" xfId="3" applyFont="1" applyFill="1" applyBorder="1" applyProtection="1"/>
    <xf numFmtId="0" fontId="10" fillId="6" borderId="29" xfId="5" applyFont="1" applyFill="1" applyBorder="1" applyAlignment="1">
      <alignment horizontal="left" vertical="top"/>
    </xf>
    <xf numFmtId="43" fontId="10" fillId="6" borderId="16" xfId="3" applyFont="1" applyFill="1" applyBorder="1" applyProtection="1"/>
    <xf numFmtId="43" fontId="10" fillId="6" borderId="18" xfId="3" applyFont="1" applyFill="1" applyBorder="1" applyProtection="1"/>
    <xf numFmtId="0" fontId="10" fillId="0" borderId="20" xfId="0" applyFont="1" applyBorder="1" applyAlignment="1">
      <alignment horizontal="left" vertical="top" wrapText="1"/>
    </xf>
    <xf numFmtId="0" fontId="13" fillId="0" borderId="21" xfId="0" applyFont="1" applyBorder="1" applyAlignment="1">
      <alignment vertical="top" wrapText="1"/>
    </xf>
    <xf numFmtId="0" fontId="13" fillId="0" borderId="21" xfId="0" applyFont="1" applyBorder="1" applyAlignment="1">
      <alignment horizontal="center" vertical="top"/>
    </xf>
    <xf numFmtId="0" fontId="13" fillId="0" borderId="22" xfId="0" applyFont="1" applyBorder="1" applyAlignment="1">
      <alignment horizontal="center" vertical="top"/>
    </xf>
    <xf numFmtId="0" fontId="10" fillId="0" borderId="46" xfId="0" applyFont="1" applyBorder="1" applyAlignment="1">
      <alignment horizontal="center" vertical="top"/>
    </xf>
    <xf numFmtId="43" fontId="10" fillId="0" borderId="21" xfId="1" applyFont="1" applyFill="1" applyBorder="1" applyAlignment="1">
      <alignment vertical="top"/>
    </xf>
    <xf numFmtId="0" fontId="10" fillId="0" borderId="18" xfId="0" applyFont="1" applyBorder="1" applyAlignment="1">
      <alignment horizontal="left" vertical="top" wrapText="1"/>
    </xf>
    <xf numFmtId="43" fontId="10" fillId="0" borderId="16" xfId="1" applyFont="1" applyFill="1" applyBorder="1" applyAlignment="1">
      <alignment vertical="top"/>
    </xf>
    <xf numFmtId="0" fontId="10" fillId="0" borderId="0" xfId="0" applyFont="1" applyAlignment="1">
      <alignment horizontal="left" vertical="top" wrapText="1" indent="2"/>
    </xf>
    <xf numFmtId="43" fontId="13" fillId="0" borderId="13" xfId="0" applyNumberFormat="1" applyFont="1" applyBorder="1" applyAlignment="1">
      <alignment horizontal="center" vertical="top" wrapText="1"/>
    </xf>
    <xf numFmtId="0" fontId="10" fillId="0" borderId="13" xfId="0" applyFont="1" applyBorder="1" applyAlignment="1">
      <alignment horizontal="center" vertical="top"/>
    </xf>
    <xf numFmtId="0" fontId="10" fillId="0" borderId="11" xfId="0" applyFont="1" applyBorder="1" applyAlignment="1">
      <alignment horizontal="left" vertical="top"/>
    </xf>
    <xf numFmtId="0" fontId="19" fillId="0" borderId="29" xfId="0" applyFont="1" applyBorder="1" applyAlignment="1">
      <alignment horizontal="left" vertical="top"/>
    </xf>
    <xf numFmtId="0" fontId="10" fillId="4" borderId="29" xfId="0" applyFont="1" applyFill="1" applyBorder="1" applyAlignment="1">
      <alignment horizontal="left" vertical="top"/>
    </xf>
    <xf numFmtId="43" fontId="13" fillId="4" borderId="16" xfId="1" applyFont="1" applyFill="1" applyBorder="1" applyAlignment="1">
      <alignment vertical="top"/>
    </xf>
    <xf numFmtId="43" fontId="10" fillId="4" borderId="22" xfId="1" applyFont="1" applyFill="1" applyBorder="1" applyAlignment="1">
      <alignment vertical="top"/>
    </xf>
    <xf numFmtId="43" fontId="10" fillId="4" borderId="20" xfId="1" applyFont="1" applyFill="1" applyBorder="1" applyAlignment="1">
      <alignment vertical="top"/>
    </xf>
    <xf numFmtId="0" fontId="10" fillId="0" borderId="0" xfId="0" applyFont="1" applyAlignment="1">
      <alignment horizontal="left" vertical="top" wrapText="1" indent="1"/>
    </xf>
    <xf numFmtId="0" fontId="13" fillId="0" borderId="4" xfId="0" applyFont="1" applyBorder="1" applyAlignment="1">
      <alignment vertical="top"/>
    </xf>
    <xf numFmtId="0" fontId="20" fillId="0" borderId="4" xfId="0" applyFont="1" applyBorder="1" applyAlignment="1">
      <alignment vertical="top"/>
    </xf>
    <xf numFmtId="0" fontId="18" fillId="0" borderId="4" xfId="0" applyFont="1" applyBorder="1" applyAlignment="1">
      <alignment horizontal="left" vertical="top"/>
    </xf>
    <xf numFmtId="0" fontId="21" fillId="0" borderId="0" xfId="5" applyFont="1" applyAlignment="1">
      <alignment vertical="top"/>
    </xf>
    <xf numFmtId="0" fontId="10" fillId="0" borderId="22" xfId="5" applyFont="1" applyBorder="1" applyAlignment="1">
      <alignment horizontal="left" vertical="top"/>
    </xf>
    <xf numFmtId="0" fontId="12" fillId="0" borderId="22" xfId="5" applyFont="1" applyBorder="1" applyAlignment="1">
      <alignment horizontal="left" vertical="top"/>
    </xf>
    <xf numFmtId="0" fontId="13" fillId="0" borderId="5" xfId="5" applyFont="1" applyBorder="1" applyAlignment="1">
      <alignment vertical="top"/>
    </xf>
    <xf numFmtId="0" fontId="12" fillId="0" borderId="0" xfId="5" applyFont="1" applyAlignment="1">
      <alignment horizontal="justify" vertical="top" wrapText="1"/>
    </xf>
    <xf numFmtId="0" fontId="13" fillId="0" borderId="4" xfId="0" applyFont="1" applyBorder="1" applyAlignment="1">
      <alignment horizontal="left" vertical="top"/>
    </xf>
    <xf numFmtId="0" fontId="10" fillId="0" borderId="10" xfId="0" applyFont="1" applyBorder="1" applyAlignment="1">
      <alignment vertical="top"/>
    </xf>
    <xf numFmtId="0" fontId="10" fillId="0" borderId="35" xfId="5" applyFont="1" applyBorder="1" applyAlignment="1">
      <alignment vertical="top"/>
    </xf>
    <xf numFmtId="0" fontId="13" fillId="0" borderId="1" xfId="0" applyFont="1" applyBorder="1" applyAlignment="1">
      <alignment vertical="top"/>
    </xf>
    <xf numFmtId="0" fontId="13" fillId="0" borderId="10" xfId="0" applyFont="1" applyBorder="1" applyAlignment="1">
      <alignment vertical="top"/>
    </xf>
    <xf numFmtId="0" fontId="10" fillId="0" borderId="1" xfId="0" applyFont="1" applyBorder="1" applyAlignment="1">
      <alignment vertical="top"/>
    </xf>
    <xf numFmtId="0" fontId="10" fillId="0" borderId="2" xfId="0" applyFont="1" applyBorder="1" applyAlignment="1">
      <alignment vertical="top"/>
    </xf>
    <xf numFmtId="0" fontId="10" fillId="0" borderId="2" xfId="0" applyFont="1" applyBorder="1" applyAlignment="1">
      <alignment horizontal="center" vertical="top"/>
    </xf>
    <xf numFmtId="166" fontId="13" fillId="0" borderId="0" xfId="4" applyFont="1" applyFill="1" applyBorder="1" applyAlignment="1" applyProtection="1">
      <alignment horizontal="center" vertical="top"/>
    </xf>
    <xf numFmtId="43" fontId="13" fillId="0" borderId="0" xfId="3" applyFont="1" applyFill="1" applyBorder="1" applyAlignment="1" applyProtection="1">
      <alignment vertical="top"/>
    </xf>
    <xf numFmtId="166" fontId="10" fillId="0" borderId="4" xfId="4" applyFont="1" applyFill="1" applyBorder="1" applyAlignment="1" applyProtection="1">
      <alignment vertical="top"/>
    </xf>
    <xf numFmtId="43" fontId="10" fillId="0" borderId="0" xfId="3" applyFont="1" applyFill="1" applyBorder="1" applyAlignment="1" applyProtection="1">
      <alignment vertical="top"/>
    </xf>
    <xf numFmtId="0" fontId="17" fillId="0" borderId="0" xfId="0" applyFont="1" applyAlignment="1">
      <alignment vertical="top" wrapText="1"/>
    </xf>
    <xf numFmtId="166" fontId="13" fillId="0" borderId="4" xfId="4" applyFont="1" applyFill="1" applyBorder="1" applyAlignment="1" applyProtection="1">
      <alignment vertical="top"/>
    </xf>
    <xf numFmtId="43" fontId="10" fillId="0" borderId="11" xfId="3" applyFont="1" applyFill="1" applyBorder="1" applyAlignment="1" applyProtection="1">
      <alignment vertical="top"/>
    </xf>
    <xf numFmtId="0" fontId="10" fillId="0" borderId="21" xfId="2" applyFont="1" applyFill="1" applyBorder="1" applyAlignment="1" applyProtection="1">
      <alignment horizontal="center" vertical="top"/>
    </xf>
    <xf numFmtId="0" fontId="10" fillId="0" borderId="29" xfId="0" applyFont="1" applyBorder="1" applyAlignment="1">
      <alignment horizontal="left" vertical="top" indent="2"/>
    </xf>
    <xf numFmtId="0" fontId="10" fillId="0" borderId="29" xfId="0" applyFont="1" applyBorder="1" applyAlignment="1">
      <alignment horizontal="left" vertical="top" wrapText="1" indent="2"/>
    </xf>
    <xf numFmtId="0" fontId="10" fillId="0" borderId="29" xfId="5" quotePrefix="1" applyFont="1" applyBorder="1" applyAlignment="1">
      <alignment horizontal="left" vertical="top" indent="2"/>
    </xf>
    <xf numFmtId="0" fontId="13" fillId="0" borderId="0" xfId="0" applyFont="1" applyAlignment="1">
      <alignment horizontal="justify" vertical="top"/>
    </xf>
    <xf numFmtId="0" fontId="10" fillId="0" borderId="0" xfId="0" applyFont="1" applyAlignment="1">
      <alignment horizontal="left" vertical="top" indent="4"/>
    </xf>
    <xf numFmtId="43" fontId="10" fillId="0" borderId="0" xfId="0" applyNumberFormat="1" applyFont="1" applyAlignment="1">
      <alignment vertical="top"/>
    </xf>
    <xf numFmtId="166" fontId="10" fillId="0" borderId="0" xfId="4" applyFont="1" applyFill="1" applyBorder="1" applyAlignment="1" applyProtection="1">
      <alignment vertical="top"/>
    </xf>
    <xf numFmtId="0" fontId="8" fillId="0" borderId="14" xfId="0" applyFont="1" applyBorder="1" applyProtection="1">
      <protection locked="0"/>
    </xf>
    <xf numFmtId="0" fontId="8" fillId="0" borderId="29" xfId="0" applyFont="1" applyBorder="1" applyProtection="1">
      <protection locked="0"/>
    </xf>
    <xf numFmtId="0" fontId="8" fillId="0" borderId="46" xfId="0" applyFont="1" applyBorder="1" applyProtection="1">
      <protection locked="0"/>
    </xf>
    <xf numFmtId="0" fontId="11" fillId="0" borderId="14" xfId="0" applyFont="1" applyBorder="1"/>
    <xf numFmtId="0" fontId="11" fillId="0" borderId="15" xfId="0" applyFont="1" applyBorder="1"/>
    <xf numFmtId="41" fontId="8" fillId="0" borderId="29" xfId="20" applyFont="1" applyBorder="1"/>
    <xf numFmtId="167" fontId="8" fillId="0" borderId="29" xfId="1" applyNumberFormat="1" applyFont="1" applyBorder="1"/>
    <xf numFmtId="167" fontId="8" fillId="0" borderId="46" xfId="1" applyNumberFormat="1" applyFont="1" applyBorder="1"/>
    <xf numFmtId="0" fontId="10" fillId="3" borderId="0" xfId="0" applyFont="1" applyFill="1" applyAlignment="1">
      <alignment horizontal="left" vertical="top" wrapText="1"/>
    </xf>
    <xf numFmtId="41" fontId="8" fillId="0" borderId="0" xfId="20" applyFont="1"/>
    <xf numFmtId="41" fontId="8" fillId="0" borderId="13" xfId="20" applyFont="1" applyBorder="1"/>
    <xf numFmtId="41" fontId="10" fillId="0" borderId="13" xfId="20" applyFont="1" applyBorder="1" applyAlignment="1">
      <alignment horizontal="left" vertical="top" wrapText="1"/>
    </xf>
    <xf numFmtId="0" fontId="10" fillId="0" borderId="22" xfId="0" applyFont="1" applyBorder="1"/>
    <xf numFmtId="0" fontId="13" fillId="0" borderId="0" xfId="0" applyFont="1" applyAlignment="1">
      <alignment vertical="center"/>
    </xf>
    <xf numFmtId="0" fontId="10" fillId="0" borderId="0" xfId="0" applyFont="1" applyAlignment="1">
      <alignment vertical="center"/>
    </xf>
    <xf numFmtId="9" fontId="10" fillId="0" borderId="0" xfId="21" applyFont="1"/>
    <xf numFmtId="43" fontId="13" fillId="0" borderId="22" xfId="1" applyFont="1" applyFill="1" applyBorder="1" applyAlignment="1">
      <alignment horizontal="center" vertical="center"/>
    </xf>
    <xf numFmtId="0" fontId="13" fillId="9" borderId="0" xfId="0" applyFont="1" applyFill="1" applyAlignment="1">
      <alignment horizontal="left" vertical="top"/>
    </xf>
    <xf numFmtId="0" fontId="13" fillId="9" borderId="13" xfId="0" applyFont="1" applyFill="1" applyBorder="1" applyAlignment="1">
      <alignment horizontal="center" vertical="top" wrapText="1"/>
    </xf>
    <xf numFmtId="43" fontId="10" fillId="9" borderId="16" xfId="3" applyFont="1" applyFill="1" applyBorder="1" applyAlignment="1" applyProtection="1">
      <alignment vertical="top"/>
      <protection locked="0"/>
    </xf>
    <xf numFmtId="43" fontId="10" fillId="9" borderId="21" xfId="3" applyFont="1" applyFill="1" applyBorder="1" applyAlignment="1" applyProtection="1">
      <alignment vertical="top"/>
      <protection locked="0"/>
    </xf>
    <xf numFmtId="0" fontId="13" fillId="0" borderId="13" xfId="0" applyFont="1" applyBorder="1" applyAlignment="1">
      <alignment horizontal="center" vertical="center" wrapText="1"/>
    </xf>
    <xf numFmtId="0" fontId="10" fillId="0" borderId="29" xfId="0" applyFont="1" applyBorder="1" applyAlignment="1">
      <alignment vertical="center"/>
    </xf>
    <xf numFmtId="0" fontId="13" fillId="0" borderId="46" xfId="0" applyFont="1" applyBorder="1" applyAlignment="1">
      <alignment horizontal="right" vertical="top"/>
    </xf>
    <xf numFmtId="0" fontId="10" fillId="0" borderId="29" xfId="0" applyFont="1" applyBorder="1" applyAlignment="1">
      <alignment horizontal="left" vertical="top" indent="4"/>
    </xf>
    <xf numFmtId="165" fontId="10" fillId="0" borderId="0" xfId="3" applyNumberFormat="1" applyFont="1" applyFill="1" applyBorder="1" applyAlignment="1" applyProtection="1">
      <alignment vertical="top"/>
    </xf>
    <xf numFmtId="0" fontId="15" fillId="0" borderId="13" xfId="0" applyFont="1" applyBorder="1" applyAlignment="1">
      <alignment horizontal="left" vertical="center"/>
    </xf>
    <xf numFmtId="41" fontId="15" fillId="0" borderId="13" xfId="20" applyFont="1" applyBorder="1" applyAlignment="1">
      <alignment horizontal="left" vertical="center"/>
    </xf>
    <xf numFmtId="0" fontId="8" fillId="0" borderId="13" xfId="0" applyFont="1" applyBorder="1" applyAlignment="1">
      <alignment vertical="center"/>
    </xf>
    <xf numFmtId="0" fontId="10" fillId="0" borderId="13" xfId="0" applyFont="1" applyBorder="1" applyAlignment="1">
      <alignment vertical="center"/>
    </xf>
    <xf numFmtId="0" fontId="10" fillId="0" borderId="13" xfId="0" applyFont="1" applyBorder="1" applyAlignment="1">
      <alignment horizontal="left" vertical="center" wrapText="1"/>
    </xf>
    <xf numFmtId="0" fontId="10" fillId="0" borderId="13" xfId="6" quotePrefix="1" applyNumberFormat="1" applyFont="1" applyBorder="1" applyAlignment="1">
      <alignment horizontal="left" vertical="center" wrapText="1"/>
    </xf>
    <xf numFmtId="0" fontId="8" fillId="0" borderId="0" xfId="0" applyFont="1" applyAlignment="1">
      <alignment vertical="center"/>
    </xf>
    <xf numFmtId="0" fontId="13" fillId="0" borderId="18" xfId="0" applyFont="1" applyBorder="1" applyAlignment="1">
      <alignment horizontal="center" vertical="top"/>
    </xf>
    <xf numFmtId="0" fontId="13" fillId="0" borderId="46" xfId="0" applyFont="1" applyBorder="1" applyAlignment="1">
      <alignment vertical="top" wrapText="1"/>
    </xf>
    <xf numFmtId="0" fontId="13" fillId="0" borderId="18" xfId="0" applyFont="1" applyBorder="1" applyAlignment="1">
      <alignment vertical="top" wrapText="1"/>
    </xf>
    <xf numFmtId="41" fontId="10" fillId="0" borderId="21" xfId="20" applyFont="1" applyBorder="1" applyAlignment="1"/>
    <xf numFmtId="0" fontId="13" fillId="0" borderId="29" xfId="0" applyFont="1" applyBorder="1" applyAlignment="1">
      <alignment horizontal="left" vertical="center"/>
    </xf>
    <xf numFmtId="0" fontId="10" fillId="0" borderId="21" xfId="2" applyFont="1" applyFill="1" applyBorder="1" applyAlignment="1" applyProtection="1">
      <alignment horizontal="center" vertical="center"/>
    </xf>
    <xf numFmtId="0" fontId="13" fillId="0" borderId="29" xfId="0" applyFont="1" applyBorder="1" applyAlignment="1">
      <alignment horizontal="left" vertical="center" wrapText="1"/>
    </xf>
    <xf numFmtId="0" fontId="8" fillId="0" borderId="0" xfId="0" applyFont="1" applyAlignment="1">
      <alignment horizontal="center" vertical="center"/>
    </xf>
    <xf numFmtId="9" fontId="8" fillId="0" borderId="0" xfId="21" applyFont="1" applyAlignment="1">
      <alignment horizontal="center" vertical="center"/>
    </xf>
    <xf numFmtId="0" fontId="10" fillId="0" borderId="22" xfId="0" applyFont="1" applyBorder="1" applyAlignment="1">
      <alignment horizontal="justify" vertical="top" wrapText="1"/>
    </xf>
    <xf numFmtId="0" fontId="15" fillId="0" borderId="13" xfId="0" quotePrefix="1" applyFont="1" applyBorder="1" applyAlignment="1">
      <alignment horizontal="left" vertical="center"/>
    </xf>
    <xf numFmtId="9" fontId="22" fillId="11" borderId="13" xfId="21" applyFont="1" applyFill="1" applyBorder="1" applyAlignment="1">
      <alignment horizontal="center" vertical="center" wrapText="1"/>
    </xf>
    <xf numFmtId="9" fontId="22" fillId="11" borderId="22" xfId="21" applyFont="1" applyFill="1" applyBorder="1" applyAlignment="1">
      <alignment horizontal="center" vertical="center" wrapText="1"/>
    </xf>
    <xf numFmtId="0" fontId="23" fillId="12" borderId="0" xfId="0" applyFont="1" applyFill="1" applyAlignment="1">
      <alignment vertical="center"/>
    </xf>
    <xf numFmtId="41" fontId="23" fillId="12" borderId="0" xfId="20" applyFont="1" applyFill="1" applyAlignment="1">
      <alignment vertical="center"/>
    </xf>
    <xf numFmtId="9" fontId="8" fillId="0" borderId="0" xfId="21" applyFont="1" applyAlignment="1">
      <alignment vertical="center"/>
    </xf>
    <xf numFmtId="41" fontId="8" fillId="0" borderId="0" xfId="20" applyFont="1" applyAlignment="1">
      <alignment vertical="center"/>
    </xf>
    <xf numFmtId="41" fontId="8" fillId="13" borderId="0" xfId="20" applyFont="1" applyFill="1" applyAlignment="1">
      <alignment horizontal="center" vertical="center"/>
    </xf>
    <xf numFmtId="0" fontId="8" fillId="13" borderId="0" xfId="0" applyFont="1" applyFill="1"/>
    <xf numFmtId="0" fontId="8" fillId="13" borderId="0" xfId="0" applyFont="1" applyFill="1" applyAlignment="1">
      <alignment vertical="center"/>
    </xf>
    <xf numFmtId="0" fontId="8" fillId="13" borderId="0" xfId="0" applyFont="1" applyFill="1" applyAlignment="1">
      <alignment horizontal="center" vertical="center"/>
    </xf>
    <xf numFmtId="0" fontId="11" fillId="13" borderId="0" xfId="0" applyFont="1" applyFill="1"/>
    <xf numFmtId="41" fontId="8" fillId="13" borderId="0" xfId="0" applyNumberFormat="1" applyFont="1" applyFill="1"/>
    <xf numFmtId="41" fontId="8" fillId="0" borderId="0" xfId="0" applyNumberFormat="1" applyFont="1"/>
    <xf numFmtId="0" fontId="22" fillId="13" borderId="0" xfId="0" applyFont="1" applyFill="1" applyAlignment="1">
      <alignment horizontal="center" vertical="center" wrapText="1"/>
    </xf>
    <xf numFmtId="0" fontId="10" fillId="13" borderId="0" xfId="0" applyFont="1" applyFill="1"/>
    <xf numFmtId="0" fontId="11" fillId="2" borderId="0" xfId="0" applyFont="1" applyFill="1" applyAlignment="1">
      <alignment horizontal="centerContinuous" vertical="center"/>
    </xf>
    <xf numFmtId="0" fontId="11" fillId="2" borderId="0" xfId="0" applyFont="1" applyFill="1" applyAlignment="1">
      <alignment horizontal="centerContinuous"/>
    </xf>
    <xf numFmtId="0" fontId="15" fillId="0" borderId="0" xfId="0" applyFont="1" applyAlignment="1">
      <alignment horizontal="left" vertical="center"/>
    </xf>
    <xf numFmtId="0" fontId="25" fillId="0" borderId="0" xfId="0" applyFont="1"/>
    <xf numFmtId="0" fontId="24" fillId="13" borderId="0" xfId="0" applyFont="1" applyFill="1"/>
    <xf numFmtId="41" fontId="13" fillId="0" borderId="0" xfId="22" applyFont="1" applyAlignment="1">
      <alignment horizontal="right" vertical="top"/>
    </xf>
    <xf numFmtId="0" fontId="10" fillId="0" borderId="29" xfId="0" applyFont="1" applyBorder="1" applyAlignment="1">
      <alignment vertical="center" wrapText="1"/>
    </xf>
    <xf numFmtId="0" fontId="10" fillId="0" borderId="15" xfId="0" applyFont="1" applyBorder="1" applyAlignment="1">
      <alignment vertical="center"/>
    </xf>
    <xf numFmtId="0" fontId="10" fillId="0" borderId="22" xfId="0" applyFont="1" applyBorder="1" applyAlignment="1">
      <alignment vertical="center"/>
    </xf>
    <xf numFmtId="43" fontId="10" fillId="0" borderId="0" xfId="1" applyFont="1" applyFill="1" applyBorder="1" applyAlignment="1">
      <alignment vertical="center"/>
    </xf>
    <xf numFmtId="0" fontId="10" fillId="0" borderId="15" xfId="0" applyFont="1" applyBorder="1"/>
    <xf numFmtId="0" fontId="10" fillId="0" borderId="20" xfId="0" applyFont="1" applyBorder="1"/>
    <xf numFmtId="43" fontId="13" fillId="9" borderId="13" xfId="5" applyNumberFormat="1" applyFont="1" applyFill="1" applyBorder="1" applyAlignment="1">
      <alignment vertical="top"/>
    </xf>
    <xf numFmtId="0" fontId="13" fillId="12" borderId="13" xfId="0" applyFont="1" applyFill="1" applyBorder="1" applyAlignment="1">
      <alignment horizontal="centerContinuous" vertical="center"/>
    </xf>
    <xf numFmtId="0" fontId="13" fillId="12" borderId="7" xfId="0" applyFont="1" applyFill="1" applyBorder="1" applyAlignment="1">
      <alignment horizontal="centerContinuous"/>
    </xf>
    <xf numFmtId="0" fontId="8" fillId="0" borderId="22" xfId="0" applyFont="1" applyBorder="1" applyAlignment="1">
      <alignment horizontal="center"/>
    </xf>
    <xf numFmtId="0" fontId="13" fillId="12" borderId="13" xfId="0" applyFont="1" applyFill="1" applyBorder="1" applyAlignment="1">
      <alignment horizontal="centerContinuous"/>
    </xf>
    <xf numFmtId="0" fontId="13" fillId="0" borderId="0" xfId="0" applyFont="1" applyAlignment="1">
      <alignment horizontal="center" vertical="center"/>
    </xf>
    <xf numFmtId="41" fontId="10" fillId="0" borderId="21" xfId="20" applyFont="1" applyBorder="1"/>
    <xf numFmtId="0" fontId="10" fillId="13" borderId="0" xfId="0" applyFont="1" applyFill="1" applyAlignment="1">
      <alignment horizontal="center"/>
    </xf>
    <xf numFmtId="49" fontId="8" fillId="0" borderId="0" xfId="0" applyNumberFormat="1" applyFont="1" applyAlignment="1">
      <alignment horizontal="center" vertical="top"/>
    </xf>
    <xf numFmtId="49" fontId="8" fillId="0" borderId="0" xfId="0" applyNumberFormat="1" applyFont="1" applyAlignment="1">
      <alignment horizontal="center" vertical="center"/>
    </xf>
    <xf numFmtId="0" fontId="14" fillId="0" borderId="0" xfId="2" applyFont="1" applyFill="1" applyBorder="1" applyAlignment="1" applyProtection="1">
      <alignment horizontal="center" wrapText="1"/>
    </xf>
    <xf numFmtId="9" fontId="8" fillId="0" borderId="0" xfId="21" applyFont="1" applyAlignment="1">
      <alignment horizontal="center" vertical="top"/>
    </xf>
    <xf numFmtId="0" fontId="10" fillId="0" borderId="0" xfId="0" applyFont="1" applyAlignment="1">
      <alignment horizontal="center" vertical="center"/>
    </xf>
    <xf numFmtId="0" fontId="15" fillId="0" borderId="0" xfId="0" applyFont="1" applyAlignment="1">
      <alignment horizontal="center" vertical="center"/>
    </xf>
    <xf numFmtId="0" fontId="10" fillId="9" borderId="0" xfId="5" applyFont="1" applyFill="1" applyAlignment="1">
      <alignment horizontal="center" vertical="top"/>
    </xf>
    <xf numFmtId="0" fontId="13" fillId="0" borderId="0" xfId="0" applyFont="1" applyAlignment="1">
      <alignment horizontal="right" vertical="center"/>
    </xf>
    <xf numFmtId="0" fontId="10" fillId="0" borderId="29" xfId="0" applyFont="1" applyBorder="1"/>
    <xf numFmtId="0" fontId="10" fillId="0" borderId="14" xfId="0" applyFont="1" applyBorder="1" applyAlignment="1">
      <alignment vertical="center" wrapText="1"/>
    </xf>
    <xf numFmtId="43" fontId="13" fillId="0" borderId="0" xfId="5" applyNumberFormat="1" applyFont="1" applyAlignment="1">
      <alignment horizontal="right" vertical="top"/>
    </xf>
    <xf numFmtId="43" fontId="13" fillId="0" borderId="0" xfId="5" applyNumberFormat="1" applyFont="1" applyAlignment="1">
      <alignment horizontal="left" vertical="top"/>
    </xf>
    <xf numFmtId="0" fontId="10" fillId="0" borderId="0" xfId="5" applyFont="1" applyAlignment="1">
      <alignment horizontal="right" vertical="top"/>
    </xf>
    <xf numFmtId="0" fontId="13" fillId="0" borderId="0" xfId="0" applyFont="1" applyAlignment="1">
      <alignment wrapText="1"/>
    </xf>
    <xf numFmtId="9" fontId="10" fillId="0" borderId="0" xfId="21" applyFont="1" applyFill="1"/>
    <xf numFmtId="171" fontId="10" fillId="0" borderId="0" xfId="1" applyNumberFormat="1" applyFont="1" applyBorder="1" applyAlignment="1">
      <alignment vertical="top"/>
    </xf>
    <xf numFmtId="41" fontId="0" fillId="0" borderId="0" xfId="20" applyFont="1"/>
    <xf numFmtId="0" fontId="0" fillId="0" borderId="0" xfId="0" applyAlignment="1">
      <alignment horizontal="centerContinuous"/>
    </xf>
    <xf numFmtId="0" fontId="11" fillId="0" borderId="13" xfId="0" applyFont="1" applyBorder="1"/>
    <xf numFmtId="41" fontId="8" fillId="0" borderId="23" xfId="20" applyFont="1" applyBorder="1" applyAlignment="1">
      <alignment horizontal="center" vertical="center"/>
    </xf>
    <xf numFmtId="0" fontId="8" fillId="0" borderId="7" xfId="0" applyFont="1" applyBorder="1" applyAlignment="1">
      <alignment vertical="center"/>
    </xf>
    <xf numFmtId="0" fontId="16" fillId="8" borderId="20"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1" fillId="8" borderId="46" xfId="0" applyFont="1" applyFill="1" applyBorder="1" applyAlignment="1">
      <alignment horizontal="center" vertical="center" wrapText="1"/>
    </xf>
    <xf numFmtId="0" fontId="15" fillId="0" borderId="16" xfId="0" applyFont="1" applyBorder="1" applyAlignment="1">
      <alignment horizontal="left" vertical="center"/>
    </xf>
    <xf numFmtId="0" fontId="8" fillId="0" borderId="16" xfId="0" applyFont="1" applyBorder="1" applyAlignment="1">
      <alignment vertical="center"/>
    </xf>
    <xf numFmtId="0" fontId="8" fillId="0" borderId="16" xfId="0" applyFont="1" applyBorder="1"/>
    <xf numFmtId="171" fontId="8" fillId="0" borderId="23" xfId="0" applyNumberFormat="1" applyFont="1" applyBorder="1"/>
    <xf numFmtId="0" fontId="8" fillId="0" borderId="7" xfId="0" applyFont="1" applyBorder="1"/>
    <xf numFmtId="41" fontId="16" fillId="8" borderId="18" xfId="20" applyFont="1" applyFill="1" applyBorder="1" applyAlignment="1">
      <alignment horizontal="center" vertical="center" wrapText="1"/>
    </xf>
    <xf numFmtId="0" fontId="16" fillId="8" borderId="46" xfId="0" applyFont="1" applyFill="1" applyBorder="1" applyAlignment="1">
      <alignment horizontal="center" vertical="center" wrapText="1"/>
    </xf>
    <xf numFmtId="0" fontId="8" fillId="0" borderId="14" xfId="0" applyFont="1" applyBorder="1"/>
    <xf numFmtId="0" fontId="8" fillId="0" borderId="14" xfId="0" applyFont="1" applyBorder="1" applyAlignment="1">
      <alignment vertical="center"/>
    </xf>
    <xf numFmtId="0" fontId="10" fillId="4" borderId="29" xfId="0" applyFont="1" applyFill="1" applyBorder="1" applyAlignment="1">
      <alignment horizontal="left" vertical="center"/>
    </xf>
    <xf numFmtId="167" fontId="10" fillId="0" borderId="0" xfId="1" applyNumberFormat="1" applyFont="1" applyFill="1" applyProtection="1"/>
    <xf numFmtId="167" fontId="8" fillId="7" borderId="0" xfId="1" applyNumberFormat="1" applyFont="1" applyFill="1" applyProtection="1"/>
    <xf numFmtId="0" fontId="23" fillId="0" borderId="0" xfId="0" applyFont="1"/>
    <xf numFmtId="167" fontId="8" fillId="0" borderId="0" xfId="1" applyNumberFormat="1" applyFont="1" applyProtection="1"/>
    <xf numFmtId="167" fontId="23" fillId="0" borderId="0" xfId="1" applyNumberFormat="1" applyFont="1" applyFill="1" applyAlignment="1" applyProtection="1">
      <alignment vertical="center"/>
    </xf>
    <xf numFmtId="167" fontId="11" fillId="0" borderId="0" xfId="1" applyNumberFormat="1" applyFont="1" applyProtection="1"/>
    <xf numFmtId="167" fontId="11" fillId="0" borderId="7" xfId="1" applyNumberFormat="1" applyFont="1" applyFill="1" applyBorder="1" applyProtection="1"/>
    <xf numFmtId="11" fontId="8" fillId="0" borderId="0" xfId="0" applyNumberFormat="1" applyFont="1"/>
    <xf numFmtId="167" fontId="11" fillId="0" borderId="0" xfId="1" applyNumberFormat="1" applyFont="1" applyFill="1" applyBorder="1" applyProtection="1"/>
    <xf numFmtId="167" fontId="8" fillId="0" borderId="0" xfId="1" applyNumberFormat="1" applyFont="1" applyBorder="1" applyProtection="1"/>
    <xf numFmtId="167" fontId="8" fillId="0" borderId="22" xfId="1" applyNumberFormat="1" applyFont="1" applyBorder="1" applyProtection="1"/>
    <xf numFmtId="167" fontId="8" fillId="0" borderId="0" xfId="1" applyNumberFormat="1" applyFont="1" applyFill="1" applyProtection="1"/>
    <xf numFmtId="167" fontId="8" fillId="0" borderId="19" xfId="1" applyNumberFormat="1" applyFont="1" applyBorder="1" applyProtection="1"/>
    <xf numFmtId="167" fontId="8" fillId="0" borderId="17" xfId="1" applyNumberFormat="1" applyFont="1" applyBorder="1" applyProtection="1"/>
    <xf numFmtId="167" fontId="11" fillId="0" borderId="13" xfId="1" applyNumberFormat="1" applyFont="1" applyBorder="1" applyProtection="1"/>
    <xf numFmtId="167" fontId="8" fillId="0" borderId="13" xfId="1" applyNumberFormat="1" applyFont="1" applyBorder="1" applyProtection="1"/>
    <xf numFmtId="167" fontId="8" fillId="0" borderId="29" xfId="1" applyNumberFormat="1" applyFont="1" applyBorder="1" applyProtection="1"/>
    <xf numFmtId="167" fontId="8" fillId="0" borderId="23" xfId="1" applyNumberFormat="1" applyFont="1" applyBorder="1" applyProtection="1"/>
    <xf numFmtId="0" fontId="11" fillId="0" borderId="0" xfId="1" applyNumberFormat="1" applyFont="1" applyProtection="1"/>
    <xf numFmtId="167" fontId="11" fillId="0" borderId="14" xfId="1" applyNumberFormat="1" applyFont="1" applyBorder="1" applyProtection="1"/>
    <xf numFmtId="167" fontId="8" fillId="0" borderId="8" xfId="1" applyNumberFormat="1" applyFont="1" applyBorder="1" applyProtection="1"/>
    <xf numFmtId="167" fontId="11" fillId="0" borderId="13" xfId="1" applyNumberFormat="1" applyFont="1" applyBorder="1" applyAlignment="1" applyProtection="1">
      <alignment horizontal="center" vertical="center"/>
    </xf>
    <xf numFmtId="167" fontId="23" fillId="0" borderId="0" xfId="1" applyNumberFormat="1" applyFont="1" applyFill="1" applyBorder="1" applyAlignment="1" applyProtection="1">
      <alignment vertical="center"/>
    </xf>
    <xf numFmtId="167" fontId="8" fillId="0" borderId="21" xfId="1" applyNumberFormat="1" applyFont="1" applyBorder="1" applyProtection="1"/>
    <xf numFmtId="167" fontId="17" fillId="0" borderId="13" xfId="1" applyNumberFormat="1" applyFont="1" applyBorder="1" applyProtection="1"/>
    <xf numFmtId="167" fontId="11" fillId="0" borderId="0" xfId="1" applyNumberFormat="1" applyFont="1" applyBorder="1" applyProtection="1"/>
    <xf numFmtId="167" fontId="17" fillId="0" borderId="0" xfId="1" applyNumberFormat="1" applyFont="1" applyBorder="1" applyProtection="1"/>
    <xf numFmtId="167" fontId="8" fillId="0" borderId="0" xfId="1" applyNumberFormat="1" applyFont="1" applyFill="1" applyBorder="1" applyAlignment="1" applyProtection="1"/>
    <xf numFmtId="167" fontId="8" fillId="0" borderId="0" xfId="1" applyNumberFormat="1" applyFont="1" applyFill="1" applyBorder="1" applyProtection="1"/>
    <xf numFmtId="167" fontId="8" fillId="0" borderId="0" xfId="1" applyNumberFormat="1" applyFont="1" applyFill="1" applyBorder="1" applyAlignment="1" applyProtection="1">
      <alignment horizontal="center"/>
    </xf>
    <xf numFmtId="167" fontId="11" fillId="0" borderId="23" xfId="1" applyNumberFormat="1" applyFont="1" applyBorder="1" applyAlignment="1" applyProtection="1">
      <alignment horizontal="center" vertical="center"/>
    </xf>
    <xf numFmtId="167" fontId="8" fillId="0" borderId="29" xfId="1" applyNumberFormat="1" applyFont="1" applyFill="1" applyBorder="1" applyProtection="1"/>
    <xf numFmtId="167" fontId="8" fillId="14" borderId="22" xfId="1" applyNumberFormat="1" applyFont="1" applyFill="1" applyBorder="1" applyProtection="1"/>
    <xf numFmtId="0" fontId="23" fillId="0" borderId="22" xfId="0" applyFont="1" applyBorder="1"/>
    <xf numFmtId="167" fontId="8" fillId="0" borderId="13" xfId="1" applyNumberFormat="1" applyFont="1" applyFill="1" applyBorder="1" applyProtection="1"/>
    <xf numFmtId="167" fontId="8" fillId="0" borderId="29" xfId="1" applyNumberFormat="1" applyFont="1" applyBorder="1" applyAlignment="1" applyProtection="1">
      <alignment horizontal="left" indent="2"/>
    </xf>
    <xf numFmtId="167" fontId="8" fillId="0" borderId="46" xfId="1" applyNumberFormat="1" applyFont="1" applyBorder="1" applyAlignment="1" applyProtection="1">
      <alignment horizontal="left" indent="2"/>
    </xf>
    <xf numFmtId="41" fontId="10" fillId="4" borderId="22" xfId="20" applyFont="1" applyFill="1" applyBorder="1" applyAlignment="1">
      <alignment vertical="top"/>
    </xf>
    <xf numFmtId="41" fontId="10" fillId="0" borderId="0" xfId="20" applyFont="1" applyAlignment="1">
      <alignment vertical="top"/>
    </xf>
    <xf numFmtId="0" fontId="10" fillId="0" borderId="29" xfId="0" applyFont="1" applyBorder="1" applyAlignment="1">
      <alignment horizontal="left" vertical="center"/>
    </xf>
    <xf numFmtId="0" fontId="10" fillId="4" borderId="29" xfId="0" applyFont="1" applyFill="1" applyBorder="1" applyAlignment="1">
      <alignment horizontal="left" vertical="center" indent="2"/>
    </xf>
    <xf numFmtId="0" fontId="10" fillId="4" borderId="29" xfId="0" applyFont="1" applyFill="1" applyBorder="1" applyAlignment="1">
      <alignment horizontal="left" vertical="center" indent="3"/>
    </xf>
    <xf numFmtId="0" fontId="10" fillId="0" borderId="29" xfId="0" applyFont="1" applyBorder="1" applyAlignment="1">
      <alignment horizontal="left" vertical="center" indent="3"/>
    </xf>
    <xf numFmtId="0" fontId="10" fillId="0" borderId="29" xfId="0" applyFont="1" applyBorder="1" applyAlignment="1">
      <alignment horizontal="left" vertical="center" indent="9"/>
    </xf>
    <xf numFmtId="0" fontId="10" fillId="0" borderId="29" xfId="0" applyFont="1" applyBorder="1" applyAlignment="1">
      <alignment horizontal="left" indent="3"/>
    </xf>
    <xf numFmtId="43" fontId="13" fillId="4" borderId="22" xfId="1" applyFont="1" applyFill="1" applyBorder="1" applyAlignment="1">
      <alignment vertical="top"/>
    </xf>
    <xf numFmtId="43" fontId="10" fillId="4" borderId="22" xfId="2" applyNumberFormat="1" applyFont="1" applyFill="1" applyBorder="1" applyAlignment="1" applyProtection="1">
      <alignment vertical="top"/>
    </xf>
    <xf numFmtId="0" fontId="13" fillId="4" borderId="46" xfId="0" applyFont="1" applyFill="1" applyBorder="1" applyAlignment="1">
      <alignment horizontal="right" vertical="top"/>
    </xf>
    <xf numFmtId="44" fontId="13" fillId="0" borderId="13" xfId="1" applyNumberFormat="1" applyFont="1" applyFill="1" applyBorder="1" applyAlignment="1">
      <alignment horizontal="center" vertical="center"/>
    </xf>
    <xf numFmtId="43" fontId="10" fillId="0" borderId="0" xfId="0" applyNumberFormat="1" applyFont="1" applyAlignment="1">
      <alignment vertical="center"/>
    </xf>
    <xf numFmtId="0" fontId="10" fillId="0" borderId="22" xfId="0" quotePrefix="1" applyFont="1" applyBorder="1" applyAlignment="1">
      <alignment horizontal="left" vertical="top" wrapText="1" indent="3"/>
    </xf>
    <xf numFmtId="0" fontId="10" fillId="0" borderId="29" xfId="0" applyFont="1" applyBorder="1" applyAlignment="1">
      <alignment horizontal="left" vertical="top"/>
    </xf>
    <xf numFmtId="0" fontId="10" fillId="4" borderId="0" xfId="0" applyFont="1" applyFill="1" applyAlignment="1">
      <alignment horizontal="left" vertical="top" wrapText="1"/>
    </xf>
    <xf numFmtId="0" fontId="10" fillId="0" borderId="17" xfId="0" applyFont="1" applyBorder="1" applyAlignment="1">
      <alignment horizontal="center" vertical="top"/>
    </xf>
    <xf numFmtId="0" fontId="10" fillId="0" borderId="29" xfId="0" quotePrefix="1" applyFont="1" applyBorder="1" applyAlignment="1">
      <alignment horizontal="left" vertical="top" wrapText="1" indent="3"/>
    </xf>
    <xf numFmtId="0" fontId="13" fillId="4" borderId="20" xfId="0" applyFont="1" applyFill="1" applyBorder="1" applyAlignment="1">
      <alignment horizontal="right" vertical="top"/>
    </xf>
    <xf numFmtId="0" fontId="14" fillId="0" borderId="21" xfId="0" applyFont="1" applyBorder="1" applyAlignment="1">
      <alignment horizontal="left" vertical="top"/>
    </xf>
    <xf numFmtId="0" fontId="10" fillId="0" borderId="14" xfId="0" applyFont="1" applyBorder="1" applyAlignment="1">
      <alignment horizontal="left" vertical="top"/>
    </xf>
    <xf numFmtId="0" fontId="10" fillId="0" borderId="18" xfId="0" applyFont="1" applyBorder="1" applyAlignment="1">
      <alignment horizontal="left" vertical="top" indent="2"/>
    </xf>
    <xf numFmtId="0" fontId="10" fillId="6" borderId="29" xfId="6" applyNumberFormat="1" applyFont="1" applyFill="1" applyBorder="1" applyAlignment="1">
      <alignment vertical="top"/>
    </xf>
    <xf numFmtId="0" fontId="13" fillId="6" borderId="46" xfId="6" applyNumberFormat="1" applyFont="1" applyFill="1" applyBorder="1" applyAlignment="1">
      <alignment horizontal="right" vertical="top"/>
    </xf>
    <xf numFmtId="0" fontId="10" fillId="4" borderId="29" xfId="0" applyFont="1" applyFill="1" applyBorder="1" applyAlignment="1">
      <alignment horizontal="left" vertical="top" wrapText="1"/>
    </xf>
    <xf numFmtId="0" fontId="10" fillId="0" borderId="14" xfId="0" applyFont="1" applyBorder="1" applyAlignment="1">
      <alignment horizontal="left" vertical="center"/>
    </xf>
    <xf numFmtId="0" fontId="10" fillId="0" borderId="15" xfId="0" applyFont="1" applyBorder="1" applyAlignment="1">
      <alignment horizontal="left" vertical="center" wrapText="1" indent="2"/>
    </xf>
    <xf numFmtId="0" fontId="10" fillId="0" borderId="22" xfId="0" applyFont="1" applyBorder="1" applyAlignment="1">
      <alignment horizontal="left" vertical="center" wrapText="1" indent="2"/>
    </xf>
    <xf numFmtId="0" fontId="10" fillId="4" borderId="22" xfId="0" applyFont="1" applyFill="1" applyBorder="1" applyAlignment="1">
      <alignment horizontal="left" vertical="center" wrapText="1" indent="2"/>
    </xf>
    <xf numFmtId="0" fontId="13" fillId="6" borderId="20" xfId="6" applyNumberFormat="1" applyFont="1" applyFill="1" applyBorder="1" applyAlignment="1">
      <alignment horizontal="right" vertical="top"/>
    </xf>
    <xf numFmtId="0" fontId="8" fillId="15" borderId="7" xfId="0" applyFont="1" applyFill="1" applyBorder="1" applyAlignment="1">
      <alignment vertical="center"/>
    </xf>
    <xf numFmtId="0" fontId="10" fillId="6" borderId="29" xfId="6" quotePrefix="1" applyNumberFormat="1" applyFont="1" applyFill="1" applyBorder="1" applyAlignment="1">
      <alignment vertical="top"/>
    </xf>
    <xf numFmtId="0" fontId="10" fillId="6" borderId="29" xfId="6" quotePrefix="1" applyNumberFormat="1" applyFont="1" applyFill="1" applyBorder="1" applyAlignment="1">
      <alignment horizontal="left" vertical="center" indent="2"/>
    </xf>
    <xf numFmtId="0" fontId="10" fillId="6" borderId="29" xfId="6" applyNumberFormat="1" applyFont="1" applyFill="1" applyBorder="1" applyAlignment="1">
      <alignment vertical="center"/>
    </xf>
    <xf numFmtId="0" fontId="10" fillId="6" borderId="14" xfId="6" applyNumberFormat="1" applyFont="1" applyFill="1" applyBorder="1" applyAlignment="1">
      <alignment vertical="center"/>
    </xf>
    <xf numFmtId="0" fontId="10" fillId="6" borderId="15" xfId="6" applyNumberFormat="1" applyFont="1" applyFill="1" applyBorder="1" applyAlignment="1">
      <alignment vertical="top"/>
    </xf>
    <xf numFmtId="0" fontId="10" fillId="6" borderId="22" xfId="6" quotePrefix="1" applyNumberFormat="1" applyFont="1" applyFill="1" applyBorder="1" applyAlignment="1">
      <alignment horizontal="left" vertical="top"/>
    </xf>
    <xf numFmtId="0" fontId="10" fillId="6" borderId="22" xfId="6" quotePrefix="1" applyNumberFormat="1" applyFont="1" applyFill="1" applyBorder="1" applyAlignment="1">
      <alignment vertical="top"/>
    </xf>
    <xf numFmtId="0" fontId="10" fillId="6" borderId="14" xfId="6" applyNumberFormat="1" applyFont="1" applyFill="1" applyBorder="1" applyAlignment="1">
      <alignment vertical="top"/>
    </xf>
    <xf numFmtId="0" fontId="8" fillId="0" borderId="13" xfId="0" applyFont="1" applyBorder="1" applyAlignment="1">
      <alignment vertical="center" wrapText="1"/>
    </xf>
    <xf numFmtId="0" fontId="13" fillId="0" borderId="0" xfId="0" applyFont="1" applyAlignment="1">
      <alignment horizontal="left" vertical="center"/>
    </xf>
    <xf numFmtId="0" fontId="10" fillId="0" borderId="22" xfId="0" applyFont="1" applyBorder="1" applyAlignment="1">
      <alignment horizontal="left" vertical="top" indent="2"/>
    </xf>
    <xf numFmtId="0" fontId="10" fillId="4" borderId="22" xfId="0" applyFont="1" applyFill="1" applyBorder="1" applyAlignment="1">
      <alignment horizontal="left" vertical="center" wrapText="1"/>
    </xf>
    <xf numFmtId="9" fontId="10" fillId="0" borderId="0" xfId="21" applyFont="1" applyAlignment="1">
      <alignment vertical="top"/>
    </xf>
    <xf numFmtId="9" fontId="13" fillId="0" borderId="0" xfId="21" applyFont="1" applyAlignment="1">
      <alignment vertical="top"/>
    </xf>
    <xf numFmtId="0" fontId="13" fillId="6" borderId="46" xfId="6" applyNumberFormat="1" applyFont="1" applyFill="1" applyBorder="1" applyAlignment="1">
      <alignment horizontal="right" vertical="center"/>
    </xf>
    <xf numFmtId="0" fontId="13" fillId="6" borderId="20" xfId="6" applyNumberFormat="1" applyFont="1" applyFill="1" applyBorder="1" applyAlignment="1">
      <alignment horizontal="right" vertical="center"/>
    </xf>
    <xf numFmtId="0" fontId="10" fillId="0" borderId="22" xfId="0" applyFont="1" applyBorder="1" applyAlignment="1">
      <alignment horizontal="left" vertical="center" indent="3"/>
    </xf>
    <xf numFmtId="0" fontId="10" fillId="0" borderId="22" xfId="0" applyFont="1" applyBorder="1" applyAlignment="1">
      <alignment horizontal="left" indent="3"/>
    </xf>
    <xf numFmtId="0" fontId="19" fillId="0" borderId="22" xfId="0" applyFont="1" applyBorder="1" applyAlignment="1">
      <alignment horizontal="left" vertical="top"/>
    </xf>
    <xf numFmtId="0" fontId="10" fillId="0" borderId="22" xfId="0" applyFont="1" applyBorder="1" applyAlignment="1">
      <alignment horizontal="left" vertical="center"/>
    </xf>
    <xf numFmtId="0" fontId="10" fillId="0" borderId="22" xfId="0" applyFont="1" applyBorder="1" applyAlignment="1">
      <alignment horizontal="left" vertical="center" indent="9"/>
    </xf>
    <xf numFmtId="0" fontId="10" fillId="4" borderId="22" xfId="0" applyFont="1" applyFill="1" applyBorder="1" applyAlignment="1">
      <alignment horizontal="left" vertical="center"/>
    </xf>
    <xf numFmtId="0" fontId="10" fillId="4" borderId="22" xfId="0" applyFont="1" applyFill="1" applyBorder="1" applyAlignment="1">
      <alignment horizontal="left" vertical="center" indent="3"/>
    </xf>
    <xf numFmtId="0" fontId="10" fillId="4" borderId="22" xfId="0" applyFont="1" applyFill="1" applyBorder="1" applyAlignment="1">
      <alignment horizontal="left" vertical="center" indent="8"/>
    </xf>
    <xf numFmtId="0" fontId="10" fillId="4" borderId="22" xfId="0" applyFont="1" applyFill="1" applyBorder="1" applyAlignment="1">
      <alignment horizontal="left" vertical="center" wrapText="1" indent="3"/>
    </xf>
    <xf numFmtId="0" fontId="10" fillId="4" borderId="22" xfId="0" applyFont="1" applyFill="1" applyBorder="1" applyAlignment="1">
      <alignment horizontal="left" vertical="top" indent="3"/>
    </xf>
    <xf numFmtId="0" fontId="10" fillId="4" borderId="22" xfId="0" applyFont="1" applyFill="1" applyBorder="1" applyAlignment="1">
      <alignment horizontal="left" vertical="center" wrapText="1" indent="6"/>
    </xf>
    <xf numFmtId="0" fontId="10" fillId="0" borderId="22" xfId="0" applyFont="1" applyBorder="1" applyAlignment="1">
      <alignment horizontal="left" vertical="center" indent="8"/>
    </xf>
    <xf numFmtId="0" fontId="10" fillId="4" borderId="22" xfId="0" applyFont="1" applyFill="1" applyBorder="1" applyAlignment="1">
      <alignment horizontal="left" vertical="center" indent="2"/>
    </xf>
    <xf numFmtId="0" fontId="10" fillId="4" borderId="22" xfId="0" applyFont="1" applyFill="1" applyBorder="1" applyAlignment="1">
      <alignment horizontal="left" vertical="center" indent="6"/>
    </xf>
    <xf numFmtId="0" fontId="10" fillId="4" borderId="22" xfId="0" applyFont="1" applyFill="1" applyBorder="1" applyAlignment="1">
      <alignment horizontal="left" vertical="center" indent="9"/>
    </xf>
    <xf numFmtId="0" fontId="10" fillId="4" borderId="22" xfId="0" applyFont="1" applyFill="1" applyBorder="1" applyAlignment="1">
      <alignment horizontal="left" vertical="center" indent="7"/>
    </xf>
    <xf numFmtId="43" fontId="13" fillId="0" borderId="15" xfId="1" applyFont="1" applyFill="1" applyBorder="1" applyAlignment="1">
      <alignment horizontal="center" vertical="top"/>
    </xf>
    <xf numFmtId="43" fontId="13" fillId="0" borderId="20" xfId="1" applyFont="1" applyFill="1" applyBorder="1" applyAlignment="1">
      <alignment horizontal="center" vertical="top"/>
    </xf>
    <xf numFmtId="41" fontId="10" fillId="0" borderId="16" xfId="20" applyFont="1" applyBorder="1" applyAlignment="1">
      <alignment horizontal="center" vertical="top"/>
    </xf>
    <xf numFmtId="41" fontId="10" fillId="0" borderId="18" xfId="20" applyFont="1" applyBorder="1" applyAlignment="1">
      <alignment horizontal="center" vertical="top"/>
    </xf>
    <xf numFmtId="0" fontId="13" fillId="6" borderId="0" xfId="6" applyNumberFormat="1" applyFont="1" applyFill="1" applyAlignment="1">
      <alignment horizontal="right" vertical="top"/>
    </xf>
    <xf numFmtId="43" fontId="10" fillId="0" borderId="17" xfId="1" applyFont="1" applyFill="1" applyBorder="1" applyAlignment="1">
      <alignment vertical="top"/>
    </xf>
    <xf numFmtId="41" fontId="10" fillId="4" borderId="15" xfId="20" applyFont="1" applyFill="1" applyBorder="1" applyAlignment="1">
      <alignment vertical="top"/>
    </xf>
    <xf numFmtId="41" fontId="13" fillId="4" borderId="15" xfId="20" applyFont="1" applyFill="1" applyBorder="1" applyAlignment="1">
      <alignment vertical="top"/>
    </xf>
    <xf numFmtId="41" fontId="10" fillId="4" borderId="16" xfId="20" applyFont="1" applyFill="1" applyBorder="1" applyAlignment="1">
      <alignment vertical="top"/>
    </xf>
    <xf numFmtId="41" fontId="13" fillId="4" borderId="16" xfId="20" applyFont="1" applyFill="1" applyBorder="1" applyAlignment="1">
      <alignment vertical="top"/>
    </xf>
    <xf numFmtId="41" fontId="10" fillId="0" borderId="23" xfId="20" applyFont="1" applyBorder="1" applyAlignment="1">
      <alignment horizontal="left" vertical="top" wrapText="1"/>
    </xf>
    <xf numFmtId="167" fontId="23" fillId="0" borderId="17" xfId="1" applyNumberFormat="1" applyFont="1" applyFill="1" applyBorder="1" applyAlignment="1" applyProtection="1">
      <alignment vertical="center"/>
    </xf>
    <xf numFmtId="0" fontId="23" fillId="0" borderId="17" xfId="0" applyFont="1" applyBorder="1"/>
    <xf numFmtId="0" fontId="23" fillId="0" borderId="15" xfId="0" applyFont="1" applyBorder="1"/>
    <xf numFmtId="0" fontId="12" fillId="0" borderId="22" xfId="0" applyFont="1" applyBorder="1"/>
    <xf numFmtId="0" fontId="23" fillId="0" borderId="19" xfId="0" applyFont="1" applyBorder="1"/>
    <xf numFmtId="0" fontId="23" fillId="0" borderId="20" xfId="0" applyFont="1" applyBorder="1"/>
    <xf numFmtId="167" fontId="8" fillId="16" borderId="13" xfId="1" applyNumberFormat="1" applyFont="1" applyFill="1" applyBorder="1" applyProtection="1"/>
    <xf numFmtId="41" fontId="8" fillId="0" borderId="18" xfId="20" applyFont="1" applyFill="1" applyBorder="1" applyProtection="1"/>
    <xf numFmtId="41" fontId="8" fillId="16" borderId="13" xfId="20" applyFont="1" applyFill="1" applyBorder="1" applyProtection="1"/>
    <xf numFmtId="41" fontId="8" fillId="16" borderId="13" xfId="20" applyFont="1" applyFill="1" applyBorder="1" applyAlignment="1" applyProtection="1"/>
    <xf numFmtId="41" fontId="8" fillId="0" borderId="13" xfId="20" applyFont="1" applyFill="1" applyBorder="1" applyProtection="1"/>
    <xf numFmtId="0" fontId="10" fillId="0" borderId="16" xfId="0" applyFont="1" applyBorder="1" applyAlignment="1">
      <alignment horizontal="center" vertical="top" wrapText="1"/>
    </xf>
    <xf numFmtId="0" fontId="10" fillId="0" borderId="17" xfId="0" applyFont="1" applyBorder="1" applyAlignment="1">
      <alignment vertical="top"/>
    </xf>
    <xf numFmtId="0" fontId="10" fillId="0" borderId="14" xfId="0" applyFont="1" applyBorder="1" applyAlignment="1">
      <alignment horizontal="center" vertical="top" wrapText="1"/>
    </xf>
    <xf numFmtId="0" fontId="10" fillId="0" borderId="15" xfId="0" applyFont="1" applyBorder="1" applyAlignment="1">
      <alignment horizontal="center" vertical="top" wrapText="1"/>
    </xf>
    <xf numFmtId="0" fontId="10" fillId="0" borderId="17" xfId="0" applyFont="1" applyBorder="1" applyAlignment="1">
      <alignment horizontal="center" vertical="top" wrapText="1"/>
    </xf>
    <xf numFmtId="41" fontId="8" fillId="0" borderId="0" xfId="20" applyFont="1" applyBorder="1"/>
    <xf numFmtId="0" fontId="8" fillId="0" borderId="17" xfId="0" applyFont="1" applyBorder="1"/>
    <xf numFmtId="0" fontId="8" fillId="0" borderId="19" xfId="0" applyFont="1" applyBorder="1"/>
    <xf numFmtId="0" fontId="8" fillId="0" borderId="15" xfId="0" applyFont="1" applyBorder="1"/>
    <xf numFmtId="10" fontId="10" fillId="16" borderId="16" xfId="0" applyNumberFormat="1" applyFont="1" applyFill="1" applyBorder="1" applyAlignment="1">
      <alignment vertical="top"/>
    </xf>
    <xf numFmtId="0" fontId="10" fillId="16" borderId="18" xfId="0" applyFont="1" applyFill="1" applyBorder="1" applyAlignment="1">
      <alignment vertical="top"/>
    </xf>
    <xf numFmtId="0" fontId="10" fillId="16" borderId="21" xfId="0" applyFont="1" applyFill="1" applyBorder="1" applyAlignment="1">
      <alignment vertical="top"/>
    </xf>
    <xf numFmtId="0" fontId="10" fillId="16" borderId="29" xfId="0" applyFont="1" applyFill="1" applyBorder="1" applyAlignment="1">
      <alignment vertical="top"/>
    </xf>
    <xf numFmtId="0" fontId="10" fillId="16" borderId="29" xfId="0" applyFont="1" applyFill="1" applyBorder="1" applyAlignment="1">
      <alignment horizontal="left" vertical="top" indent="2"/>
    </xf>
    <xf numFmtId="0" fontId="10" fillId="16" borderId="29" xfId="0" applyFont="1" applyFill="1" applyBorder="1" applyAlignment="1">
      <alignment horizontal="left" vertical="top" wrapText="1" indent="2"/>
    </xf>
    <xf numFmtId="0" fontId="10" fillId="16" borderId="46" xfId="0" applyFont="1" applyFill="1" applyBorder="1" applyAlignment="1">
      <alignment horizontal="left" vertical="top" wrapText="1" indent="2"/>
    </xf>
    <xf numFmtId="0" fontId="10" fillId="16" borderId="29" xfId="0" applyFont="1" applyFill="1" applyBorder="1" applyAlignment="1">
      <alignment horizontal="left" vertical="top" wrapText="1" indent="3"/>
    </xf>
    <xf numFmtId="0" fontId="10" fillId="16" borderId="46" xfId="0" applyFont="1" applyFill="1" applyBorder="1" applyAlignment="1">
      <alignment horizontal="left" vertical="top" wrapText="1" indent="3"/>
    </xf>
    <xf numFmtId="167" fontId="8" fillId="16" borderId="21" xfId="1" applyNumberFormat="1" applyFont="1" applyFill="1" applyBorder="1" applyProtection="1"/>
    <xf numFmtId="0" fontId="8" fillId="16" borderId="21" xfId="0" applyFont="1" applyFill="1" applyBorder="1"/>
    <xf numFmtId="0" fontId="8" fillId="16" borderId="18" xfId="0" applyFont="1" applyFill="1" applyBorder="1"/>
    <xf numFmtId="41" fontId="10" fillId="0" borderId="21" xfId="20" applyFont="1" applyFill="1" applyBorder="1" applyAlignment="1">
      <alignment vertical="top"/>
    </xf>
    <xf numFmtId="0" fontId="11" fillId="0" borderId="13" xfId="0" applyFont="1" applyBorder="1" applyAlignment="1">
      <alignment horizontal="center" vertical="center" wrapText="1"/>
    </xf>
    <xf numFmtId="0" fontId="8" fillId="0" borderId="0" xfId="0" applyFont="1" applyAlignment="1">
      <alignment horizontal="left" vertical="top"/>
    </xf>
    <xf numFmtId="0" fontId="11" fillId="0" borderId="23" xfId="0" applyFont="1" applyBorder="1" applyAlignment="1">
      <alignment horizontal="center" vertical="center" wrapText="1"/>
    </xf>
    <xf numFmtId="167" fontId="8" fillId="0" borderId="0" xfId="1" applyNumberFormat="1" applyFont="1" applyAlignment="1" applyProtection="1"/>
    <xf numFmtId="0" fontId="8" fillId="16" borderId="29" xfId="0" applyFont="1" applyFill="1" applyBorder="1" applyAlignment="1">
      <alignment horizontal="left" vertical="center"/>
    </xf>
    <xf numFmtId="0" fontId="8" fillId="16" borderId="0" xfId="0" applyFont="1" applyFill="1" applyAlignment="1">
      <alignment horizontal="left" vertical="top"/>
    </xf>
    <xf numFmtId="0" fontId="8" fillId="16" borderId="21" xfId="0" applyFont="1" applyFill="1" applyBorder="1" applyAlignment="1">
      <alignment horizontal="center" vertical="top"/>
    </xf>
    <xf numFmtId="0" fontId="8" fillId="16" borderId="46" xfId="0" applyFont="1" applyFill="1" applyBorder="1" applyAlignment="1">
      <alignment horizontal="left" vertical="center"/>
    </xf>
    <xf numFmtId="0" fontId="8" fillId="16" borderId="19" xfId="0" applyFont="1" applyFill="1" applyBorder="1" applyAlignment="1">
      <alignment horizontal="left" vertical="top"/>
    </xf>
    <xf numFmtId="0" fontId="8" fillId="16" borderId="18" xfId="0" applyFont="1" applyFill="1" applyBorder="1" applyAlignment="1">
      <alignment horizontal="center" vertical="top"/>
    </xf>
    <xf numFmtId="41" fontId="8" fillId="0" borderId="0" xfId="20" applyFont="1" applyFill="1" applyBorder="1" applyAlignment="1">
      <alignment horizontal="center" vertical="top"/>
    </xf>
    <xf numFmtId="41" fontId="8" fillId="4" borderId="16" xfId="20" applyFont="1" applyFill="1" applyBorder="1" applyAlignment="1">
      <alignment vertical="top"/>
    </xf>
    <xf numFmtId="49" fontId="8" fillId="14" borderId="7" xfId="1" applyNumberFormat="1" applyFont="1" applyFill="1" applyBorder="1" applyAlignment="1" applyProtection="1">
      <alignment vertical="top"/>
    </xf>
    <xf numFmtId="49" fontId="8" fillId="14" borderId="8" xfId="1" applyNumberFormat="1" applyFont="1" applyFill="1" applyBorder="1" applyAlignment="1" applyProtection="1">
      <alignment vertical="top"/>
    </xf>
    <xf numFmtId="49" fontId="8" fillId="14" borderId="23" xfId="1" applyNumberFormat="1" applyFont="1" applyFill="1" applyBorder="1" applyAlignment="1" applyProtection="1">
      <alignment vertical="top"/>
    </xf>
    <xf numFmtId="0" fontId="10" fillId="0" borderId="0" xfId="0" applyFont="1" applyAlignment="1">
      <alignment horizontal="left" vertical="top" indent="2"/>
    </xf>
    <xf numFmtId="0" fontId="10" fillId="0" borderId="14" xfId="0" applyFont="1" applyBorder="1" applyAlignment="1">
      <alignment vertical="center"/>
    </xf>
    <xf numFmtId="0" fontId="10" fillId="0" borderId="29" xfId="0" applyFont="1" applyBorder="1" applyAlignment="1">
      <alignment horizontal="left" vertical="center" indent="2"/>
    </xf>
    <xf numFmtId="0" fontId="13" fillId="16" borderId="21" xfId="0" applyFont="1" applyFill="1" applyBorder="1" applyAlignment="1">
      <alignment horizontal="center" vertical="top" wrapText="1"/>
    </xf>
    <xf numFmtId="0" fontId="10" fillId="16" borderId="21" xfId="0" applyFont="1" applyFill="1" applyBorder="1" applyAlignment="1">
      <alignment horizontal="left" vertical="top"/>
    </xf>
    <xf numFmtId="0" fontId="10" fillId="16" borderId="29" xfId="0" applyFont="1" applyFill="1" applyBorder="1" applyAlignment="1">
      <alignment horizontal="center" vertical="top"/>
    </xf>
    <xf numFmtId="43" fontId="13" fillId="16" borderId="21" xfId="0" applyNumberFormat="1" applyFont="1" applyFill="1" applyBorder="1" applyAlignment="1">
      <alignment horizontal="center" vertical="top" wrapText="1"/>
    </xf>
    <xf numFmtId="0" fontId="10" fillId="16" borderId="21" xfId="0" applyFont="1" applyFill="1" applyBorder="1" applyAlignment="1">
      <alignment horizontal="center" vertical="top"/>
    </xf>
    <xf numFmtId="0" fontId="10" fillId="16" borderId="29" xfId="0" applyFont="1" applyFill="1" applyBorder="1" applyAlignment="1">
      <alignment horizontal="center" vertical="center"/>
    </xf>
    <xf numFmtId="0" fontId="10" fillId="16" borderId="21" xfId="0" applyFont="1" applyFill="1" applyBorder="1" applyAlignment="1">
      <alignment horizontal="center" vertical="top" wrapText="1"/>
    </xf>
    <xf numFmtId="41" fontId="10" fillId="0" borderId="13" xfId="20" applyFont="1" applyBorder="1" applyAlignment="1">
      <alignment horizontal="center" vertical="top"/>
    </xf>
    <xf numFmtId="41" fontId="10" fillId="0" borderId="21" xfId="20" applyFont="1" applyBorder="1" applyAlignment="1">
      <alignment horizontal="left" vertical="top" wrapText="1"/>
    </xf>
    <xf numFmtId="44" fontId="13" fillId="0" borderId="8" xfId="1" applyNumberFormat="1" applyFont="1" applyFill="1" applyBorder="1" applyAlignment="1">
      <alignment horizontal="center" vertical="center"/>
    </xf>
    <xf numFmtId="0" fontId="10" fillId="16" borderId="21" xfId="0" applyFont="1" applyFill="1" applyBorder="1" applyAlignment="1">
      <alignment horizontal="left" vertical="top" wrapText="1" indent="2"/>
    </xf>
    <xf numFmtId="0" fontId="10" fillId="16" borderId="21" xfId="0" applyFont="1" applyFill="1" applyBorder="1" applyAlignment="1">
      <alignment vertical="top" wrapText="1"/>
    </xf>
    <xf numFmtId="0" fontId="10" fillId="16" borderId="0" xfId="0" applyFont="1" applyFill="1" applyAlignment="1">
      <alignment horizontal="center" vertical="top"/>
    </xf>
    <xf numFmtId="0" fontId="0" fillId="16" borderId="21" xfId="0" applyFill="1" applyBorder="1"/>
    <xf numFmtId="0" fontId="0" fillId="16" borderId="0" xfId="0" applyFill="1"/>
    <xf numFmtId="0" fontId="10" fillId="16" borderId="22" xfId="0" applyFont="1" applyFill="1" applyBorder="1" applyAlignment="1">
      <alignment horizontal="center" vertical="top"/>
    </xf>
    <xf numFmtId="0" fontId="10" fillId="16" borderId="21" xfId="0" applyFont="1" applyFill="1" applyBorder="1" applyAlignment="1">
      <alignment horizontal="left" vertical="top" wrapText="1"/>
    </xf>
    <xf numFmtId="0" fontId="10" fillId="16" borderId="14" xfId="0" applyFont="1" applyFill="1" applyBorder="1" applyAlignment="1">
      <alignment horizontal="left" vertical="top"/>
    </xf>
    <xf numFmtId="0" fontId="10" fillId="16" borderId="15" xfId="0" applyFont="1" applyFill="1" applyBorder="1" applyAlignment="1">
      <alignment horizontal="left" vertical="top"/>
    </xf>
    <xf numFmtId="0" fontId="10" fillId="16" borderId="22" xfId="0" applyFont="1" applyFill="1" applyBorder="1" applyAlignment="1">
      <alignment horizontal="left" vertical="top" wrapText="1"/>
    </xf>
    <xf numFmtId="0" fontId="10" fillId="16" borderId="29" xfId="0" applyFont="1" applyFill="1" applyBorder="1" applyAlignment="1">
      <alignment horizontal="left" vertical="top"/>
    </xf>
    <xf numFmtId="0" fontId="10" fillId="16" borderId="22" xfId="0" applyFont="1" applyFill="1" applyBorder="1" applyAlignment="1">
      <alignment horizontal="left" vertical="top"/>
    </xf>
    <xf numFmtId="0" fontId="10" fillId="16" borderId="29" xfId="0" applyFont="1" applyFill="1" applyBorder="1" applyAlignment="1">
      <alignment horizontal="left" vertical="top" wrapText="1"/>
    </xf>
    <xf numFmtId="0" fontId="10" fillId="16" borderId="16" xfId="0" applyFont="1" applyFill="1" applyBorder="1" applyAlignment="1">
      <alignment horizontal="left" vertical="top" wrapText="1"/>
    </xf>
    <xf numFmtId="0" fontId="10" fillId="16" borderId="18" xfId="0" applyFont="1" applyFill="1" applyBorder="1" applyAlignment="1">
      <alignment horizontal="left" vertical="top" wrapText="1"/>
    </xf>
    <xf numFmtId="0" fontId="10" fillId="0" borderId="46" xfId="0" applyFont="1" applyBorder="1" applyAlignment="1">
      <alignment horizontal="left" vertical="top" indent="2"/>
    </xf>
    <xf numFmtId="0" fontId="10" fillId="16" borderId="15" xfId="0" applyFont="1" applyFill="1" applyBorder="1" applyAlignment="1">
      <alignment horizontal="left" vertical="top" wrapText="1"/>
    </xf>
    <xf numFmtId="0" fontId="10" fillId="16" borderId="20" xfId="0" applyFont="1" applyFill="1" applyBorder="1" applyAlignment="1">
      <alignment horizontal="center" vertical="top"/>
    </xf>
    <xf numFmtId="0" fontId="10" fillId="16" borderId="16" xfId="0" applyFont="1" applyFill="1" applyBorder="1" applyAlignment="1">
      <alignment horizontal="left" vertical="top"/>
    </xf>
    <xf numFmtId="10" fontId="10" fillId="16" borderId="21" xfId="0" applyNumberFormat="1" applyFont="1" applyFill="1" applyBorder="1" applyAlignment="1">
      <alignment vertical="top"/>
    </xf>
    <xf numFmtId="9" fontId="8" fillId="16" borderId="21" xfId="21" applyFont="1" applyFill="1" applyBorder="1" applyAlignment="1">
      <alignment horizontal="center" vertical="top"/>
    </xf>
    <xf numFmtId="9" fontId="8" fillId="16" borderId="18" xfId="21" applyFont="1" applyFill="1" applyBorder="1" applyAlignment="1">
      <alignment horizontal="center" vertical="top"/>
    </xf>
    <xf numFmtId="0" fontId="10" fillId="0" borderId="21" xfId="0" applyFont="1" applyBorder="1" applyAlignment="1">
      <alignment horizontal="left" vertical="top" wrapText="1" indent="3"/>
    </xf>
    <xf numFmtId="0" fontId="10" fillId="0" borderId="21" xfId="0" applyFont="1" applyBorder="1" applyAlignment="1">
      <alignment horizontal="left" vertical="top" wrapText="1" indent="4"/>
    </xf>
    <xf numFmtId="0" fontId="10" fillId="0" borderId="21" xfId="0" applyFont="1" applyBorder="1" applyAlignment="1">
      <alignment horizontal="left" vertical="top" wrapText="1" indent="2"/>
    </xf>
    <xf numFmtId="9" fontId="10" fillId="0" borderId="0" xfId="21" applyFont="1" applyAlignment="1">
      <alignment vertical="top" wrapText="1"/>
    </xf>
    <xf numFmtId="0" fontId="10" fillId="0" borderId="14" xfId="0" applyFont="1" applyBorder="1" applyAlignment="1">
      <alignment vertical="top"/>
    </xf>
    <xf numFmtId="0" fontId="10" fillId="0" borderId="29" xfId="0" applyFont="1" applyBorder="1" applyAlignment="1">
      <alignment horizontal="left" vertical="top" wrapText="1" indent="6"/>
    </xf>
    <xf numFmtId="41" fontId="8" fillId="0" borderId="17" xfId="20" applyFont="1" applyFill="1" applyBorder="1" applyAlignment="1">
      <alignment horizontal="center" vertical="top"/>
    </xf>
    <xf numFmtId="43" fontId="13" fillId="0" borderId="16" xfId="1" applyFont="1" applyFill="1" applyBorder="1" applyAlignment="1">
      <alignment horizontal="center" vertical="center" wrapText="1"/>
    </xf>
    <xf numFmtId="43" fontId="13" fillId="0" borderId="16" xfId="1" applyFont="1" applyFill="1" applyBorder="1" applyAlignment="1">
      <alignment horizontal="center" vertical="top" wrapText="1"/>
    </xf>
    <xf numFmtId="0" fontId="10" fillId="0" borderId="14" xfId="0" applyFont="1" applyBorder="1"/>
    <xf numFmtId="0" fontId="10" fillId="0" borderId="17" xfId="0" applyFont="1" applyBorder="1"/>
    <xf numFmtId="0" fontId="10" fillId="0" borderId="46" xfId="0" applyFont="1" applyBorder="1"/>
    <xf numFmtId="0" fontId="10" fillId="0" borderId="19" xfId="0" applyFont="1" applyBorder="1"/>
    <xf numFmtId="43" fontId="13" fillId="0" borderId="22" xfId="1" applyFont="1" applyFill="1" applyBorder="1" applyAlignment="1">
      <alignment horizontal="center" vertical="top"/>
    </xf>
    <xf numFmtId="0" fontId="10" fillId="0" borderId="0" xfId="0" applyFont="1" applyAlignment="1">
      <alignment horizontal="left" vertical="center" indent="2"/>
    </xf>
    <xf numFmtId="0" fontId="10" fillId="0" borderId="0" xfId="0" quotePrefix="1" applyFont="1" applyAlignment="1">
      <alignment horizontal="left" vertical="top" indent="3"/>
    </xf>
    <xf numFmtId="43" fontId="13" fillId="0" borderId="21" xfId="1" applyFont="1" applyFill="1" applyBorder="1" applyAlignment="1">
      <alignment horizontal="center" vertical="top" wrapText="1"/>
    </xf>
    <xf numFmtId="43" fontId="10" fillId="0" borderId="21" xfId="1" applyFont="1" applyFill="1" applyBorder="1" applyAlignment="1">
      <alignment horizontal="center" vertical="top" wrapText="1"/>
    </xf>
    <xf numFmtId="0" fontId="10" fillId="0" borderId="29" xfId="0" quotePrefix="1" applyFont="1" applyBorder="1" applyAlignment="1">
      <alignment horizontal="left" vertical="top" indent="3"/>
    </xf>
    <xf numFmtId="43" fontId="10" fillId="0" borderId="29" xfId="1" applyFont="1" applyFill="1" applyBorder="1" applyAlignment="1">
      <alignment vertical="top"/>
    </xf>
    <xf numFmtId="0" fontId="10" fillId="0" borderId="46" xfId="0" quotePrefix="1" applyFont="1" applyBorder="1" applyAlignment="1">
      <alignment horizontal="left" vertical="top" indent="3"/>
    </xf>
    <xf numFmtId="0" fontId="10" fillId="0" borderId="19" xfId="0" quotePrefix="1" applyFont="1" applyBorder="1" applyAlignment="1">
      <alignment horizontal="left" vertical="top" indent="3"/>
    </xf>
    <xf numFmtId="43" fontId="10" fillId="0" borderId="14" xfId="1" applyFont="1" applyFill="1" applyBorder="1" applyAlignment="1">
      <alignment vertical="center"/>
    </xf>
    <xf numFmtId="43" fontId="13" fillId="16" borderId="21" xfId="1" applyFont="1" applyFill="1" applyBorder="1" applyAlignment="1">
      <alignment horizontal="center" vertical="top" wrapText="1"/>
    </xf>
    <xf numFmtId="43" fontId="13" fillId="16" borderId="18" xfId="1" applyFont="1" applyFill="1" applyBorder="1" applyAlignment="1">
      <alignment horizontal="center" vertical="top" wrapText="1"/>
    </xf>
    <xf numFmtId="43" fontId="13" fillId="0" borderId="16" xfId="0" applyNumberFormat="1" applyFont="1" applyBorder="1" applyAlignment="1">
      <alignment horizontal="center" vertical="top" wrapText="1"/>
    </xf>
    <xf numFmtId="43" fontId="13" fillId="0" borderId="22" xfId="0" applyNumberFormat="1" applyFont="1" applyBorder="1" applyAlignment="1">
      <alignment horizontal="center" vertical="top" wrapText="1"/>
    </xf>
    <xf numFmtId="43" fontId="13" fillId="0" borderId="15" xfId="0" applyNumberFormat="1" applyFont="1" applyBorder="1" applyAlignment="1">
      <alignment horizontal="center" vertical="top" wrapText="1"/>
    </xf>
    <xf numFmtId="43" fontId="13" fillId="0" borderId="20" xfId="0" applyNumberFormat="1" applyFont="1" applyBorder="1" applyAlignment="1">
      <alignment horizontal="center" vertical="top" wrapText="1"/>
    </xf>
    <xf numFmtId="0" fontId="13" fillId="0" borderId="17" xfId="0" applyFont="1" applyBorder="1" applyAlignment="1">
      <alignment horizontal="left" vertical="top"/>
    </xf>
    <xf numFmtId="43" fontId="10" fillId="0" borderId="17" xfId="1" applyFont="1" applyFill="1" applyBorder="1" applyAlignment="1">
      <alignment vertical="center"/>
    </xf>
    <xf numFmtId="0" fontId="10" fillId="0" borderId="19" xfId="0" applyFont="1" applyBorder="1" applyAlignment="1">
      <alignment horizontal="left" vertical="top" indent="2"/>
    </xf>
    <xf numFmtId="0" fontId="19" fillId="6" borderId="21" xfId="5" applyFont="1" applyFill="1" applyBorder="1" applyAlignment="1">
      <alignment vertical="top"/>
    </xf>
    <xf numFmtId="0" fontId="10" fillId="6" borderId="21" xfId="5" applyFont="1" applyFill="1" applyBorder="1" applyAlignment="1">
      <alignment horizontal="left" wrapText="1"/>
    </xf>
    <xf numFmtId="0" fontId="10" fillId="6" borderId="21" xfId="5" applyFont="1" applyFill="1" applyBorder="1" applyAlignment="1">
      <alignment horizontal="left" indent="1"/>
    </xf>
    <xf numFmtId="0" fontId="13" fillId="6" borderId="21" xfId="5" applyFont="1" applyFill="1" applyBorder="1" applyAlignment="1">
      <alignment horizontal="left" indent="1"/>
    </xf>
    <xf numFmtId="0" fontId="10" fillId="6" borderId="21" xfId="5" applyFont="1" applyFill="1" applyBorder="1" applyAlignment="1">
      <alignment horizontal="left" vertical="top"/>
    </xf>
    <xf numFmtId="0" fontId="13" fillId="6" borderId="18" xfId="5" applyFont="1" applyFill="1" applyBorder="1" applyAlignment="1">
      <alignment horizontal="right" vertical="top"/>
    </xf>
    <xf numFmtId="0" fontId="10" fillId="6" borderId="21" xfId="5" applyFont="1" applyFill="1" applyBorder="1" applyAlignment="1">
      <alignment horizontal="left" vertical="top" wrapText="1"/>
    </xf>
    <xf numFmtId="0" fontId="10" fillId="6" borderId="21" xfId="5" applyFont="1" applyFill="1" applyBorder="1" applyAlignment="1">
      <alignment horizontal="left" wrapText="1" indent="1"/>
    </xf>
    <xf numFmtId="0" fontId="10" fillId="6" borderId="21" xfId="5" applyFont="1" applyFill="1" applyBorder="1" applyAlignment="1">
      <alignment horizontal="left"/>
    </xf>
    <xf numFmtId="0" fontId="13" fillId="6" borderId="29" xfId="5" applyFont="1" applyFill="1" applyBorder="1" applyAlignment="1">
      <alignment horizontal="left" indent="1"/>
    </xf>
    <xf numFmtId="0" fontId="13" fillId="6" borderId="29" xfId="5" applyFont="1" applyFill="1" applyBorder="1" applyAlignment="1">
      <alignment horizontal="left" vertical="top"/>
    </xf>
    <xf numFmtId="0" fontId="13" fillId="6" borderId="21" xfId="5" applyFont="1" applyFill="1" applyBorder="1" applyAlignment="1">
      <alignment horizontal="right" vertical="top"/>
    </xf>
    <xf numFmtId="0" fontId="13" fillId="0" borderId="29" xfId="0" applyFont="1" applyBorder="1" applyAlignment="1">
      <alignment horizontal="right" vertical="top" wrapText="1"/>
    </xf>
    <xf numFmtId="0" fontId="13" fillId="0" borderId="46" xfId="0" applyFont="1" applyBorder="1" applyAlignment="1">
      <alignment horizontal="right" vertical="top" wrapText="1"/>
    </xf>
    <xf numFmtId="0" fontId="13" fillId="6" borderId="21" xfId="5" applyFont="1" applyFill="1" applyBorder="1" applyAlignment="1">
      <alignment horizontal="left"/>
    </xf>
    <xf numFmtId="0" fontId="10" fillId="0" borderId="21" xfId="0" applyFont="1" applyBorder="1" applyAlignment="1">
      <alignment horizontal="left" wrapText="1" indent="1"/>
    </xf>
    <xf numFmtId="0" fontId="10" fillId="0" borderId="21" xfId="0" applyFont="1" applyBorder="1" applyAlignment="1">
      <alignment horizontal="left" indent="1"/>
    </xf>
    <xf numFmtId="0" fontId="10" fillId="6" borderId="29" xfId="5" applyFont="1" applyFill="1" applyBorder="1" applyAlignment="1">
      <alignment horizontal="left" vertical="top" indent="1"/>
    </xf>
    <xf numFmtId="0" fontId="18" fillId="0" borderId="21" xfId="0" applyFont="1" applyBorder="1" applyAlignment="1">
      <alignment vertical="top"/>
    </xf>
    <xf numFmtId="0" fontId="10" fillId="0" borderId="16" xfId="0" applyFont="1" applyBorder="1" applyAlignment="1">
      <alignment horizontal="left" vertical="top"/>
    </xf>
    <xf numFmtId="0" fontId="13" fillId="0" borderId="29" xfId="0" applyFont="1" applyBorder="1" applyAlignment="1">
      <alignment horizontal="right" vertical="top" wrapText="1" indent="2"/>
    </xf>
    <xf numFmtId="0" fontId="10" fillId="6" borderId="29" xfId="0" quotePrefix="1" applyFont="1" applyFill="1" applyBorder="1" applyAlignment="1">
      <alignment horizontal="left" vertical="top" wrapText="1" indent="4"/>
    </xf>
    <xf numFmtId="0" fontId="10" fillId="6" borderId="16" xfId="5" applyFont="1" applyFill="1" applyBorder="1" applyAlignment="1">
      <alignment horizontal="left" vertical="top"/>
    </xf>
    <xf numFmtId="0" fontId="10" fillId="6" borderId="21" xfId="5" applyFont="1" applyFill="1" applyBorder="1" applyAlignment="1">
      <alignment horizontal="left" vertical="top" indent="1"/>
    </xf>
    <xf numFmtId="0" fontId="10" fillId="6" borderId="29" xfId="5" applyFont="1" applyFill="1" applyBorder="1" applyAlignment="1">
      <alignment horizontal="left" vertical="top" wrapText="1"/>
    </xf>
    <xf numFmtId="0" fontId="10" fillId="6" borderId="0" xfId="5" applyFont="1" applyFill="1" applyAlignment="1">
      <alignment horizontal="left" vertical="top"/>
    </xf>
    <xf numFmtId="0" fontId="0" fillId="0" borderId="29" xfId="0" applyBorder="1"/>
    <xf numFmtId="0" fontId="10" fillId="6" borderId="29" xfId="6" applyNumberFormat="1" applyFont="1" applyFill="1" applyBorder="1"/>
    <xf numFmtId="0" fontId="10" fillId="0" borderId="29" xfId="0" applyFont="1" applyBorder="1" applyAlignment="1">
      <alignment horizontal="left" vertical="center" indent="4"/>
    </xf>
    <xf numFmtId="0" fontId="10" fillId="0" borderId="22" xfId="0" applyFont="1" applyBorder="1" applyAlignment="1">
      <alignment horizontal="left" vertical="center" indent="4"/>
    </xf>
    <xf numFmtId="9" fontId="10" fillId="0" borderId="29" xfId="21" applyFont="1" applyBorder="1"/>
    <xf numFmtId="9" fontId="10" fillId="0" borderId="22" xfId="21" applyFont="1" applyBorder="1"/>
    <xf numFmtId="0" fontId="13" fillId="0" borderId="20" xfId="0" applyFont="1" applyBorder="1" applyAlignment="1">
      <alignment horizontal="right" vertical="top" wrapText="1"/>
    </xf>
    <xf numFmtId="0" fontId="10" fillId="0" borderId="15" xfId="0" applyFont="1" applyBorder="1" applyAlignment="1">
      <alignment vertical="center" wrapText="1"/>
    </xf>
    <xf numFmtId="0" fontId="10" fillId="0" borderId="22" xfId="0" applyFont="1" applyBorder="1" applyAlignment="1">
      <alignment vertical="center" wrapText="1"/>
    </xf>
    <xf numFmtId="0" fontId="13" fillId="0" borderId="20" xfId="0" applyFont="1" applyBorder="1" applyAlignment="1">
      <alignment horizontal="right" vertical="top"/>
    </xf>
    <xf numFmtId="0" fontId="13" fillId="0" borderId="29" xfId="0" applyFont="1" applyBorder="1" applyAlignment="1">
      <alignment horizontal="right" vertical="center"/>
    </xf>
    <xf numFmtId="0" fontId="13" fillId="0" borderId="22" xfId="0" applyFont="1" applyBorder="1" applyAlignment="1">
      <alignment horizontal="right" vertical="center"/>
    </xf>
    <xf numFmtId="0" fontId="10" fillId="0" borderId="29" xfId="0" applyFont="1" applyBorder="1" applyAlignment="1">
      <alignment horizontal="left" vertical="center" wrapText="1"/>
    </xf>
    <xf numFmtId="0" fontId="10" fillId="0" borderId="22" xfId="0" applyFont="1" applyBorder="1" applyAlignment="1">
      <alignment horizontal="left" vertical="center" wrapText="1"/>
    </xf>
    <xf numFmtId="0" fontId="13" fillId="0" borderId="46" xfId="0" applyFont="1" applyBorder="1" applyAlignment="1">
      <alignment horizontal="right" vertical="center"/>
    </xf>
    <xf numFmtId="0" fontId="13" fillId="0" borderId="20" xfId="0" applyFont="1" applyBorder="1" applyAlignment="1">
      <alignment horizontal="right" vertical="center"/>
    </xf>
    <xf numFmtId="0" fontId="10" fillId="6" borderId="14" xfId="6" applyNumberFormat="1" applyFont="1" applyFill="1" applyBorder="1"/>
    <xf numFmtId="0" fontId="10" fillId="6" borderId="15" xfId="6" applyNumberFormat="1" applyFont="1" applyFill="1" applyBorder="1"/>
    <xf numFmtId="0" fontId="10" fillId="6" borderId="22" xfId="6" applyNumberFormat="1" applyFont="1" applyFill="1" applyBorder="1"/>
    <xf numFmtId="41" fontId="10" fillId="6" borderId="0" xfId="20" applyFont="1" applyFill="1" applyBorder="1"/>
    <xf numFmtId="41" fontId="8" fillId="0" borderId="23" xfId="20" applyFont="1" applyBorder="1" applyAlignment="1">
      <alignment horizontal="center"/>
    </xf>
    <xf numFmtId="41" fontId="10" fillId="4" borderId="22" xfId="20" applyFont="1" applyFill="1" applyBorder="1" applyAlignment="1" applyProtection="1">
      <alignment vertical="top"/>
    </xf>
    <xf numFmtId="41" fontId="10" fillId="0" borderId="0" xfId="0" applyNumberFormat="1" applyFont="1" applyAlignment="1">
      <alignment vertical="top"/>
    </xf>
    <xf numFmtId="0" fontId="10" fillId="6" borderId="29" xfId="5" applyFont="1" applyFill="1" applyBorder="1" applyAlignment="1">
      <alignment horizontal="left" vertical="center"/>
    </xf>
    <xf numFmtId="0" fontId="10" fillId="0" borderId="21" xfId="0" applyFont="1" applyBorder="1" applyAlignment="1">
      <alignment horizontal="left" wrapText="1" indent="3"/>
    </xf>
    <xf numFmtId="41" fontId="8" fillId="0" borderId="0" xfId="0" applyNumberFormat="1" applyFont="1" applyAlignment="1">
      <alignment vertical="center"/>
    </xf>
    <xf numFmtId="0" fontId="13" fillId="0" borderId="21" xfId="0" quotePrefix="1" applyFont="1" applyBorder="1" applyAlignment="1">
      <alignment horizontal="center" vertical="top"/>
    </xf>
    <xf numFmtId="0" fontId="10" fillId="0" borderId="21" xfId="0" applyFont="1" applyBorder="1" applyAlignment="1">
      <alignment horizontal="center" vertical="center"/>
    </xf>
    <xf numFmtId="0" fontId="8" fillId="0" borderId="0" xfId="0" applyFont="1" applyAlignment="1">
      <alignment horizontal="left" vertical="top" indent="2"/>
    </xf>
    <xf numFmtId="0" fontId="13" fillId="0" borderId="46" xfId="0" applyFont="1" applyBorder="1" applyAlignment="1" applyProtection="1">
      <alignment horizontal="left" vertical="top" wrapText="1"/>
      <protection locked="0"/>
    </xf>
    <xf numFmtId="0" fontId="13" fillId="0" borderId="22" xfId="0" applyFont="1" applyBorder="1" applyAlignment="1">
      <alignment horizontal="center" vertical="top" wrapText="1"/>
    </xf>
    <xf numFmtId="0" fontId="19" fillId="6" borderId="29" xfId="5" applyFont="1" applyFill="1" applyBorder="1" applyAlignment="1">
      <alignment vertical="top"/>
    </xf>
    <xf numFmtId="0" fontId="10" fillId="6" borderId="29" xfId="5" applyFont="1" applyFill="1" applyBorder="1" applyAlignment="1">
      <alignment horizontal="left" wrapText="1"/>
    </xf>
    <xf numFmtId="0" fontId="10" fillId="0" borderId="29" xfId="0" applyFont="1" applyBorder="1" applyAlignment="1">
      <alignment horizontal="left" wrapText="1" indent="1"/>
    </xf>
    <xf numFmtId="0" fontId="10" fillId="0" borderId="29" xfId="0" applyFont="1" applyBorder="1" applyAlignment="1">
      <alignment horizontal="left" indent="1"/>
    </xf>
    <xf numFmtId="0" fontId="10" fillId="6" borderId="29" xfId="5" applyFont="1" applyFill="1" applyBorder="1" applyAlignment="1">
      <alignment horizontal="left" indent="1"/>
    </xf>
    <xf numFmtId="0" fontId="10" fillId="6" borderId="29" xfId="5" applyFont="1" applyFill="1" applyBorder="1" applyAlignment="1">
      <alignment horizontal="left" wrapText="1" indent="1"/>
    </xf>
    <xf numFmtId="0" fontId="13" fillId="6" borderId="29" xfId="5" applyFont="1" applyFill="1" applyBorder="1" applyAlignment="1">
      <alignment horizontal="left"/>
    </xf>
    <xf numFmtId="0" fontId="13" fillId="6" borderId="46" xfId="5" applyFont="1" applyFill="1" applyBorder="1" applyAlignment="1">
      <alignment horizontal="right" vertical="top"/>
    </xf>
    <xf numFmtId="0" fontId="10" fillId="6" borderId="29" xfId="5" applyFont="1" applyFill="1" applyBorder="1" applyAlignment="1">
      <alignment horizontal="left"/>
    </xf>
    <xf numFmtId="0" fontId="13" fillId="6" borderId="29" xfId="5" applyFont="1" applyFill="1" applyBorder="1" applyAlignment="1">
      <alignment horizontal="right" vertical="top"/>
    </xf>
    <xf numFmtId="0" fontId="10" fillId="6" borderId="22" xfId="5" applyFont="1" applyFill="1" applyBorder="1"/>
    <xf numFmtId="43" fontId="10" fillId="6" borderId="22" xfId="3" applyFont="1" applyFill="1" applyBorder="1" applyProtection="1"/>
    <xf numFmtId="41" fontId="10" fillId="6" borderId="15" xfId="20" applyFont="1" applyFill="1" applyBorder="1" applyProtection="1"/>
    <xf numFmtId="41" fontId="10" fillId="6" borderId="20" xfId="20" applyFont="1" applyFill="1" applyBorder="1" applyProtection="1"/>
    <xf numFmtId="41" fontId="10" fillId="6" borderId="22" xfId="20" applyFont="1" applyFill="1" applyBorder="1" applyProtection="1"/>
    <xf numFmtId="41" fontId="10" fillId="6" borderId="23" xfId="20" applyFont="1" applyFill="1" applyBorder="1" applyProtection="1"/>
    <xf numFmtId="43" fontId="10" fillId="6" borderId="22" xfId="1" applyFont="1" applyFill="1" applyBorder="1" applyProtection="1"/>
    <xf numFmtId="41" fontId="10" fillId="6" borderId="22" xfId="20" applyFont="1" applyFill="1" applyBorder="1"/>
    <xf numFmtId="43" fontId="10" fillId="6" borderId="15" xfId="1" applyFont="1" applyFill="1" applyBorder="1" applyProtection="1"/>
    <xf numFmtId="41" fontId="10" fillId="6" borderId="20" xfId="20" applyFont="1" applyFill="1" applyBorder="1"/>
    <xf numFmtId="41" fontId="13" fillId="0" borderId="15" xfId="20" applyFont="1" applyFill="1" applyBorder="1" applyAlignment="1">
      <alignment horizontal="center" vertical="center"/>
    </xf>
    <xf numFmtId="41" fontId="13" fillId="0" borderId="23" xfId="20" applyFont="1" applyFill="1" applyBorder="1" applyAlignment="1">
      <alignment horizontal="center" vertical="center"/>
    </xf>
    <xf numFmtId="0" fontId="10" fillId="6" borderId="15" xfId="5" applyFont="1" applyFill="1" applyBorder="1"/>
    <xf numFmtId="0" fontId="19" fillId="6" borderId="22" xfId="5" applyFont="1" applyFill="1" applyBorder="1" applyAlignment="1">
      <alignment vertical="top"/>
    </xf>
    <xf numFmtId="0" fontId="10" fillId="6" borderId="22" xfId="5" applyFont="1" applyFill="1" applyBorder="1" applyAlignment="1">
      <alignment horizontal="left" wrapText="1"/>
    </xf>
    <xf numFmtId="0" fontId="10" fillId="0" borderId="22" xfId="0" applyFont="1" applyBorder="1" applyAlignment="1">
      <alignment horizontal="left" wrapText="1" indent="1"/>
    </xf>
    <xf numFmtId="0" fontId="10" fillId="0" borderId="22" xfId="0" applyFont="1" applyBorder="1" applyAlignment="1">
      <alignment horizontal="left" indent="1"/>
    </xf>
    <xf numFmtId="0" fontId="10" fillId="6" borderId="22" xfId="5" applyFont="1" applyFill="1" applyBorder="1" applyAlignment="1">
      <alignment horizontal="left" indent="1"/>
    </xf>
    <xf numFmtId="0" fontId="13" fillId="6" borderId="22" xfId="5" applyFont="1" applyFill="1" applyBorder="1" applyAlignment="1">
      <alignment horizontal="left" indent="1"/>
    </xf>
    <xf numFmtId="0" fontId="10" fillId="6" borderId="22" xfId="5" applyFont="1" applyFill="1" applyBorder="1" applyAlignment="1">
      <alignment horizontal="left" wrapText="1" indent="1"/>
    </xf>
    <xf numFmtId="0" fontId="13" fillId="6" borderId="22" xfId="5" applyFont="1" applyFill="1" applyBorder="1" applyAlignment="1">
      <alignment horizontal="left"/>
    </xf>
    <xf numFmtId="0" fontId="13" fillId="6" borderId="20" xfId="5" applyFont="1" applyFill="1" applyBorder="1" applyAlignment="1">
      <alignment horizontal="right" vertical="top"/>
    </xf>
    <xf numFmtId="0" fontId="10" fillId="6" borderId="22" xfId="5" applyFont="1" applyFill="1" applyBorder="1" applyAlignment="1">
      <alignment horizontal="left" vertical="top" wrapText="1"/>
    </xf>
    <xf numFmtId="0" fontId="10" fillId="6" borderId="22" xfId="5" applyFont="1" applyFill="1" applyBorder="1" applyAlignment="1">
      <alignment horizontal="left"/>
    </xf>
    <xf numFmtId="0" fontId="10" fillId="6" borderId="22" xfId="5" applyFont="1" applyFill="1" applyBorder="1" applyAlignment="1">
      <alignment horizontal="left" vertical="top"/>
    </xf>
    <xf numFmtId="0" fontId="13" fillId="6" borderId="22" xfId="5" applyFont="1" applyFill="1" applyBorder="1" applyAlignment="1">
      <alignment horizontal="left" vertical="top"/>
    </xf>
    <xf numFmtId="0" fontId="13" fillId="6" borderId="22" xfId="5" applyFont="1" applyFill="1" applyBorder="1" applyAlignment="1">
      <alignment horizontal="right" vertical="top"/>
    </xf>
    <xf numFmtId="0" fontId="13" fillId="0" borderId="22" xfId="0" applyFont="1" applyBorder="1" applyAlignment="1">
      <alignment horizontal="right" vertical="top" wrapText="1"/>
    </xf>
    <xf numFmtId="0" fontId="8" fillId="9" borderId="16" xfId="0" applyFont="1" applyFill="1" applyBorder="1" applyAlignment="1">
      <alignment horizontal="left"/>
    </xf>
    <xf numFmtId="0" fontId="8" fillId="9" borderId="21" xfId="0" applyFont="1" applyFill="1" applyBorder="1" applyAlignment="1">
      <alignment horizontal="left"/>
    </xf>
    <xf numFmtId="0" fontId="8" fillId="9" borderId="18" xfId="0" applyFont="1" applyFill="1" applyBorder="1"/>
    <xf numFmtId="0" fontId="8" fillId="9" borderId="0" xfId="0" applyFont="1" applyFill="1" applyAlignment="1">
      <alignment horizontal="center"/>
    </xf>
    <xf numFmtId="172" fontId="8" fillId="0" borderId="0" xfId="0" applyNumberFormat="1" applyFont="1" applyAlignment="1">
      <alignment horizontal="center"/>
    </xf>
    <xf numFmtId="167" fontId="25" fillId="9" borderId="0" xfId="1" applyNumberFormat="1" applyFont="1" applyFill="1"/>
    <xf numFmtId="0" fontId="8" fillId="9" borderId="16" xfId="0" applyFont="1" applyFill="1" applyBorder="1" applyAlignment="1">
      <alignment horizontal="center"/>
    </xf>
    <xf numFmtId="0" fontId="8" fillId="9" borderId="21" xfId="0" applyFont="1" applyFill="1" applyBorder="1" applyAlignment="1">
      <alignment horizontal="center"/>
    </xf>
    <xf numFmtId="0" fontId="8" fillId="0" borderId="21" xfId="0" applyFont="1" applyBorder="1" applyProtection="1">
      <protection locked="0"/>
    </xf>
    <xf numFmtId="15" fontId="8" fillId="9" borderId="21" xfId="0" applyNumberFormat="1" applyFont="1" applyFill="1" applyBorder="1" applyAlignment="1">
      <alignment horizontal="center"/>
    </xf>
    <xf numFmtId="0" fontId="11" fillId="0" borderId="18" xfId="0" applyFont="1" applyBorder="1" applyProtection="1">
      <protection locked="0"/>
    </xf>
    <xf numFmtId="1" fontId="8" fillId="9" borderId="18" xfId="20" applyNumberFormat="1" applyFont="1" applyFill="1" applyBorder="1" applyAlignment="1">
      <alignment horizontal="center"/>
    </xf>
    <xf numFmtId="0" fontId="13" fillId="12" borderId="18" xfId="0" applyFont="1" applyFill="1" applyBorder="1" applyAlignment="1">
      <alignment horizontal="centerContinuous" vertical="center"/>
    </xf>
    <xf numFmtId="0" fontId="8" fillId="0" borderId="18" xfId="0" applyFont="1" applyBorder="1" applyProtection="1">
      <protection locked="0"/>
    </xf>
    <xf numFmtId="15" fontId="8" fillId="9" borderId="18" xfId="0" applyNumberFormat="1" applyFont="1" applyFill="1" applyBorder="1" applyAlignment="1">
      <alignment horizontal="center"/>
    </xf>
    <xf numFmtId="41" fontId="13" fillId="0" borderId="29" xfId="20" applyFont="1" applyFill="1" applyBorder="1" applyAlignment="1" applyProtection="1">
      <alignment vertical="top"/>
    </xf>
    <xf numFmtId="41" fontId="10" fillId="0" borderId="0" xfId="20" applyFont="1" applyFill="1" applyBorder="1" applyAlignment="1" applyProtection="1">
      <alignment vertical="top"/>
    </xf>
    <xf numFmtId="41" fontId="10" fillId="0" borderId="29" xfId="20" applyFont="1" applyFill="1" applyBorder="1" applyAlignment="1" applyProtection="1"/>
    <xf numFmtId="41" fontId="13" fillId="0" borderId="0" xfId="20" applyFont="1" applyFill="1" applyBorder="1" applyAlignment="1" applyProtection="1">
      <alignment wrapText="1"/>
    </xf>
    <xf numFmtId="41" fontId="10" fillId="0" borderId="29" xfId="20" applyFont="1" applyBorder="1" applyAlignment="1"/>
    <xf numFmtId="41" fontId="10" fillId="0" borderId="0" xfId="20" applyFont="1" applyFill="1" applyBorder="1" applyAlignment="1" applyProtection="1"/>
    <xf numFmtId="41" fontId="10" fillId="0" borderId="0" xfId="20" applyFont="1" applyBorder="1" applyAlignment="1"/>
    <xf numFmtId="166" fontId="10" fillId="0" borderId="29" xfId="4" applyFont="1" applyFill="1" applyBorder="1" applyAlignment="1" applyProtection="1">
      <alignment horizontal="center" vertical="top"/>
    </xf>
    <xf numFmtId="0" fontId="10" fillId="0" borderId="22" xfId="0" applyFont="1" applyBorder="1" applyAlignment="1">
      <alignment horizontal="left" vertical="top" wrapText="1" indent="2"/>
    </xf>
    <xf numFmtId="0" fontId="10" fillId="0" borderId="15" xfId="0" applyFont="1" applyBorder="1" applyAlignment="1">
      <alignment horizontal="left" vertical="top" wrapText="1"/>
    </xf>
    <xf numFmtId="0" fontId="10" fillId="0" borderId="21" xfId="0" applyFont="1" applyBorder="1" applyAlignment="1">
      <alignment horizontal="left" vertical="center" indent="2"/>
    </xf>
    <xf numFmtId="0" fontId="10" fillId="0" borderId="29" xfId="0" applyFont="1" applyBorder="1" applyAlignment="1">
      <alignment horizontal="left" vertical="center" indent="5"/>
    </xf>
    <xf numFmtId="43" fontId="10" fillId="17" borderId="22" xfId="1" applyFont="1" applyFill="1" applyBorder="1" applyAlignment="1">
      <alignment vertical="top"/>
    </xf>
    <xf numFmtId="0" fontId="13" fillId="4" borderId="29" xfId="0" applyFont="1" applyFill="1" applyBorder="1" applyAlignment="1">
      <alignment horizontal="left" vertical="center"/>
    </xf>
    <xf numFmtId="0" fontId="10" fillId="4" borderId="29" xfId="0" applyFont="1" applyFill="1" applyBorder="1" applyAlignment="1">
      <alignment horizontal="left" vertical="center" indent="5"/>
    </xf>
    <xf numFmtId="0" fontId="10" fillId="4" borderId="29" xfId="0" applyFont="1" applyFill="1" applyBorder="1" applyAlignment="1">
      <alignment horizontal="left" indent="3"/>
    </xf>
    <xf numFmtId="0" fontId="10" fillId="4" borderId="29" xfId="0" applyFont="1" applyFill="1" applyBorder="1" applyAlignment="1">
      <alignment horizontal="left" vertical="center" wrapText="1" indent="5"/>
    </xf>
    <xf numFmtId="0" fontId="13" fillId="4" borderId="29" xfId="0" applyFont="1" applyFill="1" applyBorder="1" applyAlignment="1">
      <alignment horizontal="left" vertical="center" wrapText="1"/>
    </xf>
    <xf numFmtId="0" fontId="10" fillId="4" borderId="29" xfId="0" quotePrefix="1" applyFont="1" applyFill="1" applyBorder="1" applyAlignment="1">
      <alignment horizontal="left" vertical="center" indent="5"/>
    </xf>
    <xf numFmtId="0" fontId="10" fillId="0" borderId="22" xfId="0" applyFont="1" applyBorder="1" applyAlignment="1">
      <alignment horizontal="left" vertical="center" wrapText="1" indent="10"/>
    </xf>
    <xf numFmtId="0" fontId="10" fillId="4" borderId="22" xfId="0" applyFont="1" applyFill="1" applyBorder="1" applyAlignment="1">
      <alignment horizontal="left" vertical="center" wrapText="1" indent="5"/>
    </xf>
    <xf numFmtId="0" fontId="10" fillId="4" borderId="22" xfId="0" applyFont="1" applyFill="1" applyBorder="1" applyAlignment="1">
      <alignment horizontal="left" vertical="center" wrapText="1" indent="10"/>
    </xf>
    <xf numFmtId="0" fontId="10" fillId="0" borderId="0" xfId="0" applyFont="1" applyAlignment="1">
      <alignment horizontal="left" vertical="center"/>
    </xf>
    <xf numFmtId="0" fontId="10" fillId="0" borderId="0" xfId="0" applyFont="1" applyAlignment="1">
      <alignment horizontal="left" indent="3"/>
    </xf>
    <xf numFmtId="0" fontId="10" fillId="0" borderId="0" xfId="0" applyFont="1" applyAlignment="1">
      <alignment horizontal="left" vertical="center" indent="3"/>
    </xf>
    <xf numFmtId="0" fontId="19" fillId="0" borderId="0" xfId="0" applyFont="1" applyAlignment="1">
      <alignment horizontal="left" vertical="top"/>
    </xf>
    <xf numFmtId="0" fontId="10" fillId="0" borderId="0" xfId="0" applyFont="1" applyAlignment="1">
      <alignment horizontal="left" vertical="center" indent="10"/>
    </xf>
    <xf numFmtId="0" fontId="10" fillId="0" borderId="0" xfId="0" applyFont="1" applyAlignment="1">
      <alignment horizontal="left" vertical="center" indent="9"/>
    </xf>
    <xf numFmtId="0" fontId="10" fillId="4" borderId="0" xfId="0" applyFont="1" applyFill="1" applyAlignment="1">
      <alignment horizontal="left" vertical="center"/>
    </xf>
    <xf numFmtId="0" fontId="10" fillId="4" borderId="0" xfId="0" applyFont="1" applyFill="1" applyAlignment="1">
      <alignment horizontal="left" vertical="center" indent="3"/>
    </xf>
    <xf numFmtId="0" fontId="10" fillId="4" borderId="0" xfId="0" applyFont="1" applyFill="1" applyAlignment="1">
      <alignment horizontal="left" vertical="center" indent="8"/>
    </xf>
    <xf numFmtId="0" fontId="10" fillId="4" borderId="0" xfId="0" applyFont="1" applyFill="1" applyAlignment="1">
      <alignment horizontal="left" vertical="top" indent="3"/>
    </xf>
    <xf numFmtId="0" fontId="10" fillId="4" borderId="0" xfId="0" applyFont="1" applyFill="1" applyAlignment="1">
      <alignment horizontal="left" vertical="center" wrapText="1"/>
    </xf>
    <xf numFmtId="0" fontId="10" fillId="4" borderId="0" xfId="0" applyFont="1" applyFill="1" applyAlignment="1">
      <alignment horizontal="left" vertical="center" wrapText="1" indent="6"/>
    </xf>
    <xf numFmtId="0" fontId="10" fillId="0" borderId="0" xfId="0" applyFont="1" applyAlignment="1">
      <alignment horizontal="left" vertical="center" indent="8"/>
    </xf>
    <xf numFmtId="0" fontId="10" fillId="4" borderId="0" xfId="0" applyFont="1" applyFill="1" applyAlignment="1">
      <alignment horizontal="left" vertical="center" indent="2"/>
    </xf>
    <xf numFmtId="0" fontId="10" fillId="4" borderId="0" xfId="0" applyFont="1" applyFill="1" applyAlignment="1">
      <alignment horizontal="left" vertical="center" wrapText="1" indent="3"/>
    </xf>
    <xf numFmtId="0" fontId="10" fillId="4" borderId="0" xfId="0" applyFont="1" applyFill="1" applyAlignment="1">
      <alignment horizontal="left" vertical="center" indent="6"/>
    </xf>
    <xf numFmtId="0" fontId="10" fillId="4" borderId="0" xfId="0" applyFont="1" applyFill="1" applyAlignment="1">
      <alignment horizontal="left" vertical="center" indent="9"/>
    </xf>
    <xf numFmtId="0" fontId="10" fillId="0" borderId="22" xfId="0" applyFont="1" applyBorder="1" applyAlignment="1">
      <alignment horizontal="left" vertical="center" indent="10"/>
    </xf>
    <xf numFmtId="0" fontId="10" fillId="4" borderId="29" xfId="0" quotePrefix="1" applyFont="1" applyFill="1" applyBorder="1" applyAlignment="1">
      <alignment horizontal="left" vertical="center" indent="8"/>
    </xf>
    <xf numFmtId="0" fontId="10" fillId="4" borderId="29" xfId="0" quotePrefix="1" applyFont="1" applyFill="1" applyBorder="1" applyAlignment="1">
      <alignment horizontal="left" vertical="center" indent="6"/>
    </xf>
    <xf numFmtId="0" fontId="10" fillId="4" borderId="29" xfId="0" quotePrefix="1" applyFont="1" applyFill="1" applyBorder="1" applyAlignment="1">
      <alignment horizontal="left" indent="6"/>
    </xf>
    <xf numFmtId="0" fontId="10" fillId="0" borderId="29" xfId="0" quotePrefix="1" applyFont="1" applyBorder="1" applyAlignment="1">
      <alignment horizontal="left" vertical="center" indent="8"/>
    </xf>
    <xf numFmtId="0" fontId="10" fillId="4" borderId="29" xfId="0" quotePrefix="1" applyFont="1" applyFill="1" applyBorder="1" applyAlignment="1">
      <alignment horizontal="left" vertical="center" wrapText="1" indent="8"/>
    </xf>
    <xf numFmtId="0" fontId="10" fillId="4" borderId="0" xfId="0" applyFont="1" applyFill="1" applyAlignment="1">
      <alignment horizontal="left" vertical="center" indent="4"/>
    </xf>
    <xf numFmtId="167" fontId="8" fillId="13" borderId="0" xfId="1" applyNumberFormat="1" applyFont="1" applyFill="1" applyProtection="1"/>
    <xf numFmtId="0" fontId="23" fillId="13" borderId="0" xfId="0" applyFont="1" applyFill="1"/>
    <xf numFmtId="0" fontId="13" fillId="4" borderId="0" xfId="0" applyFont="1" applyFill="1" applyAlignment="1">
      <alignment horizontal="right" vertical="top"/>
    </xf>
    <xf numFmtId="0" fontId="10" fillId="0" borderId="0" xfId="0" applyFont="1" applyAlignment="1">
      <alignment vertical="center" wrapText="1"/>
    </xf>
    <xf numFmtId="0" fontId="10" fillId="0" borderId="14" xfId="0" applyFont="1" applyBorder="1" applyAlignment="1">
      <alignment horizontal="left" vertical="top" wrapText="1"/>
    </xf>
    <xf numFmtId="0" fontId="10" fillId="0" borderId="29" xfId="0" quotePrefix="1" applyFont="1" applyBorder="1" applyAlignment="1">
      <alignment horizontal="left" vertical="top" wrapText="1" indent="5"/>
    </xf>
    <xf numFmtId="0" fontId="10" fillId="0" borderId="22" xfId="0" applyFont="1" applyBorder="1" applyAlignment="1">
      <alignment horizontal="left" vertical="top" wrapText="1" indent="5"/>
    </xf>
    <xf numFmtId="0" fontId="10" fillId="0" borderId="22" xfId="0" applyFont="1" applyBorder="1" applyAlignment="1">
      <alignment horizontal="left" vertical="top" wrapText="1" indent="4"/>
    </xf>
    <xf numFmtId="0" fontId="10" fillId="0" borderId="29" xfId="0" applyFont="1" applyBorder="1" applyAlignment="1">
      <alignment horizontal="left" vertical="top" wrapText="1" indent="3"/>
    </xf>
    <xf numFmtId="0" fontId="10" fillId="0" borderId="22" xfId="0" applyFont="1" applyBorder="1" applyAlignment="1">
      <alignment horizontal="left" vertical="top" wrapText="1" indent="3"/>
    </xf>
    <xf numFmtId="0" fontId="16" fillId="0" borderId="0" xfId="0" applyFont="1" applyAlignment="1">
      <alignment horizontal="left" vertical="top"/>
    </xf>
    <xf numFmtId="0" fontId="10" fillId="0" borderId="29" xfId="0" applyFont="1" applyBorder="1" applyAlignment="1">
      <alignment horizontal="left" wrapText="1"/>
    </xf>
    <xf numFmtId="0" fontId="10" fillId="0" borderId="0" xfId="0" applyFont="1" applyAlignment="1">
      <alignment horizontal="left" vertical="top" wrapText="1" indent="3"/>
    </xf>
    <xf numFmtId="171" fontId="10" fillId="0" borderId="0" xfId="1" applyNumberFormat="1" applyFont="1" applyBorder="1" applyAlignment="1">
      <alignment horizontal="left" vertical="top" wrapText="1" indent="3"/>
    </xf>
    <xf numFmtId="171" fontId="10" fillId="0" borderId="0" xfId="1" applyNumberFormat="1" applyFont="1" applyBorder="1" applyAlignment="1">
      <alignment horizontal="left" vertical="top" wrapText="1" indent="2"/>
    </xf>
    <xf numFmtId="171" fontId="10" fillId="0" borderId="0" xfId="1" applyNumberFormat="1" applyFont="1" applyBorder="1" applyAlignment="1">
      <alignment horizontal="left" vertical="center"/>
    </xf>
    <xf numFmtId="171" fontId="10" fillId="0" borderId="0" xfId="0" applyNumberFormat="1" applyFont="1" applyAlignment="1">
      <alignment horizontal="left" vertical="center"/>
    </xf>
    <xf numFmtId="171" fontId="10" fillId="0" borderId="0" xfId="1" applyNumberFormat="1" applyFont="1" applyFill="1" applyBorder="1" applyAlignment="1">
      <alignment vertical="top"/>
    </xf>
    <xf numFmtId="171" fontId="10" fillId="0" borderId="0" xfId="0" applyNumberFormat="1" applyFont="1" applyAlignment="1">
      <alignment vertical="top"/>
    </xf>
    <xf numFmtId="0" fontId="10" fillId="4" borderId="21" xfId="0" applyFont="1" applyFill="1" applyBorder="1" applyAlignment="1">
      <alignment horizontal="left" vertical="top"/>
    </xf>
    <xf numFmtId="43" fontId="10" fillId="0" borderId="13" xfId="1" applyFont="1" applyFill="1" applyBorder="1" applyAlignment="1">
      <alignment horizontal="center" vertical="center" wrapText="1"/>
    </xf>
    <xf numFmtId="0" fontId="10" fillId="4" borderId="19" xfId="0" applyFont="1" applyFill="1" applyBorder="1" applyAlignment="1">
      <alignment horizontal="left" vertical="top"/>
    </xf>
    <xf numFmtId="0" fontId="10" fillId="4" borderId="16" xfId="0" applyFont="1" applyFill="1" applyBorder="1" applyAlignment="1">
      <alignment horizontal="left" vertical="top"/>
    </xf>
    <xf numFmtId="0" fontId="10" fillId="4" borderId="18" xfId="0" applyFont="1" applyFill="1" applyBorder="1" applyAlignment="1">
      <alignment horizontal="left" vertical="top"/>
    </xf>
    <xf numFmtId="0" fontId="10" fillId="4" borderId="46" xfId="0" applyFont="1" applyFill="1" applyBorder="1" applyAlignment="1">
      <alignment horizontal="left" vertical="top"/>
    </xf>
    <xf numFmtId="0" fontId="13" fillId="0" borderId="29" xfId="5" applyFont="1" applyBorder="1" applyAlignment="1">
      <alignment vertical="top" wrapText="1"/>
    </xf>
    <xf numFmtId="0" fontId="10" fillId="0" borderId="46" xfId="5" applyFont="1" applyBorder="1" applyAlignment="1">
      <alignment vertical="top" wrapText="1"/>
    </xf>
    <xf numFmtId="0" fontId="13" fillId="0" borderId="0" xfId="5" applyFont="1" applyAlignment="1">
      <alignment vertical="top" wrapText="1"/>
    </xf>
    <xf numFmtId="0" fontId="10" fillId="0" borderId="29" xfId="5" quotePrefix="1" applyFont="1" applyBorder="1" applyAlignment="1">
      <alignment vertical="top" wrapText="1"/>
    </xf>
    <xf numFmtId="0" fontId="10" fillId="0" borderId="46" xfId="5" quotePrefix="1" applyFont="1" applyBorder="1" applyAlignment="1">
      <alignment horizontal="left" vertical="top" wrapText="1"/>
    </xf>
    <xf numFmtId="0" fontId="10" fillId="0" borderId="14" xfId="5" applyFont="1" applyBorder="1" applyAlignment="1">
      <alignment vertical="top"/>
    </xf>
    <xf numFmtId="0" fontId="14" fillId="0" borderId="29" xfId="0" applyFont="1" applyBorder="1" applyAlignment="1">
      <alignment vertical="top" wrapText="1"/>
    </xf>
    <xf numFmtId="0" fontId="10" fillId="0" borderId="0" xfId="5" applyFont="1" applyAlignment="1">
      <alignment horizontal="justify" vertical="top"/>
    </xf>
    <xf numFmtId="0" fontId="10" fillId="0" borderId="29" xfId="5" quotePrefix="1" applyFont="1" applyBorder="1" applyAlignment="1">
      <alignment vertical="center"/>
    </xf>
    <xf numFmtId="0" fontId="10" fillId="0" borderId="21" xfId="5" applyFont="1" applyBorder="1" applyAlignment="1">
      <alignment horizontal="left" vertical="top" wrapText="1"/>
    </xf>
    <xf numFmtId="0" fontId="13" fillId="0" borderId="23" xfId="0" applyFont="1" applyBorder="1" applyAlignment="1">
      <alignment horizontal="center" vertical="center" wrapText="1"/>
    </xf>
    <xf numFmtId="167" fontId="10" fillId="0" borderId="29" xfId="1" applyNumberFormat="1" applyFont="1" applyBorder="1" applyAlignment="1">
      <alignment horizontal="center" vertical="top"/>
    </xf>
    <xf numFmtId="167" fontId="10" fillId="0" borderId="21" xfId="1" applyNumberFormat="1" applyFont="1" applyBorder="1" applyAlignment="1">
      <alignment horizontal="center" vertical="top"/>
    </xf>
    <xf numFmtId="167" fontId="10" fillId="0" borderId="22" xfId="1" applyNumberFormat="1" applyFont="1" applyBorder="1" applyAlignment="1">
      <alignment horizontal="center" vertical="top"/>
    </xf>
    <xf numFmtId="167" fontId="10" fillId="0" borderId="22" xfId="1" applyNumberFormat="1" applyFont="1" applyFill="1" applyBorder="1" applyAlignment="1">
      <alignment horizontal="center" vertical="top"/>
    </xf>
    <xf numFmtId="167" fontId="10" fillId="0" borderId="21" xfId="1" applyNumberFormat="1" applyFont="1" applyFill="1" applyBorder="1" applyAlignment="1">
      <alignment horizontal="center" vertical="top"/>
    </xf>
    <xf numFmtId="167" fontId="10" fillId="0" borderId="0" xfId="1" applyNumberFormat="1" applyFont="1" applyBorder="1" applyAlignment="1">
      <alignment vertical="top" wrapText="1"/>
    </xf>
    <xf numFmtId="167" fontId="10" fillId="0" borderId="18" xfId="1" applyNumberFormat="1" applyFont="1" applyBorder="1" applyAlignment="1">
      <alignment horizontal="center" vertical="top"/>
    </xf>
    <xf numFmtId="167" fontId="10" fillId="0" borderId="21" xfId="1" applyNumberFormat="1" applyFont="1" applyFill="1" applyBorder="1" applyAlignment="1">
      <alignment vertical="top"/>
    </xf>
    <xf numFmtId="167" fontId="10" fillId="0" borderId="13" xfId="1" applyNumberFormat="1" applyFont="1" applyFill="1" applyBorder="1" applyAlignment="1">
      <alignment vertical="top"/>
    </xf>
    <xf numFmtId="167" fontId="10" fillId="0" borderId="0" xfId="0" applyNumberFormat="1" applyFont="1" applyAlignment="1">
      <alignment horizontal="center" vertical="top"/>
    </xf>
    <xf numFmtId="43" fontId="10" fillId="0" borderId="0" xfId="1" applyFont="1" applyBorder="1" applyAlignment="1">
      <alignment vertical="top"/>
    </xf>
    <xf numFmtId="167" fontId="10" fillId="0" borderId="21" xfId="1" applyNumberFormat="1" applyFont="1" applyBorder="1" applyAlignment="1">
      <alignment horizontal="left" vertical="top" wrapText="1"/>
    </xf>
    <xf numFmtId="167" fontId="10" fillId="0" borderId="0" xfId="1" applyNumberFormat="1" applyFont="1" applyBorder="1" applyAlignment="1">
      <alignment vertical="top"/>
    </xf>
    <xf numFmtId="167" fontId="10" fillId="0" borderId="16" xfId="1" applyNumberFormat="1" applyFont="1" applyBorder="1" applyAlignment="1">
      <alignment horizontal="left" vertical="top" wrapText="1"/>
    </xf>
    <xf numFmtId="167" fontId="10" fillId="0" borderId="0" xfId="1" applyNumberFormat="1" applyFont="1" applyBorder="1" applyAlignment="1">
      <alignment horizontal="center" vertical="top"/>
    </xf>
    <xf numFmtId="167" fontId="10" fillId="0" borderId="0" xfId="1" quotePrefix="1" applyNumberFormat="1" applyFont="1" applyBorder="1" applyAlignment="1">
      <alignment horizontal="center" vertical="top"/>
    </xf>
    <xf numFmtId="167" fontId="10" fillId="0" borderId="0" xfId="0" applyNumberFormat="1" applyFont="1" applyAlignment="1">
      <alignment vertical="top"/>
    </xf>
    <xf numFmtId="167" fontId="10" fillId="0" borderId="0" xfId="1" applyNumberFormat="1" applyFont="1" applyAlignment="1">
      <alignment vertical="top"/>
    </xf>
    <xf numFmtId="167" fontId="10" fillId="0" borderId="18" xfId="1" applyNumberFormat="1" applyFont="1" applyBorder="1" applyAlignment="1">
      <alignment horizontal="left" vertical="top" wrapText="1"/>
    </xf>
    <xf numFmtId="167" fontId="10" fillId="0" borderId="16" xfId="1" applyNumberFormat="1" applyFont="1" applyFill="1" applyBorder="1" applyAlignment="1">
      <alignment vertical="top"/>
    </xf>
    <xf numFmtId="164" fontId="10" fillId="0" borderId="0" xfId="0" applyNumberFormat="1" applyFont="1" applyAlignment="1">
      <alignment vertical="top"/>
    </xf>
    <xf numFmtId="167" fontId="10" fillId="0" borderId="21" xfId="1" applyNumberFormat="1" applyFont="1" applyBorder="1" applyAlignment="1">
      <alignment vertical="top"/>
    </xf>
    <xf numFmtId="167" fontId="10" fillId="0" borderId="22" xfId="1" applyNumberFormat="1" applyFont="1" applyBorder="1" applyAlignment="1">
      <alignment vertical="top"/>
    </xf>
    <xf numFmtId="167" fontId="10" fillId="0" borderId="13" xfId="1" applyNumberFormat="1" applyFont="1" applyBorder="1" applyAlignment="1">
      <alignment vertical="top"/>
    </xf>
    <xf numFmtId="171" fontId="10" fillId="0" borderId="0" xfId="1" applyNumberFormat="1" applyFont="1" applyFill="1" applyAlignment="1">
      <alignment vertical="top"/>
    </xf>
    <xf numFmtId="43" fontId="10" fillId="0" borderId="0" xfId="1" applyFont="1" applyFill="1" applyAlignment="1">
      <alignment vertical="top"/>
    </xf>
    <xf numFmtId="0" fontId="13" fillId="0" borderId="0" xfId="1" applyNumberFormat="1" applyFont="1" applyFill="1" applyBorder="1" applyAlignment="1">
      <alignment horizontal="right" vertical="top"/>
    </xf>
    <xf numFmtId="0" fontId="13" fillId="0" borderId="7" xfId="0" applyFont="1" applyBorder="1" applyAlignment="1">
      <alignment horizontal="center" vertical="center" wrapText="1"/>
    </xf>
    <xf numFmtId="0" fontId="10" fillId="0" borderId="0" xfId="5" applyFont="1" applyAlignment="1">
      <alignment horizontal="justify" vertical="top" wrapText="1"/>
    </xf>
    <xf numFmtId="0" fontId="8" fillId="0" borderId="13" xfId="0" applyFont="1" applyBorder="1" applyAlignment="1">
      <alignment horizontal="center" vertical="center" wrapText="1"/>
    </xf>
    <xf numFmtId="0" fontId="13" fillId="0" borderId="0" xfId="5" quotePrefix="1" applyFont="1" applyAlignment="1">
      <alignment horizontal="left" vertical="top"/>
    </xf>
    <xf numFmtId="0" fontId="10" fillId="0" borderId="0" xfId="5" quotePrefix="1" applyFont="1" applyAlignment="1">
      <alignment horizontal="left" vertical="top" wrapText="1"/>
    </xf>
    <xf numFmtId="0" fontId="13" fillId="0" borderId="0" xfId="5" quotePrefix="1" applyFont="1" applyAlignment="1">
      <alignment horizontal="left" vertical="top" wrapText="1"/>
    </xf>
    <xf numFmtId="0" fontId="10" fillId="0" borderId="0" xfId="5" quotePrefix="1" applyFont="1" applyAlignment="1">
      <alignment horizontal="justify" vertical="top" wrapText="1"/>
    </xf>
    <xf numFmtId="0" fontId="10" fillId="0" borderId="0" xfId="5" quotePrefix="1" applyFont="1" applyAlignment="1">
      <alignment horizontal="left" vertical="top" wrapText="1" indent="2"/>
    </xf>
    <xf numFmtId="0" fontId="13" fillId="0" borderId="8" xfId="0" applyFont="1" applyBorder="1" applyAlignment="1">
      <alignment horizontal="center" vertical="center" wrapText="1"/>
    </xf>
    <xf numFmtId="0" fontId="10" fillId="0" borderId="0" xfId="0" quotePrefix="1" applyFont="1" applyAlignment="1">
      <alignment vertical="top"/>
    </xf>
    <xf numFmtId="0" fontId="10" fillId="0" borderId="21" xfId="5" applyFont="1" applyBorder="1" applyAlignment="1">
      <alignment horizontal="right" vertical="top" wrapText="1"/>
    </xf>
    <xf numFmtId="0" fontId="10" fillId="0" borderId="18" xfId="5" applyFont="1" applyBorder="1" applyAlignment="1">
      <alignment horizontal="right" vertical="top" wrapText="1"/>
    </xf>
    <xf numFmtId="0" fontId="10" fillId="0" borderId="13" xfId="5" applyFont="1" applyBorder="1" applyAlignment="1">
      <alignment vertical="top" wrapText="1"/>
    </xf>
    <xf numFmtId="0" fontId="10" fillId="0" borderId="13" xfId="5" applyFont="1" applyBorder="1" applyAlignment="1">
      <alignment horizontal="right" vertical="top" wrapText="1"/>
    </xf>
    <xf numFmtId="0" fontId="13" fillId="0" borderId="4" xfId="5" applyFont="1" applyBorder="1" applyAlignment="1">
      <alignment vertical="top"/>
    </xf>
    <xf numFmtId="0" fontId="10" fillId="0" borderId="4" xfId="5" applyFont="1" applyBorder="1" applyAlignment="1">
      <alignment horizontal="left" vertical="top" wrapText="1"/>
    </xf>
    <xf numFmtId="0" fontId="10" fillId="0" borderId="4" xfId="5" applyFont="1" applyBorder="1" applyAlignment="1">
      <alignment vertical="top"/>
    </xf>
    <xf numFmtId="0" fontId="13" fillId="0" borderId="13" xfId="5" applyFont="1" applyBorder="1" applyAlignment="1">
      <alignment horizontal="center" vertical="center" wrapText="1"/>
    </xf>
    <xf numFmtId="0" fontId="10" fillId="0" borderId="28" xfId="0" applyFont="1" applyBorder="1" applyAlignment="1">
      <alignment vertical="top" wrapText="1"/>
    </xf>
    <xf numFmtId="0" fontId="10" fillId="0" borderId="28" xfId="5" applyFont="1" applyBorder="1" applyAlignment="1">
      <alignment vertical="top" wrapText="1"/>
    </xf>
    <xf numFmtId="0" fontId="10" fillId="0" borderId="0" xfId="9" applyFont="1" applyAlignment="1">
      <alignment horizontal="justify" vertical="top" wrapText="1"/>
    </xf>
    <xf numFmtId="0" fontId="10" fillId="0" borderId="58" xfId="5" applyFont="1" applyBorder="1" applyAlignment="1">
      <alignment vertical="top"/>
    </xf>
    <xf numFmtId="0" fontId="10" fillId="0" borderId="28" xfId="5" applyFont="1" applyBorder="1" applyAlignment="1">
      <alignment horizontal="right" vertical="top"/>
    </xf>
    <xf numFmtId="0" fontId="14" fillId="0" borderId="28" xfId="5" applyFont="1" applyBorder="1" applyAlignment="1">
      <alignment vertical="top"/>
    </xf>
    <xf numFmtId="0" fontId="10" fillId="0" borderId="36" xfId="5" applyFont="1" applyBorder="1" applyAlignment="1">
      <alignment horizontal="center" vertical="top"/>
    </xf>
    <xf numFmtId="0" fontId="10" fillId="0" borderId="60" xfId="5" applyFont="1" applyBorder="1" applyAlignment="1">
      <alignment vertical="top"/>
    </xf>
    <xf numFmtId="0" fontId="10" fillId="2" borderId="0" xfId="5" applyFont="1" applyFill="1" applyAlignment="1">
      <alignment horizontal="justify" vertical="top" wrapText="1"/>
    </xf>
    <xf numFmtId="0" fontId="23" fillId="0" borderId="0" xfId="5" applyFont="1" applyAlignment="1">
      <alignment horizontal="justify" vertical="top" wrapText="1"/>
    </xf>
    <xf numFmtId="0" fontId="8" fillId="0" borderId="0" xfId="0" applyFont="1" applyAlignment="1">
      <alignment horizontal="center" vertical="center" wrapText="1"/>
    </xf>
    <xf numFmtId="0" fontId="13" fillId="0" borderId="13" xfId="5" applyFont="1" applyBorder="1" applyAlignment="1">
      <alignment horizontal="center" vertical="center"/>
    </xf>
    <xf numFmtId="0" fontId="10" fillId="0" borderId="10" xfId="5" applyFont="1" applyBorder="1" applyAlignment="1">
      <alignment vertical="top"/>
    </xf>
    <xf numFmtId="0" fontId="10" fillId="0" borderId="0" xfId="5" quotePrefix="1" applyFont="1" applyAlignment="1">
      <alignment vertical="top"/>
    </xf>
    <xf numFmtId="0" fontId="13" fillId="0" borderId="4" xfId="0" applyFont="1" applyBorder="1" applyAlignment="1">
      <alignment horizontal="left" vertical="top" wrapText="1"/>
    </xf>
    <xf numFmtId="0" fontId="13" fillId="0" borderId="53" xfId="0" applyFont="1" applyBorder="1" applyAlignment="1">
      <alignment horizontal="center" vertical="center" wrapText="1"/>
    </xf>
    <xf numFmtId="0" fontId="13" fillId="0" borderId="62" xfId="0" applyFont="1" applyBorder="1" applyAlignment="1">
      <alignment horizontal="center" vertical="center" wrapText="1"/>
    </xf>
    <xf numFmtId="0" fontId="13" fillId="0" borderId="63" xfId="0" applyFont="1" applyBorder="1" applyAlignment="1">
      <alignment horizontal="center" vertical="center" wrapText="1"/>
    </xf>
    <xf numFmtId="0" fontId="10" fillId="0" borderId="33" xfId="0" applyFont="1" applyBorder="1" applyAlignment="1">
      <alignment horizontal="center" vertical="top"/>
    </xf>
    <xf numFmtId="0" fontId="10" fillId="0" borderId="34" xfId="0" applyFont="1" applyBorder="1" applyAlignment="1">
      <alignment vertical="top" wrapText="1"/>
    </xf>
    <xf numFmtId="0" fontId="10" fillId="0" borderId="36" xfId="0" applyFont="1" applyBorder="1" applyAlignment="1">
      <alignment horizontal="center" vertical="top"/>
    </xf>
    <xf numFmtId="0" fontId="10" fillId="0" borderId="39" xfId="0" applyFont="1" applyBorder="1" applyAlignment="1">
      <alignment horizontal="center" vertical="top"/>
    </xf>
    <xf numFmtId="0" fontId="13" fillId="0" borderId="28" xfId="0" applyFont="1" applyBorder="1" applyAlignment="1">
      <alignment horizontal="center" vertical="center"/>
    </xf>
    <xf numFmtId="0" fontId="13" fillId="0" borderId="26" xfId="0" applyFont="1" applyBorder="1" applyAlignment="1">
      <alignment horizontal="center" vertical="center" wrapText="1"/>
    </xf>
    <xf numFmtId="43" fontId="13" fillId="0" borderId="0" xfId="1" applyFont="1" applyAlignment="1">
      <alignment vertical="top"/>
    </xf>
    <xf numFmtId="43" fontId="13" fillId="0" borderId="0" xfId="1" applyFont="1" applyAlignment="1">
      <alignment horizontal="left" vertical="top"/>
    </xf>
    <xf numFmtId="43" fontId="13" fillId="5" borderId="0" xfId="1" applyFont="1" applyFill="1" applyAlignment="1">
      <alignment horizontal="left" vertical="top"/>
    </xf>
    <xf numFmtId="43" fontId="11" fillId="0" borderId="0" xfId="1" applyFont="1" applyAlignment="1">
      <alignment horizontal="center"/>
    </xf>
    <xf numFmtId="43" fontId="8" fillId="0" borderId="0" xfId="1" applyFont="1" applyAlignment="1">
      <alignment vertical="top" wrapText="1"/>
    </xf>
    <xf numFmtId="0" fontId="11" fillId="0" borderId="53" xfId="0" applyFont="1"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43" fontId="8" fillId="0" borderId="0" xfId="1" applyFont="1" applyAlignment="1">
      <alignment vertical="top"/>
    </xf>
    <xf numFmtId="0" fontId="8" fillId="0" borderId="51" xfId="0" applyFont="1" applyBorder="1" applyAlignment="1">
      <alignment vertical="top"/>
    </xf>
    <xf numFmtId="0" fontId="8" fillId="0" borderId="18" xfId="0" applyFont="1" applyBorder="1" applyAlignment="1">
      <alignment vertical="top"/>
    </xf>
    <xf numFmtId="0" fontId="8" fillId="0" borderId="6" xfId="0" applyFont="1" applyBorder="1" applyAlignment="1">
      <alignment vertical="top" wrapText="1"/>
    </xf>
    <xf numFmtId="0" fontId="8" fillId="0" borderId="52" xfId="0" applyFont="1" applyBorder="1" applyAlignment="1">
      <alignment vertical="top"/>
    </xf>
    <xf numFmtId="0" fontId="8" fillId="0" borderId="38" xfId="0" applyFont="1" applyBorder="1"/>
    <xf numFmtId="43" fontId="11" fillId="0" borderId="0" xfId="1" applyFont="1" applyAlignment="1">
      <alignment horizontal="center" vertical="top"/>
    </xf>
    <xf numFmtId="0" fontId="8" fillId="0" borderId="28" xfId="0" applyFont="1" applyBorder="1"/>
    <xf numFmtId="0" fontId="8" fillId="0" borderId="33" xfId="0" applyFont="1" applyBorder="1"/>
    <xf numFmtId="0" fontId="8" fillId="0" borderId="28" xfId="0" applyFont="1" applyBorder="1" applyAlignment="1">
      <alignment vertical="top" wrapText="1"/>
    </xf>
    <xf numFmtId="0" fontId="8" fillId="0" borderId="34" xfId="0" applyFont="1" applyBorder="1"/>
    <xf numFmtId="0" fontId="8" fillId="0" borderId="36" xfId="0" applyFont="1" applyBorder="1"/>
    <xf numFmtId="0" fontId="8" fillId="0" borderId="39" xfId="0" applyFont="1" applyBorder="1"/>
    <xf numFmtId="43" fontId="8" fillId="0" borderId="0" xfId="1" applyFont="1" applyAlignment="1">
      <alignment horizontal="center"/>
    </xf>
    <xf numFmtId="0" fontId="8" fillId="0" borderId="51" xfId="0" applyFont="1" applyBorder="1"/>
    <xf numFmtId="0" fontId="11" fillId="0" borderId="26" xfId="0" applyFont="1" applyBorder="1" applyAlignment="1">
      <alignment horizontal="center"/>
    </xf>
    <xf numFmtId="0" fontId="11" fillId="0" borderId="13" xfId="0" applyFont="1" applyBorder="1" applyAlignment="1">
      <alignment horizontal="center" vertical="top"/>
    </xf>
    <xf numFmtId="43" fontId="8" fillId="0" borderId="0" xfId="1" applyFont="1" applyAlignment="1">
      <alignment horizontal="center" vertical="top"/>
    </xf>
    <xf numFmtId="0" fontId="11" fillId="0" borderId="49" xfId="0" applyFont="1" applyBorder="1" applyAlignment="1">
      <alignment horizontal="center" vertical="center" wrapText="1"/>
    </xf>
    <xf numFmtId="0" fontId="11" fillId="0" borderId="64" xfId="0" applyFont="1" applyBorder="1" applyAlignment="1">
      <alignment horizontal="center" vertical="center" wrapText="1"/>
    </xf>
    <xf numFmtId="0" fontId="11" fillId="0" borderId="65" xfId="0" applyFont="1" applyBorder="1" applyAlignment="1">
      <alignment horizontal="center" vertical="center" wrapText="1"/>
    </xf>
    <xf numFmtId="43" fontId="8" fillId="0" borderId="0" xfId="1" applyFont="1" applyAlignment="1">
      <alignment horizontal="center" vertical="top" wrapText="1"/>
    </xf>
    <xf numFmtId="0" fontId="8" fillId="0" borderId="21" xfId="0" applyFont="1" applyBorder="1" applyAlignment="1">
      <alignment wrapText="1"/>
    </xf>
    <xf numFmtId="0" fontId="8" fillId="0" borderId="36" xfId="0" applyFont="1" applyBorder="1" applyAlignment="1">
      <alignment wrapText="1"/>
    </xf>
    <xf numFmtId="43" fontId="11" fillId="0" borderId="0" xfId="1" quotePrefix="1" applyFont="1" applyAlignment="1">
      <alignment horizontal="center" vertical="top"/>
    </xf>
    <xf numFmtId="0" fontId="11" fillId="0" borderId="49" xfId="0" applyFont="1" applyBorder="1" applyAlignment="1">
      <alignment horizontal="center" vertical="center"/>
    </xf>
    <xf numFmtId="0" fontId="11" fillId="0" borderId="64" xfId="0" applyFont="1" applyBorder="1" applyAlignment="1">
      <alignment horizontal="center" vertical="center"/>
    </xf>
    <xf numFmtId="0" fontId="11" fillId="0" borderId="65" xfId="0" applyFont="1" applyBorder="1" applyAlignment="1">
      <alignment horizontal="center" vertical="center"/>
    </xf>
    <xf numFmtId="0" fontId="13" fillId="7" borderId="6" xfId="0" applyFont="1" applyFill="1" applyBorder="1" applyAlignment="1">
      <alignment horizontal="center" vertical="center"/>
    </xf>
    <xf numFmtId="0" fontId="10" fillId="0" borderId="58" xfId="0" applyFont="1" applyBorder="1" applyAlignment="1">
      <alignment vertical="top" wrapText="1"/>
    </xf>
    <xf numFmtId="0" fontId="10" fillId="0" borderId="51" xfId="0" applyFont="1" applyBorder="1" applyAlignment="1">
      <alignment vertical="top" wrapText="1"/>
    </xf>
    <xf numFmtId="41" fontId="0" fillId="0" borderId="0" xfId="0" applyNumberFormat="1"/>
    <xf numFmtId="167" fontId="0" fillId="0" borderId="0" xfId="1" applyNumberFormat="1" applyFont="1"/>
    <xf numFmtId="41" fontId="15" fillId="0" borderId="0" xfId="0" applyNumberFormat="1" applyFont="1"/>
    <xf numFmtId="43" fontId="10" fillId="0" borderId="0" xfId="1" applyFont="1" applyAlignment="1">
      <alignment vertical="top"/>
    </xf>
    <xf numFmtId="43" fontId="10" fillId="16" borderId="21" xfId="1" applyFont="1" applyFill="1" applyBorder="1" applyAlignment="1">
      <alignment vertical="top"/>
    </xf>
    <xf numFmtId="43" fontId="8" fillId="16" borderId="21" xfId="0" applyNumberFormat="1" applyFont="1" applyFill="1" applyBorder="1" applyAlignment="1">
      <alignment horizontal="center" vertical="top"/>
    </xf>
    <xf numFmtId="10" fontId="8" fillId="16" borderId="21" xfId="21" applyNumberFormat="1" applyFont="1" applyFill="1" applyBorder="1" applyAlignment="1">
      <alignment horizontal="center" vertical="top"/>
    </xf>
    <xf numFmtId="49" fontId="8" fillId="0" borderId="0" xfId="1" applyNumberFormat="1" applyFont="1" applyFill="1" applyBorder="1" applyAlignment="1" applyProtection="1">
      <alignment vertical="top"/>
    </xf>
    <xf numFmtId="49" fontId="8" fillId="0" borderId="17" xfId="1" applyNumberFormat="1" applyFont="1" applyFill="1" applyBorder="1" applyAlignment="1" applyProtection="1">
      <alignment vertical="top"/>
    </xf>
    <xf numFmtId="167" fontId="8" fillId="0" borderId="0" xfId="1" applyNumberFormat="1" applyFont="1" applyFill="1" applyAlignment="1" applyProtection="1"/>
    <xf numFmtId="167" fontId="10" fillId="0" borderId="18" xfId="1" applyNumberFormat="1" applyFont="1" applyBorder="1" applyAlignment="1">
      <alignment vertical="top"/>
    </xf>
    <xf numFmtId="0" fontId="13" fillId="0" borderId="64" xfId="0" applyFont="1" applyBorder="1" applyAlignment="1">
      <alignment horizontal="center" vertical="top" wrapText="1"/>
    </xf>
    <xf numFmtId="0" fontId="13" fillId="0" borderId="65" xfId="0" applyFont="1" applyBorder="1" applyAlignment="1">
      <alignment horizontal="center" vertical="top" wrapText="1"/>
    </xf>
    <xf numFmtId="43" fontId="10" fillId="0" borderId="27" xfId="7" applyFont="1" applyFill="1" applyBorder="1" applyAlignment="1" applyProtection="1">
      <alignment vertical="top"/>
    </xf>
    <xf numFmtId="43" fontId="10" fillId="0" borderId="9" xfId="7" applyFont="1" applyFill="1" applyBorder="1" applyAlignment="1" applyProtection="1">
      <alignment vertical="top"/>
    </xf>
    <xf numFmtId="43" fontId="10" fillId="0" borderId="13" xfId="7" applyFont="1" applyFill="1" applyBorder="1" applyAlignment="1" applyProtection="1">
      <alignment vertical="top"/>
    </xf>
    <xf numFmtId="43" fontId="10" fillId="0" borderId="5" xfId="7" applyFont="1" applyFill="1" applyBorder="1" applyAlignment="1" applyProtection="1">
      <alignment vertical="top"/>
    </xf>
    <xf numFmtId="43" fontId="10" fillId="0" borderId="16" xfId="7" applyFont="1" applyFill="1" applyBorder="1" applyAlignment="1" applyProtection="1">
      <alignment vertical="top"/>
    </xf>
    <xf numFmtId="0" fontId="13" fillId="0" borderId="4" xfId="0" applyFont="1" applyBorder="1" applyAlignment="1">
      <alignment vertical="top" wrapText="1"/>
    </xf>
    <xf numFmtId="0" fontId="14" fillId="0" borderId="28" xfId="0" applyFont="1" applyBorder="1" applyAlignment="1">
      <alignment vertical="top"/>
    </xf>
    <xf numFmtId="43" fontId="10" fillId="0" borderId="0" xfId="7" applyFont="1" applyFill="1" applyBorder="1" applyAlignment="1" applyProtection="1">
      <alignment vertical="top"/>
    </xf>
    <xf numFmtId="0" fontId="13" fillId="0" borderId="51" xfId="0" applyFont="1" applyBorder="1" applyAlignment="1">
      <alignment horizontal="left" vertical="top"/>
    </xf>
    <xf numFmtId="0" fontId="10" fillId="0" borderId="19" xfId="0" applyFont="1" applyBorder="1" applyAlignment="1">
      <alignment horizontal="left" vertical="top" wrapText="1"/>
    </xf>
    <xf numFmtId="0" fontId="13" fillId="0" borderId="60" xfId="0" applyFont="1" applyBorder="1" applyAlignment="1">
      <alignment horizontal="left" vertical="top"/>
    </xf>
    <xf numFmtId="0" fontId="10" fillId="4" borderId="0" xfId="0" applyFont="1" applyFill="1" applyAlignment="1">
      <alignment vertical="top" wrapText="1"/>
    </xf>
    <xf numFmtId="0" fontId="13" fillId="0" borderId="16" xfId="0" applyFont="1" applyBorder="1" applyAlignment="1">
      <alignment horizontal="center" vertical="center" wrapText="1"/>
    </xf>
    <xf numFmtId="0" fontId="10" fillId="0" borderId="14" xfId="5" applyFont="1" applyBorder="1" applyAlignment="1">
      <alignment horizontal="center" vertical="top"/>
    </xf>
    <xf numFmtId="0" fontId="10" fillId="0" borderId="15" xfId="5" applyFont="1" applyBorder="1" applyAlignment="1">
      <alignment horizontal="center" vertical="top"/>
    </xf>
    <xf numFmtId="0" fontId="10" fillId="0" borderId="29" xfId="5" applyFont="1" applyBorder="1" applyAlignment="1">
      <alignment horizontal="center" vertical="top"/>
    </xf>
    <xf numFmtId="0" fontId="11" fillId="0" borderId="0" xfId="0" applyFont="1" applyAlignment="1">
      <alignment horizontal="justify" vertical="top" wrapText="1"/>
    </xf>
    <xf numFmtId="0" fontId="13" fillId="4" borderId="0" xfId="0" applyFont="1" applyFill="1" applyAlignment="1">
      <alignment vertical="top"/>
    </xf>
    <xf numFmtId="0" fontId="8" fillId="0" borderId="0" xfId="0" applyFont="1" applyAlignment="1">
      <alignment horizontal="justify"/>
    </xf>
    <xf numFmtId="0" fontId="8" fillId="0" borderId="46" xfId="0" applyFont="1" applyBorder="1"/>
    <xf numFmtId="41" fontId="10" fillId="0" borderId="18" xfId="20" applyFont="1" applyFill="1" applyBorder="1" applyAlignment="1">
      <alignment horizontal="center" vertical="top"/>
    </xf>
    <xf numFmtId="0" fontId="13" fillId="0" borderId="49" xfId="0" applyFont="1" applyBorder="1" applyAlignment="1">
      <alignment horizontal="center" vertical="top" wrapText="1"/>
    </xf>
    <xf numFmtId="0" fontId="13" fillId="0" borderId="49" xfId="0" applyFont="1" applyBorder="1" applyAlignment="1">
      <alignment horizontal="center" vertical="center"/>
    </xf>
    <xf numFmtId="0" fontId="10" fillId="0" borderId="28" xfId="0" applyFont="1" applyBorder="1" applyAlignment="1">
      <alignment horizontal="center" vertical="top"/>
    </xf>
    <xf numFmtId="0" fontId="10" fillId="0" borderId="34" xfId="0" applyFont="1" applyBorder="1" applyAlignment="1">
      <alignment horizontal="center" vertical="top"/>
    </xf>
    <xf numFmtId="43" fontId="10" fillId="0" borderId="21" xfId="1" applyFont="1" applyBorder="1" applyAlignment="1">
      <alignment vertical="top"/>
    </xf>
    <xf numFmtId="43" fontId="10" fillId="0" borderId="22" xfId="1" applyFont="1" applyBorder="1" applyAlignment="1">
      <alignment vertical="top"/>
    </xf>
    <xf numFmtId="43" fontId="10" fillId="0" borderId="18" xfId="1" applyFont="1" applyBorder="1" applyAlignment="1">
      <alignment vertical="top"/>
    </xf>
    <xf numFmtId="43" fontId="10" fillId="0" borderId="20" xfId="1" applyFont="1" applyBorder="1" applyAlignment="1">
      <alignment vertical="top"/>
    </xf>
    <xf numFmtId="0" fontId="10" fillId="0" borderId="14" xfId="5" applyFont="1" applyBorder="1" applyAlignment="1">
      <alignment horizontal="left" vertical="top" wrapText="1"/>
    </xf>
    <xf numFmtId="43" fontId="13" fillId="0" borderId="22" xfId="1" applyFont="1" applyFill="1" applyBorder="1" applyAlignment="1">
      <alignment horizontal="center" vertical="center" wrapText="1"/>
    </xf>
    <xf numFmtId="43" fontId="10" fillId="0" borderId="46" xfId="1" applyFont="1" applyBorder="1" applyAlignment="1">
      <alignment horizontal="right" wrapText="1"/>
    </xf>
    <xf numFmtId="43" fontId="10" fillId="0" borderId="18" xfId="1" applyFont="1" applyBorder="1" applyAlignment="1">
      <alignment horizontal="right" wrapText="1"/>
    </xf>
    <xf numFmtId="43" fontId="10" fillId="0" borderId="29" xfId="1" applyFont="1" applyBorder="1" applyAlignment="1">
      <alignment horizontal="right" wrapText="1"/>
    </xf>
    <xf numFmtId="43" fontId="10" fillId="0" borderId="21" xfId="1" applyFont="1" applyBorder="1" applyAlignment="1">
      <alignment horizontal="right" wrapText="1"/>
    </xf>
    <xf numFmtId="43" fontId="10" fillId="0" borderId="13" xfId="1" applyFont="1" applyBorder="1" applyAlignment="1">
      <alignment horizontal="right" wrapText="1"/>
    </xf>
    <xf numFmtId="43" fontId="10" fillId="0" borderId="22" xfId="1" applyFont="1" applyBorder="1" applyAlignment="1">
      <alignment horizontal="right" wrapText="1"/>
    </xf>
    <xf numFmtId="43" fontId="10" fillId="0" borderId="16" xfId="1" applyFont="1" applyBorder="1" applyAlignment="1">
      <alignment vertical="top"/>
    </xf>
    <xf numFmtId="43" fontId="10" fillId="0" borderId="15" xfId="1" applyFont="1" applyBorder="1" applyAlignment="1">
      <alignment vertical="top"/>
    </xf>
    <xf numFmtId="43" fontId="10" fillId="0" borderId="29" xfId="1" applyFont="1" applyBorder="1" applyAlignment="1">
      <alignment vertical="top"/>
    </xf>
    <xf numFmtId="43" fontId="10" fillId="0" borderId="46" xfId="1" applyFont="1" applyBorder="1" applyAlignment="1">
      <alignment vertical="top"/>
    </xf>
    <xf numFmtId="43" fontId="10" fillId="0" borderId="13" xfId="1" applyFont="1" applyBorder="1" applyAlignment="1">
      <alignment vertical="top"/>
    </xf>
    <xf numFmtId="43" fontId="13" fillId="0" borderId="21" xfId="1" applyFont="1" applyBorder="1" applyAlignment="1">
      <alignment vertical="top"/>
    </xf>
    <xf numFmtId="43" fontId="13" fillId="0" borderId="18" xfId="1" applyFont="1" applyBorder="1" applyAlignment="1">
      <alignment vertical="top"/>
    </xf>
    <xf numFmtId="43" fontId="13" fillId="0" borderId="16" xfId="1" applyFont="1" applyBorder="1" applyAlignment="1">
      <alignment vertical="top"/>
    </xf>
    <xf numFmtId="0" fontId="13" fillId="0" borderId="0" xfId="5" applyFont="1" applyAlignment="1">
      <alignment horizontal="center" vertical="top" wrapText="1"/>
    </xf>
    <xf numFmtId="43" fontId="13" fillId="0" borderId="18" xfId="5" applyNumberFormat="1" applyFont="1" applyBorder="1" applyAlignment="1">
      <alignment vertical="top" wrapText="1"/>
    </xf>
    <xf numFmtId="0" fontId="13" fillId="0" borderId="28" xfId="5" applyFont="1" applyBorder="1" applyAlignment="1">
      <alignment vertical="top" wrapText="1"/>
    </xf>
    <xf numFmtId="43" fontId="10" fillId="0" borderId="18" xfId="5" applyNumberFormat="1" applyFont="1" applyBorder="1" applyAlignment="1">
      <alignment vertical="top"/>
    </xf>
    <xf numFmtId="43" fontId="10" fillId="0" borderId="18" xfId="5" applyNumberFormat="1" applyFont="1" applyBorder="1" applyAlignment="1">
      <alignment horizontal="right" vertical="top"/>
    </xf>
    <xf numFmtId="43" fontId="13" fillId="0" borderId="21" xfId="5" applyNumberFormat="1" applyFont="1" applyBorder="1" applyAlignment="1">
      <alignment horizontal="center" vertical="top"/>
    </xf>
    <xf numFmtId="43" fontId="13" fillId="0" borderId="0" xfId="5" applyNumberFormat="1" applyFont="1" applyAlignment="1">
      <alignment vertical="top"/>
    </xf>
    <xf numFmtId="0" fontId="13" fillId="0" borderId="38" xfId="5" applyFont="1" applyBorder="1" applyAlignment="1">
      <alignment horizontal="center" vertical="center"/>
    </xf>
    <xf numFmtId="0" fontId="13" fillId="0" borderId="38" xfId="5" applyFont="1" applyBorder="1" applyAlignment="1">
      <alignment horizontal="center" vertical="center" wrapText="1"/>
    </xf>
    <xf numFmtId="0" fontId="13" fillId="0" borderId="21" xfId="5" applyFont="1" applyBorder="1" applyAlignment="1">
      <alignment vertical="top" wrapText="1"/>
    </xf>
    <xf numFmtId="43" fontId="10" fillId="0" borderId="21" xfId="5" applyNumberFormat="1" applyFont="1" applyBorder="1" applyAlignment="1">
      <alignment horizontal="right" vertical="top"/>
    </xf>
    <xf numFmtId="2" fontId="10" fillId="0" borderId="21" xfId="5" applyNumberFormat="1" applyFont="1" applyBorder="1" applyAlignment="1">
      <alignment vertical="top"/>
    </xf>
    <xf numFmtId="4" fontId="10" fillId="0" borderId="21" xfId="5" applyNumberFormat="1" applyFont="1" applyBorder="1" applyAlignment="1">
      <alignment horizontal="right" vertical="top"/>
    </xf>
    <xf numFmtId="0" fontId="10" fillId="0" borderId="18" xfId="5" applyFont="1" applyBorder="1" applyAlignment="1">
      <alignment horizontal="right" vertical="top"/>
    </xf>
    <xf numFmtId="4" fontId="10" fillId="0" borderId="18" xfId="5" applyNumberFormat="1" applyFont="1" applyBorder="1" applyAlignment="1">
      <alignment horizontal="right" vertical="top"/>
    </xf>
    <xf numFmtId="4" fontId="10" fillId="0" borderId="21" xfId="5" applyNumberFormat="1" applyFont="1" applyBorder="1" applyAlignment="1">
      <alignment horizontal="left" vertical="top" wrapText="1"/>
    </xf>
    <xf numFmtId="4" fontId="10" fillId="0" borderId="21" xfId="5" applyNumberFormat="1" applyFont="1" applyBorder="1" applyAlignment="1">
      <alignment horizontal="center" vertical="top" wrapText="1"/>
    </xf>
    <xf numFmtId="0" fontId="10" fillId="0" borderId="18" xfId="5" applyFont="1" applyBorder="1" applyAlignment="1">
      <alignment vertical="top" wrapText="1"/>
    </xf>
    <xf numFmtId="4" fontId="10" fillId="0" borderId="18" xfId="5" applyNumberFormat="1" applyFont="1" applyBorder="1" applyAlignment="1">
      <alignment horizontal="right" vertical="top" wrapText="1"/>
    </xf>
    <xf numFmtId="0" fontId="10" fillId="0" borderId="36" xfId="5" applyFont="1" applyBorder="1" applyAlignment="1">
      <alignment vertical="top" wrapText="1"/>
    </xf>
    <xf numFmtId="0" fontId="10" fillId="0" borderId="0" xfId="10" applyFont="1" applyAlignment="1">
      <alignment horizontal="justify" vertical="top" wrapText="1"/>
    </xf>
    <xf numFmtId="0" fontId="10" fillId="0" borderId="0" xfId="10" applyFont="1" applyAlignment="1">
      <alignment horizontal="left" vertical="top" wrapText="1"/>
    </xf>
    <xf numFmtId="0" fontId="13" fillId="0" borderId="0" xfId="9" applyFont="1" applyAlignment="1">
      <alignment horizontal="center" vertical="top"/>
    </xf>
    <xf numFmtId="0" fontId="13" fillId="0" borderId="6" xfId="9" applyFont="1" applyBorder="1" applyAlignment="1">
      <alignment vertical="top"/>
    </xf>
    <xf numFmtId="0" fontId="13" fillId="0" borderId="13" xfId="9" applyFont="1" applyBorder="1" applyAlignment="1">
      <alignment horizontal="center" vertical="top"/>
    </xf>
    <xf numFmtId="0" fontId="13" fillId="0" borderId="13" xfId="9" applyFont="1" applyBorder="1" applyAlignment="1">
      <alignment vertical="top"/>
    </xf>
    <xf numFmtId="0" fontId="10" fillId="0" borderId="58" xfId="9" applyFont="1" applyBorder="1" applyAlignment="1">
      <alignment vertical="top"/>
    </xf>
    <xf numFmtId="170" fontId="10" fillId="0" borderId="16" xfId="9" applyNumberFormat="1" applyFont="1" applyBorder="1" applyAlignment="1">
      <alignment vertical="top"/>
    </xf>
    <xf numFmtId="0" fontId="10" fillId="0" borderId="28" xfId="9" applyFont="1" applyBorder="1" applyAlignment="1">
      <alignment vertical="top"/>
    </xf>
    <xf numFmtId="170" fontId="10" fillId="0" borderId="21" xfId="9" applyNumberFormat="1" applyFont="1" applyBorder="1" applyAlignment="1">
      <alignment vertical="top"/>
    </xf>
    <xf numFmtId="0" fontId="10" fillId="0" borderId="28" xfId="9" applyFont="1" applyBorder="1" applyAlignment="1">
      <alignment vertical="top" wrapText="1"/>
    </xf>
    <xf numFmtId="0" fontId="10" fillId="0" borderId="51" xfId="9" applyFont="1" applyBorder="1" applyAlignment="1">
      <alignment vertical="top" wrapText="1"/>
    </xf>
    <xf numFmtId="170" fontId="10" fillId="0" borderId="18" xfId="9" applyNumberFormat="1" applyFont="1" applyBorder="1" applyAlignment="1">
      <alignment vertical="top"/>
    </xf>
    <xf numFmtId="170" fontId="10" fillId="0" borderId="17" xfId="9" applyNumberFormat="1" applyFont="1" applyBorder="1" applyAlignment="1">
      <alignment vertical="top"/>
    </xf>
    <xf numFmtId="170" fontId="10" fillId="0" borderId="0" xfId="9" applyNumberFormat="1" applyFont="1" applyAlignment="1">
      <alignment vertical="top"/>
    </xf>
    <xf numFmtId="2" fontId="10" fillId="0" borderId="29" xfId="5" applyNumberFormat="1" applyFont="1" applyBorder="1" applyAlignment="1">
      <alignment vertical="top"/>
    </xf>
    <xf numFmtId="4" fontId="10" fillId="0" borderId="29" xfId="5" applyNumberFormat="1" applyFont="1" applyBorder="1" applyAlignment="1">
      <alignment horizontal="right" vertical="top"/>
    </xf>
    <xf numFmtId="4" fontId="10" fillId="0" borderId="29" xfId="5" applyNumberFormat="1" applyFont="1" applyBorder="1" applyAlignment="1">
      <alignment horizontal="center" vertical="top" wrapText="1"/>
    </xf>
    <xf numFmtId="4" fontId="10" fillId="0" borderId="29" xfId="5" applyNumberFormat="1" applyFont="1" applyBorder="1" applyAlignment="1">
      <alignment horizontal="left" vertical="top" wrapText="1"/>
    </xf>
    <xf numFmtId="0" fontId="10" fillId="0" borderId="25" xfId="10" applyFont="1" applyBorder="1" applyAlignment="1">
      <alignment horizontal="left" vertical="top" wrapText="1"/>
    </xf>
    <xf numFmtId="0" fontId="10" fillId="0" borderId="19" xfId="10" applyFont="1" applyBorder="1" applyAlignment="1">
      <alignment horizontal="left" vertical="top" wrapText="1"/>
    </xf>
    <xf numFmtId="0" fontId="10" fillId="0" borderId="32" xfId="10" applyFont="1" applyBorder="1" applyAlignment="1">
      <alignment horizontal="left" vertical="top" wrapText="1"/>
    </xf>
    <xf numFmtId="0" fontId="14" fillId="0" borderId="0" xfId="5" applyFont="1" applyAlignment="1">
      <alignment vertical="top"/>
    </xf>
    <xf numFmtId="4" fontId="10" fillId="0" borderId="0" xfId="5" applyNumberFormat="1" applyFont="1" applyAlignment="1">
      <alignment horizontal="left" vertical="top" wrapText="1"/>
    </xf>
    <xf numFmtId="0" fontId="13" fillId="0" borderId="0" xfId="9" applyFont="1" applyAlignment="1">
      <alignment horizontal="left" vertical="top"/>
    </xf>
    <xf numFmtId="0" fontId="10" fillId="0" borderId="17" xfId="9" applyFont="1" applyBorder="1" applyAlignment="1">
      <alignment vertical="top" wrapText="1"/>
    </xf>
    <xf numFmtId="0" fontId="13" fillId="0" borderId="18" xfId="5" applyFont="1" applyBorder="1" applyAlignment="1">
      <alignment horizontal="left" vertical="top" wrapText="1"/>
    </xf>
    <xf numFmtId="43" fontId="13" fillId="0" borderId="18" xfId="5" applyNumberFormat="1" applyFont="1" applyBorder="1" applyAlignment="1">
      <alignment vertical="top"/>
    </xf>
    <xf numFmtId="0" fontId="10" fillId="0" borderId="16" xfId="9" applyFont="1" applyBorder="1" applyAlignment="1">
      <alignment vertical="top"/>
    </xf>
    <xf numFmtId="0" fontId="10" fillId="0" borderId="21" xfId="9" applyFont="1" applyBorder="1" applyAlignment="1">
      <alignment vertical="top"/>
    </xf>
    <xf numFmtId="0" fontId="10" fillId="0" borderId="21" xfId="9" applyFont="1" applyBorder="1" applyAlignment="1">
      <alignment vertical="top" wrapText="1"/>
    </xf>
    <xf numFmtId="0" fontId="10" fillId="0" borderId="18" xfId="9" applyFont="1" applyBorder="1" applyAlignment="1">
      <alignment vertical="top" wrapText="1"/>
    </xf>
    <xf numFmtId="0" fontId="10" fillId="0" borderId="13" xfId="9" applyFont="1" applyBorder="1" applyAlignment="1">
      <alignment vertical="top" wrapText="1"/>
    </xf>
    <xf numFmtId="4" fontId="10" fillId="0" borderId="18" xfId="5" applyNumberFormat="1" applyFont="1" applyBorder="1" applyAlignment="1">
      <alignment horizontal="left" vertical="top" wrapText="1"/>
    </xf>
    <xf numFmtId="0" fontId="10" fillId="0" borderId="4" xfId="5" applyFont="1" applyBorder="1" applyAlignment="1">
      <alignment vertical="top" wrapText="1"/>
    </xf>
    <xf numFmtId="43" fontId="10" fillId="0" borderId="48" xfId="1" applyFont="1" applyFill="1" applyBorder="1" applyAlignment="1">
      <alignment vertical="top"/>
    </xf>
    <xf numFmtId="43" fontId="10" fillId="0" borderId="33" xfId="1" applyFont="1" applyFill="1" applyBorder="1" applyAlignment="1">
      <alignment vertical="top"/>
    </xf>
    <xf numFmtId="43" fontId="10" fillId="0" borderId="18" xfId="1" applyFont="1" applyFill="1" applyBorder="1" applyAlignment="1">
      <alignment vertical="top"/>
    </xf>
    <xf numFmtId="43" fontId="10" fillId="0" borderId="37" xfId="1" applyFont="1" applyFill="1" applyBorder="1" applyAlignment="1">
      <alignment vertical="top"/>
    </xf>
    <xf numFmtId="43" fontId="10" fillId="0" borderId="36" xfId="1" applyFont="1" applyFill="1" applyBorder="1" applyAlignment="1">
      <alignment vertical="top"/>
    </xf>
    <xf numFmtId="43" fontId="10" fillId="0" borderId="39" xfId="1" applyFont="1" applyFill="1" applyBorder="1" applyAlignment="1">
      <alignment vertical="top"/>
    </xf>
    <xf numFmtId="43" fontId="13" fillId="0" borderId="18" xfId="1" applyFont="1" applyFill="1" applyBorder="1" applyAlignment="1">
      <alignment vertical="top"/>
    </xf>
    <xf numFmtId="43" fontId="10" fillId="0" borderId="18" xfId="1" applyFont="1" applyFill="1" applyBorder="1" applyAlignment="1">
      <alignment horizontal="right" vertical="top" wrapText="1"/>
    </xf>
    <xf numFmtId="43" fontId="13" fillId="0" borderId="13" xfId="1" applyFont="1" applyFill="1" applyBorder="1" applyAlignment="1">
      <alignment vertical="top"/>
    </xf>
    <xf numFmtId="43" fontId="10" fillId="0" borderId="21" xfId="1" applyFont="1" applyFill="1" applyBorder="1" applyAlignment="1">
      <alignment horizontal="center" vertical="top"/>
    </xf>
    <xf numFmtId="0" fontId="8" fillId="0" borderId="14" xfId="0" applyFont="1" applyBorder="1" applyAlignment="1">
      <alignment horizontal="center"/>
    </xf>
    <xf numFmtId="0" fontId="8" fillId="0" borderId="17" xfId="0" applyFont="1" applyBorder="1" applyAlignment="1">
      <alignment horizontal="center"/>
    </xf>
    <xf numFmtId="0" fontId="8" fillId="0" borderId="15" xfId="0" applyFont="1" applyBorder="1" applyAlignment="1">
      <alignment horizontal="center"/>
    </xf>
    <xf numFmtId="0" fontId="8" fillId="0" borderId="29" xfId="0" applyFont="1" applyBorder="1" applyAlignment="1">
      <alignment horizontal="center"/>
    </xf>
    <xf numFmtId="0" fontId="8" fillId="0" borderId="46"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11" xfId="0" applyFont="1" applyBorder="1"/>
    <xf numFmtId="0" fontId="10" fillId="0" borderId="17" xfId="5" applyFont="1" applyBorder="1" applyAlignment="1">
      <alignment horizontal="center" vertical="top"/>
    </xf>
    <xf numFmtId="0" fontId="10" fillId="0" borderId="46" xfId="5" applyFont="1" applyBorder="1" applyAlignment="1">
      <alignment horizontal="center" vertical="top"/>
    </xf>
    <xf numFmtId="0" fontId="10" fillId="0" borderId="19" xfId="5" applyFont="1" applyBorder="1" applyAlignment="1">
      <alignment horizontal="center" vertical="top"/>
    </xf>
    <xf numFmtId="0" fontId="10" fillId="0" borderId="14" xfId="5" applyFont="1" applyBorder="1" applyAlignment="1">
      <alignment horizontal="center" vertical="top" wrapText="1"/>
    </xf>
    <xf numFmtId="0" fontId="10" fillId="0" borderId="29" xfId="5" applyFont="1" applyBorder="1" applyAlignment="1">
      <alignment horizontal="center" vertical="top" wrapText="1"/>
    </xf>
    <xf numFmtId="0" fontId="10" fillId="0" borderId="46" xfId="5" applyFont="1" applyBorder="1" applyAlignment="1">
      <alignment horizontal="center" vertical="top" wrapText="1"/>
    </xf>
    <xf numFmtId="0" fontId="10" fillId="0" borderId="0" xfId="5" applyFont="1" applyAlignment="1">
      <alignment horizontal="right" vertical="top" wrapText="1"/>
    </xf>
    <xf numFmtId="0" fontId="10" fillId="0" borderId="0" xfId="5" applyFont="1" applyAlignment="1">
      <alignment horizontal="center" vertical="top" wrapText="1"/>
    </xf>
    <xf numFmtId="0" fontId="10" fillId="0" borderId="29" xfId="0" applyFont="1" applyBorder="1" applyAlignment="1">
      <alignment horizontal="center" vertical="top" wrapText="1"/>
    </xf>
    <xf numFmtId="0" fontId="10" fillId="0" borderId="46" xfId="0" applyFont="1" applyBorder="1" applyAlignment="1">
      <alignment horizontal="center" vertical="top" wrapText="1"/>
    </xf>
    <xf numFmtId="0" fontId="10" fillId="0" borderId="17" xfId="5" applyFont="1" applyBorder="1" applyAlignment="1">
      <alignment horizontal="center" vertical="top" wrapText="1"/>
    </xf>
    <xf numFmtId="0" fontId="10" fillId="0" borderId="15" xfId="5" applyFont="1" applyBorder="1" applyAlignment="1">
      <alignment horizontal="center" vertical="top" wrapText="1"/>
    </xf>
    <xf numFmtId="0" fontId="10" fillId="0" borderId="22" xfId="5" applyFont="1" applyBorder="1" applyAlignment="1">
      <alignment horizontal="center" vertical="top" wrapText="1"/>
    </xf>
    <xf numFmtId="0" fontId="10" fillId="0" borderId="19" xfId="5" applyFont="1" applyBorder="1" applyAlignment="1">
      <alignment horizontal="center" vertical="top" wrapText="1"/>
    </xf>
    <xf numFmtId="0" fontId="10" fillId="0" borderId="20" xfId="5" applyFont="1" applyBorder="1" applyAlignment="1">
      <alignment horizontal="center" vertical="top" wrapText="1"/>
    </xf>
    <xf numFmtId="0" fontId="10" fillId="0" borderId="22" xfId="0" applyFont="1" applyBorder="1" applyAlignment="1">
      <alignment horizontal="center" vertical="top" wrapText="1"/>
    </xf>
    <xf numFmtId="0" fontId="10" fillId="0" borderId="19" xfId="0" applyFont="1" applyBorder="1" applyAlignment="1">
      <alignment horizontal="center" vertical="top" wrapText="1"/>
    </xf>
    <xf numFmtId="0" fontId="10" fillId="0" borderId="20" xfId="0" applyFont="1" applyBorder="1" applyAlignment="1">
      <alignment horizontal="center" vertical="top" wrapText="1"/>
    </xf>
    <xf numFmtId="0" fontId="10" fillId="0" borderId="29" xfId="0" applyFont="1" applyBorder="1" applyAlignment="1">
      <alignment horizontal="right" vertical="top" wrapText="1"/>
    </xf>
    <xf numFmtId="0" fontId="10" fillId="0" borderId="13" xfId="5" applyFont="1" applyBorder="1" applyAlignment="1">
      <alignment horizontal="center" vertical="top"/>
    </xf>
    <xf numFmtId="0" fontId="10" fillId="0" borderId="26" xfId="5" applyFont="1" applyBorder="1" applyAlignment="1">
      <alignment horizontal="center" vertical="top"/>
    </xf>
    <xf numFmtId="0" fontId="13" fillId="0" borderId="5" xfId="0" applyFont="1" applyBorder="1" applyAlignment="1">
      <alignment horizontal="center" vertical="center"/>
    </xf>
    <xf numFmtId="0" fontId="13" fillId="0" borderId="58" xfId="0" applyFont="1" applyBorder="1" applyAlignment="1">
      <alignment horizontal="left" vertical="center"/>
    </xf>
    <xf numFmtId="0" fontId="13" fillId="0" borderId="60" xfId="0" applyFont="1" applyBorder="1" applyAlignment="1">
      <alignment horizontal="left" vertical="center"/>
    </xf>
    <xf numFmtId="43" fontId="10" fillId="0" borderId="22" xfId="1" applyFont="1" applyFill="1" applyBorder="1" applyAlignment="1" applyProtection="1">
      <alignment vertical="top"/>
    </xf>
    <xf numFmtId="43" fontId="10" fillId="0" borderId="33" xfId="1" applyFont="1" applyBorder="1" applyAlignment="1">
      <alignment vertical="top"/>
    </xf>
    <xf numFmtId="43" fontId="10" fillId="0" borderId="22" xfId="1" applyFont="1" applyFill="1" applyBorder="1" applyAlignment="1" applyProtection="1">
      <alignment vertical="top"/>
      <protection locked="0"/>
    </xf>
    <xf numFmtId="43" fontId="10" fillId="0" borderId="16" xfId="1" applyFont="1" applyFill="1" applyBorder="1" applyAlignment="1" applyProtection="1">
      <alignment vertical="top"/>
    </xf>
    <xf numFmtId="43" fontId="10" fillId="0" borderId="13" xfId="1" applyFont="1" applyFill="1" applyBorder="1" applyAlignment="1" applyProtection="1">
      <alignment vertical="top"/>
    </xf>
    <xf numFmtId="0" fontId="10" fillId="0" borderId="54" xfId="5" applyFont="1" applyBorder="1" applyAlignment="1">
      <alignment vertical="top"/>
    </xf>
    <xf numFmtId="0" fontId="10" fillId="0" borderId="55" xfId="5" applyFont="1" applyBorder="1" applyAlignment="1">
      <alignment vertical="top"/>
    </xf>
    <xf numFmtId="0" fontId="13" fillId="0" borderId="38" xfId="0" applyFont="1" applyBorder="1" applyAlignment="1">
      <alignment horizontal="center" vertical="center" wrapText="1"/>
    </xf>
    <xf numFmtId="0" fontId="13" fillId="0" borderId="52" xfId="0" applyFont="1" applyBorder="1" applyAlignment="1">
      <alignment horizontal="center" vertical="center" wrapText="1"/>
    </xf>
    <xf numFmtId="0" fontId="8" fillId="0" borderId="4" xfId="0" applyFont="1" applyBorder="1"/>
    <xf numFmtId="0" fontId="8" fillId="0" borderId="5" xfId="0" applyFont="1" applyBorder="1"/>
    <xf numFmtId="0" fontId="8" fillId="0" borderId="10" xfId="0" applyFont="1" applyBorder="1"/>
    <xf numFmtId="0" fontId="8" fillId="0" borderId="12" xfId="0" applyFont="1" applyBorder="1"/>
    <xf numFmtId="0" fontId="10" fillId="0" borderId="10" xfId="0" applyFont="1" applyBorder="1" applyAlignment="1">
      <alignment vertical="top" wrapText="1"/>
    </xf>
    <xf numFmtId="0" fontId="10" fillId="0" borderId="11" xfId="0" applyFont="1" applyBorder="1" applyAlignment="1">
      <alignment horizontal="center" vertical="top"/>
    </xf>
    <xf numFmtId="0" fontId="8" fillId="0" borderId="14" xfId="0" applyFont="1" applyBorder="1" applyAlignment="1">
      <alignment horizontal="justify" vertical="top" wrapText="1"/>
    </xf>
    <xf numFmtId="0" fontId="8" fillId="0" borderId="17" xfId="0" applyFont="1" applyBorder="1" applyAlignment="1">
      <alignment horizontal="justify" vertical="top" wrapText="1"/>
    </xf>
    <xf numFmtId="0" fontId="8" fillId="0" borderId="29" xfId="0" applyFont="1" applyBorder="1" applyAlignment="1">
      <alignment horizontal="justify" vertical="top" wrapText="1"/>
    </xf>
    <xf numFmtId="0" fontId="8" fillId="0" borderId="46" xfId="0" applyFont="1" applyBorder="1" applyAlignment="1">
      <alignment horizontal="justify" vertical="top" wrapText="1"/>
    </xf>
    <xf numFmtId="0" fontId="8" fillId="0" borderId="19" xfId="0" applyFont="1" applyBorder="1" applyAlignment="1">
      <alignment horizontal="justify" vertical="top" wrapText="1"/>
    </xf>
    <xf numFmtId="0" fontId="8" fillId="0" borderId="14" xfId="0" applyFont="1" applyBorder="1" applyAlignment="1">
      <alignment horizontal="left" vertical="top" wrapText="1"/>
    </xf>
    <xf numFmtId="0" fontId="8" fillId="0" borderId="17" xfId="0" applyFont="1" applyBorder="1" applyAlignment="1">
      <alignment horizontal="left" vertical="top" wrapText="1"/>
    </xf>
    <xf numFmtId="0" fontId="8" fillId="0" borderId="29" xfId="0" applyFont="1" applyBorder="1" applyAlignment="1">
      <alignment horizontal="left" vertical="top" wrapText="1"/>
    </xf>
    <xf numFmtId="0" fontId="8" fillId="0" borderId="46" xfId="0" applyFont="1" applyBorder="1" applyAlignment="1">
      <alignment horizontal="left" vertical="top" wrapText="1"/>
    </xf>
    <xf numFmtId="0" fontId="8" fillId="0" borderId="19" xfId="0" applyFont="1" applyBorder="1" applyAlignment="1">
      <alignment horizontal="left" vertical="top" wrapText="1"/>
    </xf>
    <xf numFmtId="0" fontId="11" fillId="0" borderId="29" xfId="0" applyFont="1" applyBorder="1"/>
    <xf numFmtId="0" fontId="11" fillId="0" borderId="46" xfId="0" applyFont="1" applyBorder="1"/>
    <xf numFmtId="0" fontId="11" fillId="0" borderId="17" xfId="0" applyFont="1" applyBorder="1" applyAlignment="1">
      <alignment horizontal="justify" vertical="top" wrapText="1"/>
    </xf>
    <xf numFmtId="0" fontId="11" fillId="0" borderId="29" xfId="0" applyFont="1" applyBorder="1" applyAlignment="1">
      <alignment horizontal="justify" vertical="top" wrapText="1"/>
    </xf>
    <xf numFmtId="0" fontId="11" fillId="0" borderId="46" xfId="0" applyFont="1" applyBorder="1" applyAlignment="1">
      <alignment horizontal="justify" vertical="top" wrapText="1"/>
    </xf>
    <xf numFmtId="0" fontId="11" fillId="0" borderId="19" xfId="0" applyFont="1" applyBorder="1" applyAlignment="1">
      <alignment horizontal="justify" vertical="top" wrapText="1"/>
    </xf>
    <xf numFmtId="0" fontId="8" fillId="0" borderId="17" xfId="0" applyFont="1" applyBorder="1" applyAlignment="1">
      <alignment horizontal="left" vertical="top" wrapText="1" indent="2"/>
    </xf>
    <xf numFmtId="0" fontId="11" fillId="0" borderId="29" xfId="0" applyFont="1" applyBorder="1" applyAlignment="1">
      <alignment horizontal="left" vertical="top" wrapText="1"/>
    </xf>
    <xf numFmtId="0" fontId="11" fillId="0" borderId="46" xfId="0" applyFont="1" applyBorder="1" applyAlignment="1">
      <alignment horizontal="left" vertical="top" wrapText="1"/>
    </xf>
    <xf numFmtId="0" fontId="8" fillId="0" borderId="19" xfId="0" applyFont="1" applyBorder="1" applyAlignment="1">
      <alignment horizontal="left" vertical="top" wrapText="1" indent="2"/>
    </xf>
    <xf numFmtId="0" fontId="11" fillId="0" borderId="22" xfId="0" applyFont="1" applyBorder="1"/>
    <xf numFmtId="0" fontId="11" fillId="0" borderId="20" xfId="0" applyFont="1" applyBorder="1"/>
    <xf numFmtId="0" fontId="30" fillId="0" borderId="0" xfId="0" applyFont="1" applyAlignment="1">
      <alignment horizontal="left" vertical="center" indent="1"/>
    </xf>
    <xf numFmtId="0" fontId="13" fillId="4" borderId="0" xfId="0" applyFont="1" applyFill="1" applyAlignment="1">
      <alignment horizontal="left" vertical="top" wrapText="1"/>
    </xf>
    <xf numFmtId="0" fontId="13" fillId="4" borderId="22" xfId="0" applyFont="1" applyFill="1" applyBorder="1" applyAlignment="1">
      <alignment horizontal="left" vertical="top" wrapText="1"/>
    </xf>
    <xf numFmtId="0" fontId="11" fillId="0" borderId="53" xfId="0" applyFont="1" applyBorder="1" applyAlignment="1">
      <alignment horizontal="center"/>
    </xf>
    <xf numFmtId="0" fontId="11" fillId="0" borderId="63" xfId="0" applyFont="1" applyBorder="1" applyAlignment="1">
      <alignment horizontal="center"/>
    </xf>
    <xf numFmtId="0" fontId="10" fillId="6" borderId="0" xfId="5" applyFont="1" applyFill="1" applyAlignment="1">
      <alignment horizontal="center" vertical="top"/>
    </xf>
    <xf numFmtId="0" fontId="8" fillId="0" borderId="0" xfId="0" applyFont="1" applyAlignment="1">
      <alignment horizontal="left" indent="10"/>
    </xf>
    <xf numFmtId="0" fontId="8" fillId="0" borderId="47" xfId="0" applyFont="1" applyBorder="1"/>
    <xf numFmtId="0" fontId="8" fillId="0" borderId="24" xfId="0" applyFont="1" applyBorder="1"/>
    <xf numFmtId="0" fontId="8" fillId="0" borderId="28" xfId="0" applyFont="1" applyBorder="1" applyAlignment="1">
      <alignment horizontal="right"/>
    </xf>
    <xf numFmtId="43" fontId="11" fillId="0" borderId="0" xfId="1" applyFont="1"/>
    <xf numFmtId="0" fontId="13" fillId="6" borderId="0" xfId="5" applyFont="1" applyFill="1" applyAlignment="1">
      <alignment horizontal="left" vertical="top"/>
    </xf>
    <xf numFmtId="0" fontId="10" fillId="6" borderId="14" xfId="5" applyFont="1" applyFill="1" applyBorder="1" applyAlignment="1">
      <alignment horizontal="center" vertical="top"/>
    </xf>
    <xf numFmtId="0" fontId="10" fillId="6" borderId="17" xfId="5" applyFont="1" applyFill="1" applyBorder="1" applyAlignment="1">
      <alignment horizontal="center" vertical="top"/>
    </xf>
    <xf numFmtId="0" fontId="10" fillId="6" borderId="29" xfId="5" applyFont="1" applyFill="1" applyBorder="1" applyAlignment="1">
      <alignment horizontal="center" vertical="top"/>
    </xf>
    <xf numFmtId="0" fontId="11" fillId="12" borderId="16" xfId="0" applyFont="1" applyFill="1" applyBorder="1"/>
    <xf numFmtId="0" fontId="8" fillId="9" borderId="3" xfId="0" applyFont="1" applyFill="1" applyBorder="1"/>
    <xf numFmtId="0" fontId="8" fillId="9" borderId="5" xfId="0" applyFont="1" applyFill="1" applyBorder="1"/>
    <xf numFmtId="0" fontId="8" fillId="9" borderId="12" xfId="0" applyFont="1" applyFill="1" applyBorder="1"/>
    <xf numFmtId="0" fontId="8" fillId="9" borderId="33" xfId="0" applyFont="1" applyFill="1" applyBorder="1"/>
    <xf numFmtId="0" fontId="11" fillId="12" borderId="25" xfId="0" applyFont="1" applyFill="1" applyBorder="1"/>
    <xf numFmtId="0" fontId="11" fillId="12" borderId="53" xfId="0" applyFont="1" applyFill="1" applyBorder="1"/>
    <xf numFmtId="0" fontId="11" fillId="12" borderId="63" xfId="0" applyFont="1" applyFill="1" applyBorder="1"/>
    <xf numFmtId="0" fontId="11" fillId="0" borderId="0" xfId="0" applyFont="1" applyAlignment="1">
      <alignment horizontal="center"/>
    </xf>
    <xf numFmtId="0" fontId="11" fillId="12" borderId="47" xfId="0" applyFont="1" applyFill="1" applyBorder="1"/>
    <xf numFmtId="0" fontId="11" fillId="12" borderId="57" xfId="0" applyFont="1" applyFill="1" applyBorder="1"/>
    <xf numFmtId="14" fontId="8" fillId="0" borderId="0" xfId="0" applyNumberFormat="1" applyFont="1"/>
    <xf numFmtId="0" fontId="8" fillId="0" borderId="0" xfId="0" applyFont="1" applyAlignment="1">
      <alignment horizontal="justify" vertical="top"/>
    </xf>
    <xf numFmtId="0" fontId="10" fillId="4" borderId="14" xfId="0" applyFont="1" applyFill="1" applyBorder="1" applyAlignment="1">
      <alignment horizontal="left" vertical="top" wrapText="1"/>
    </xf>
    <xf numFmtId="0" fontId="10" fillId="4" borderId="46" xfId="0" applyFont="1" applyFill="1" applyBorder="1" applyAlignment="1">
      <alignment horizontal="left" vertical="top" wrapText="1"/>
    </xf>
    <xf numFmtId="0" fontId="10" fillId="4" borderId="19" xfId="0" applyFont="1" applyFill="1" applyBorder="1" applyAlignment="1">
      <alignment horizontal="left" vertical="top" wrapText="1"/>
    </xf>
    <xf numFmtId="0" fontId="13" fillId="7" borderId="0" xfId="0" applyFont="1" applyFill="1" applyAlignment="1">
      <alignment horizontal="center" vertical="top" wrapText="1"/>
    </xf>
    <xf numFmtId="0" fontId="9" fillId="0" borderId="0" xfId="0" applyFont="1" applyAlignment="1">
      <alignment horizontal="left" vertical="top" wrapText="1"/>
    </xf>
    <xf numFmtId="0" fontId="8" fillId="0" borderId="5" xfId="0" applyFont="1" applyBorder="1" applyAlignment="1">
      <alignment horizontal="center" vertical="center" wrapText="1"/>
    </xf>
    <xf numFmtId="0" fontId="13" fillId="0" borderId="6" xfId="5" applyFont="1" applyBorder="1" applyAlignment="1">
      <alignment vertical="top"/>
    </xf>
    <xf numFmtId="0" fontId="10" fillId="0" borderId="6" xfId="5" applyFont="1" applyBorder="1" applyAlignment="1">
      <alignment vertical="top"/>
    </xf>
    <xf numFmtId="0" fontId="13" fillId="0" borderId="10" xfId="5" applyFont="1" applyBorder="1" applyAlignment="1">
      <alignment vertical="top"/>
    </xf>
    <xf numFmtId="0" fontId="11" fillId="0" borderId="61" xfId="0" applyFont="1" applyBorder="1" applyAlignment="1">
      <alignment horizontal="centerContinuous"/>
    </xf>
    <xf numFmtId="0" fontId="11" fillId="0" borderId="40" xfId="0" applyFont="1" applyBorder="1" applyAlignment="1">
      <alignment horizontal="centerContinuous"/>
    </xf>
    <xf numFmtId="0" fontId="11" fillId="0" borderId="41" xfId="0" applyFont="1" applyBorder="1" applyAlignment="1">
      <alignment horizontal="centerContinuous"/>
    </xf>
    <xf numFmtId="0" fontId="13" fillId="4" borderId="0" xfId="0" applyFont="1" applyFill="1" applyAlignment="1">
      <alignment horizontal="left" vertical="top"/>
    </xf>
    <xf numFmtId="0" fontId="13" fillId="4" borderId="0" xfId="0" applyFont="1" applyFill="1" applyAlignment="1">
      <alignment horizontal="left" vertical="center"/>
    </xf>
    <xf numFmtId="0" fontId="10" fillId="0" borderId="14" xfId="0" applyFont="1" applyBorder="1" applyAlignment="1">
      <alignment horizontal="justify" vertical="top" wrapText="1"/>
    </xf>
    <xf numFmtId="0" fontId="10" fillId="0" borderId="17" xfId="0" applyFont="1" applyBorder="1" applyAlignment="1">
      <alignment horizontal="justify" vertical="top" wrapText="1"/>
    </xf>
    <xf numFmtId="0" fontId="10" fillId="0" borderId="46" xfId="0" applyFont="1" applyBorder="1" applyAlignment="1">
      <alignment horizontal="justify" vertical="top" wrapText="1"/>
    </xf>
    <xf numFmtId="0" fontId="10" fillId="0" borderId="19" xfId="0" applyFont="1" applyBorder="1" applyAlignment="1">
      <alignment horizontal="justify" vertical="top" wrapText="1"/>
    </xf>
    <xf numFmtId="0" fontId="10" fillId="4" borderId="17" xfId="0" applyFont="1" applyFill="1" applyBorder="1" applyAlignment="1">
      <alignment horizontal="left" vertical="top" wrapText="1"/>
    </xf>
    <xf numFmtId="0" fontId="10" fillId="0" borderId="46" xfId="0" applyFont="1" applyBorder="1" applyAlignment="1">
      <alignment vertical="center"/>
    </xf>
    <xf numFmtId="167" fontId="10" fillId="0" borderId="0" xfId="1" applyNumberFormat="1" applyFont="1" applyFill="1" applyBorder="1" applyAlignment="1">
      <alignment vertical="top"/>
    </xf>
    <xf numFmtId="172" fontId="8" fillId="0" borderId="33" xfId="0" applyNumberFormat="1" applyFont="1" applyBorder="1" applyAlignment="1">
      <alignment horizontal="left"/>
    </xf>
    <xf numFmtId="0" fontId="8" fillId="0" borderId="28" xfId="0" applyFont="1" applyBorder="1" applyAlignment="1">
      <alignment horizontal="left" indent="2"/>
    </xf>
    <xf numFmtId="0" fontId="13" fillId="12" borderId="63" xfId="0" applyFont="1" applyFill="1" applyBorder="1" applyAlignment="1">
      <alignment horizontal="centerContinuous"/>
    </xf>
    <xf numFmtId="167" fontId="13" fillId="0" borderId="13" xfId="0" applyNumberFormat="1" applyFont="1" applyBorder="1" applyAlignment="1">
      <alignment horizontal="center" vertical="top" wrapText="1"/>
    </xf>
    <xf numFmtId="167" fontId="13" fillId="0" borderId="18" xfId="1" applyNumberFormat="1" applyFont="1" applyFill="1" applyBorder="1" applyAlignment="1">
      <alignment horizontal="center" vertical="center"/>
    </xf>
    <xf numFmtId="167" fontId="13" fillId="0" borderId="21" xfId="1" applyNumberFormat="1" applyFont="1" applyFill="1" applyBorder="1" applyAlignment="1">
      <alignment horizontal="center" vertical="center"/>
    </xf>
    <xf numFmtId="167" fontId="13" fillId="0" borderId="13" xfId="1" applyNumberFormat="1" applyFont="1" applyFill="1" applyBorder="1" applyAlignment="1">
      <alignment horizontal="center" vertical="center"/>
    </xf>
    <xf numFmtId="167" fontId="13" fillId="0" borderId="0" xfId="1" applyNumberFormat="1" applyFont="1" applyFill="1" applyBorder="1" applyAlignment="1">
      <alignment horizontal="center" vertical="center"/>
    </xf>
    <xf numFmtId="167" fontId="10" fillId="0" borderId="0" xfId="1" applyNumberFormat="1" applyFont="1" applyBorder="1" applyAlignment="1">
      <alignment horizontal="right" vertical="top"/>
    </xf>
    <xf numFmtId="167" fontId="10" fillId="0" borderId="0" xfId="1" applyNumberFormat="1" applyFont="1" applyFill="1" applyBorder="1" applyAlignment="1">
      <alignment horizontal="right" vertical="top"/>
    </xf>
    <xf numFmtId="167" fontId="10" fillId="0" borderId="19" xfId="1" applyNumberFormat="1" applyFont="1" applyFill="1" applyBorder="1" applyAlignment="1">
      <alignment horizontal="right" vertical="top"/>
    </xf>
    <xf numFmtId="167" fontId="10" fillId="0" borderId="21" xfId="1" applyNumberFormat="1" applyFont="1" applyFill="1" applyBorder="1" applyAlignment="1">
      <alignment horizontal="left" vertical="center"/>
    </xf>
    <xf numFmtId="167" fontId="10" fillId="4" borderId="16" xfId="1" applyNumberFormat="1" applyFont="1" applyFill="1" applyBorder="1" applyAlignment="1">
      <alignment horizontal="left" vertical="center"/>
    </xf>
    <xf numFmtId="167" fontId="10" fillId="6" borderId="0" xfId="1" applyNumberFormat="1" applyFont="1" applyFill="1" applyBorder="1" applyAlignment="1">
      <alignment horizontal="left" vertical="top"/>
    </xf>
    <xf numFmtId="167" fontId="10" fillId="0" borderId="19" xfId="1" applyNumberFormat="1" applyFont="1" applyBorder="1" applyAlignment="1">
      <alignment horizontal="right" vertical="top"/>
    </xf>
    <xf numFmtId="167" fontId="10" fillId="0" borderId="19" xfId="1" applyNumberFormat="1" applyFont="1" applyBorder="1" applyAlignment="1">
      <alignment vertical="top" wrapText="1"/>
    </xf>
    <xf numFmtId="167" fontId="10" fillId="4" borderId="0" xfId="1" applyNumberFormat="1" applyFont="1" applyFill="1" applyBorder="1" applyAlignment="1">
      <alignment vertical="top"/>
    </xf>
    <xf numFmtId="167" fontId="10" fillId="4" borderId="19" xfId="1" applyNumberFormat="1" applyFont="1" applyFill="1" applyBorder="1" applyAlignment="1">
      <alignment vertical="top"/>
    </xf>
    <xf numFmtId="167" fontId="10" fillId="4" borderId="21" xfId="1" applyNumberFormat="1" applyFont="1" applyFill="1" applyBorder="1" applyAlignment="1">
      <alignment horizontal="left" vertical="center"/>
    </xf>
    <xf numFmtId="167" fontId="14" fillId="0" borderId="0" xfId="1" applyNumberFormat="1" applyFont="1" applyBorder="1" applyAlignment="1">
      <alignment horizontal="right" vertical="top"/>
    </xf>
    <xf numFmtId="167" fontId="10" fillId="0" borderId="0" xfId="1" applyNumberFormat="1" applyFont="1" applyFill="1" applyBorder="1" applyAlignment="1">
      <alignment horizontal="left" vertical="center"/>
    </xf>
    <xf numFmtId="167" fontId="10" fillId="4" borderId="16" xfId="1" applyNumberFormat="1" applyFont="1" applyFill="1" applyBorder="1" applyAlignment="1">
      <alignment vertical="top"/>
    </xf>
    <xf numFmtId="167" fontId="10" fillId="4" borderId="21" xfId="1" applyNumberFormat="1" applyFont="1" applyFill="1" applyBorder="1" applyAlignment="1">
      <alignment vertical="top"/>
    </xf>
    <xf numFmtId="167" fontId="10" fillId="0" borderId="21" xfId="0" applyNumberFormat="1" applyFont="1" applyBorder="1" applyAlignment="1">
      <alignment horizontal="center" vertical="top"/>
    </xf>
    <xf numFmtId="167" fontId="10" fillId="4" borderId="18" xfId="1" applyNumberFormat="1" applyFont="1" applyFill="1" applyBorder="1" applyAlignment="1">
      <alignment vertical="top"/>
    </xf>
    <xf numFmtId="167" fontId="10" fillId="5" borderId="21" xfId="1" applyNumberFormat="1" applyFont="1" applyFill="1" applyBorder="1" applyAlignment="1">
      <alignment horizontal="left" vertical="top"/>
    </xf>
    <xf numFmtId="167" fontId="10" fillId="0" borderId="15" xfId="1" applyNumberFormat="1" applyFont="1" applyFill="1" applyBorder="1" applyAlignment="1" applyProtection="1">
      <alignment vertical="top"/>
    </xf>
    <xf numFmtId="167" fontId="13" fillId="0" borderId="22" xfId="1" applyNumberFormat="1" applyFont="1" applyFill="1" applyBorder="1" applyAlignment="1" applyProtection="1">
      <alignment vertical="top"/>
    </xf>
    <xf numFmtId="43" fontId="10" fillId="0" borderId="16" xfId="1" applyFont="1" applyFill="1" applyBorder="1" applyAlignment="1">
      <alignment horizontal="right"/>
    </xf>
    <xf numFmtId="43" fontId="10" fillId="0" borderId="18" xfId="1" applyFont="1" applyFill="1" applyBorder="1" applyAlignment="1">
      <alignment horizontal="right"/>
    </xf>
    <xf numFmtId="3" fontId="8" fillId="0" borderId="0" xfId="0" applyNumberFormat="1" applyFont="1"/>
    <xf numFmtId="0" fontId="10" fillId="0" borderId="22" xfId="2" applyFont="1" applyFill="1" applyBorder="1" applyAlignment="1" applyProtection="1">
      <alignment horizontal="center" vertical="top"/>
    </xf>
    <xf numFmtId="167" fontId="10" fillId="0" borderId="29" xfId="1" applyNumberFormat="1" applyFont="1" applyBorder="1" applyAlignment="1">
      <alignment horizontal="right" vertical="top"/>
    </xf>
    <xf numFmtId="167" fontId="10" fillId="0" borderId="46" xfId="1" applyNumberFormat="1" applyFont="1" applyBorder="1" applyAlignment="1">
      <alignment horizontal="right" vertical="top"/>
    </xf>
    <xf numFmtId="167" fontId="10" fillId="0" borderId="46" xfId="1" applyNumberFormat="1" applyFont="1" applyBorder="1" applyAlignment="1">
      <alignment vertical="top" wrapText="1"/>
    </xf>
    <xf numFmtId="167" fontId="10" fillId="4" borderId="29" xfId="1" applyNumberFormat="1" applyFont="1" applyFill="1" applyBorder="1" applyAlignment="1">
      <alignment vertical="top"/>
    </xf>
    <xf numFmtId="167" fontId="10" fillId="0" borderId="0" xfId="1" applyNumberFormat="1" applyFont="1" applyAlignment="1">
      <alignment horizontal="center" vertical="top"/>
    </xf>
    <xf numFmtId="167" fontId="10" fillId="0" borderId="0" xfId="1" applyNumberFormat="1" applyFont="1" applyFill="1" applyAlignment="1">
      <alignment vertical="top"/>
    </xf>
    <xf numFmtId="167" fontId="10" fillId="0" borderId="0" xfId="1" applyNumberFormat="1" applyFont="1" applyFill="1" applyAlignment="1">
      <alignment horizontal="right" vertical="top"/>
    </xf>
    <xf numFmtId="167" fontId="13" fillId="0" borderId="13" xfId="1" applyNumberFormat="1" applyFont="1" applyFill="1" applyBorder="1" applyAlignment="1">
      <alignment horizontal="center" vertical="top" wrapText="1"/>
    </xf>
    <xf numFmtId="167" fontId="10" fillId="0" borderId="22" xfId="1" applyNumberFormat="1" applyFont="1" applyFill="1" applyBorder="1" applyAlignment="1">
      <alignment vertical="top"/>
    </xf>
    <xf numFmtId="167" fontId="10" fillId="0" borderId="16" xfId="1" applyNumberFormat="1" applyFont="1" applyFill="1" applyBorder="1" applyAlignment="1">
      <alignment horizontal="left" vertical="top"/>
    </xf>
    <xf numFmtId="167" fontId="10" fillId="0" borderId="21" xfId="1" applyNumberFormat="1" applyFont="1" applyFill="1" applyBorder="1" applyAlignment="1">
      <alignment vertical="center"/>
    </xf>
    <xf numFmtId="167" fontId="10" fillId="0" borderId="22" xfId="1" applyNumberFormat="1" applyFont="1" applyFill="1" applyBorder="1" applyAlignment="1">
      <alignment vertical="center"/>
    </xf>
    <xf numFmtId="167" fontId="10" fillId="0" borderId="30" xfId="1" applyNumberFormat="1" applyFont="1" applyFill="1" applyBorder="1" applyAlignment="1">
      <alignment vertical="top"/>
    </xf>
    <xf numFmtId="167" fontId="10" fillId="0" borderId="20" xfId="1" applyNumberFormat="1" applyFont="1" applyFill="1" applyBorder="1" applyAlignment="1">
      <alignment vertical="top"/>
    </xf>
    <xf numFmtId="167" fontId="13" fillId="0" borderId="22" xfId="1" applyNumberFormat="1" applyFont="1" applyFill="1" applyBorder="1" applyAlignment="1">
      <alignment vertical="top"/>
    </xf>
    <xf numFmtId="167" fontId="8" fillId="0" borderId="22" xfId="1" applyNumberFormat="1" applyFont="1" applyFill="1" applyBorder="1"/>
    <xf numFmtId="167" fontId="13" fillId="0" borderId="22" xfId="1" applyNumberFormat="1" applyFont="1" applyFill="1" applyBorder="1" applyAlignment="1">
      <alignment vertical="top" wrapText="1"/>
    </xf>
    <xf numFmtId="167" fontId="10" fillId="0" borderId="22" xfId="1" applyNumberFormat="1" applyFont="1" applyFill="1" applyBorder="1"/>
    <xf numFmtId="167" fontId="10" fillId="0" borderId="22" xfId="1" applyNumberFormat="1" applyFont="1" applyFill="1" applyBorder="1" applyAlignment="1"/>
    <xf numFmtId="0" fontId="10" fillId="0" borderId="14" xfId="0" applyFont="1" applyBorder="1" applyAlignment="1">
      <alignment wrapText="1"/>
    </xf>
    <xf numFmtId="0" fontId="10" fillId="0" borderId="15" xfId="0" applyFont="1" applyBorder="1" applyAlignment="1">
      <alignment wrapText="1"/>
    </xf>
    <xf numFmtId="0" fontId="13" fillId="0" borderId="18" xfId="5" applyFont="1" applyBorder="1" applyAlignment="1">
      <alignment horizontal="center" vertical="center" wrapText="1"/>
    </xf>
    <xf numFmtId="167" fontId="10" fillId="0" borderId="13" xfId="0" applyNumberFormat="1" applyFont="1" applyBorder="1" applyAlignment="1">
      <alignment horizontal="center" vertical="top"/>
    </xf>
    <xf numFmtId="0" fontId="10" fillId="0" borderId="8" xfId="0" applyFont="1" applyBorder="1" applyAlignment="1">
      <alignment horizontal="center" vertical="top"/>
    </xf>
    <xf numFmtId="0" fontId="10" fillId="0" borderId="29" xfId="5" applyFont="1" applyBorder="1" applyAlignment="1">
      <alignment horizontal="left" vertical="top"/>
    </xf>
    <xf numFmtId="0" fontId="10" fillId="0" borderId="46" xfId="5" applyFont="1" applyBorder="1" applyAlignment="1">
      <alignment horizontal="left" vertical="top"/>
    </xf>
    <xf numFmtId="0" fontId="10" fillId="0" borderId="0" xfId="5" applyFont="1" applyAlignment="1">
      <alignment horizontal="left" vertical="top"/>
    </xf>
    <xf numFmtId="0" fontId="10" fillId="0" borderId="16" xfId="0" applyFont="1" applyBorder="1"/>
    <xf numFmtId="0" fontId="14" fillId="0" borderId="29" xfId="0" applyFont="1" applyBorder="1"/>
    <xf numFmtId="0" fontId="14" fillId="0" borderId="22" xfId="0" applyFont="1" applyBorder="1"/>
    <xf numFmtId="0" fontId="10" fillId="0" borderId="29" xfId="0" applyFont="1" applyBorder="1" applyAlignment="1">
      <alignment horizontal="left" indent="2"/>
    </xf>
    <xf numFmtId="0" fontId="10" fillId="0" borderId="22" xfId="0" applyFont="1" applyBorder="1" applyAlignment="1">
      <alignment horizontal="left" indent="2"/>
    </xf>
    <xf numFmtId="0" fontId="13" fillId="0" borderId="29" xfId="0" applyFont="1" applyBorder="1" applyAlignment="1">
      <alignment horizontal="right"/>
    </xf>
    <xf numFmtId="41" fontId="10" fillId="0" borderId="16" xfId="20" applyFont="1" applyFill="1" applyBorder="1" applyAlignment="1">
      <alignment horizontal="right"/>
    </xf>
    <xf numFmtId="0" fontId="13" fillId="0" borderId="0" xfId="0" applyFont="1" applyAlignment="1">
      <alignment horizontal="right"/>
    </xf>
    <xf numFmtId="0" fontId="10" fillId="0" borderId="18" xfId="0" applyFont="1" applyBorder="1"/>
    <xf numFmtId="41" fontId="10" fillId="0" borderId="18" xfId="0" applyNumberFormat="1" applyFont="1" applyBorder="1" applyAlignment="1">
      <alignment horizontal="right"/>
    </xf>
    <xf numFmtId="0" fontId="13" fillId="0" borderId="16" xfId="0" applyFont="1" applyBorder="1" applyAlignment="1">
      <alignment horizontal="center"/>
    </xf>
    <xf numFmtId="0" fontId="10" fillId="0" borderId="15" xfId="0" applyFont="1" applyBorder="1" applyAlignment="1">
      <alignment horizontal="left" vertical="center"/>
    </xf>
    <xf numFmtId="43" fontId="10" fillId="0" borderId="22" xfId="1" applyFont="1" applyFill="1" applyBorder="1" applyAlignment="1"/>
    <xf numFmtId="0" fontId="10" fillId="0" borderId="14" xfId="0" applyFont="1" applyBorder="1" applyAlignment="1">
      <alignment horizontal="justify" vertical="top"/>
    </xf>
    <xf numFmtId="0" fontId="10" fillId="0" borderId="15" xfId="0" applyFont="1" applyBorder="1" applyAlignment="1">
      <alignment horizontal="justify" vertical="top"/>
    </xf>
    <xf numFmtId="0" fontId="10" fillId="0" borderId="29" xfId="0" applyFont="1" applyBorder="1" applyAlignment="1">
      <alignment horizontal="justify" vertical="top"/>
    </xf>
    <xf numFmtId="0" fontId="10" fillId="0" borderId="22" xfId="0" applyFont="1" applyBorder="1" applyAlignment="1">
      <alignment horizontal="justify" vertical="top"/>
    </xf>
    <xf numFmtId="0" fontId="10" fillId="0" borderId="13" xfId="0" applyFont="1" applyBorder="1" applyAlignment="1">
      <alignment horizontal="right" vertical="top" wrapText="1"/>
    </xf>
    <xf numFmtId="0" fontId="13" fillId="0" borderId="21" xfId="0" applyFont="1" applyBorder="1" applyAlignment="1">
      <alignment horizontal="right" vertical="top" wrapText="1"/>
    </xf>
    <xf numFmtId="43" fontId="10" fillId="0" borderId="16" xfId="1" applyFont="1" applyFill="1" applyBorder="1"/>
    <xf numFmtId="43" fontId="10" fillId="0" borderId="21" xfId="1" applyFont="1" applyFill="1" applyBorder="1"/>
    <xf numFmtId="43" fontId="10" fillId="0" borderId="18" xfId="1" applyFont="1" applyFill="1" applyBorder="1"/>
    <xf numFmtId="43" fontId="13" fillId="0" borderId="15" xfId="1" applyFont="1" applyFill="1" applyBorder="1" applyAlignment="1">
      <alignment horizontal="center"/>
    </xf>
    <xf numFmtId="43" fontId="10" fillId="0" borderId="22" xfId="1" applyFont="1" applyFill="1" applyBorder="1"/>
    <xf numFmtId="43" fontId="10" fillId="0" borderId="13" xfId="1" applyFont="1" applyFill="1" applyBorder="1"/>
    <xf numFmtId="43" fontId="13" fillId="9" borderId="13" xfId="1" applyFont="1" applyFill="1" applyBorder="1" applyAlignment="1">
      <alignment horizontal="center" vertical="top" wrapText="1"/>
    </xf>
    <xf numFmtId="43" fontId="10" fillId="9" borderId="21" xfId="1" applyFont="1" applyFill="1" applyBorder="1" applyAlignment="1" applyProtection="1">
      <alignment vertical="top"/>
      <protection locked="0"/>
    </xf>
    <xf numFmtId="43" fontId="10" fillId="0" borderId="0" xfId="1" applyFont="1" applyAlignment="1">
      <alignment horizontal="right" vertical="top"/>
    </xf>
    <xf numFmtId="43" fontId="13" fillId="9" borderId="13" xfId="1" applyFont="1" applyFill="1" applyBorder="1" applyAlignment="1">
      <alignment vertical="top"/>
    </xf>
    <xf numFmtId="43" fontId="10" fillId="0" borderId="21" xfId="1" applyFont="1" applyFill="1" applyBorder="1" applyAlignment="1">
      <alignment horizontal="right" vertical="top" wrapText="1"/>
    </xf>
    <xf numFmtId="43" fontId="13" fillId="0" borderId="13" xfId="1" applyFont="1" applyFill="1" applyBorder="1" applyAlignment="1">
      <alignment horizontal="right" vertical="top" wrapText="1"/>
    </xf>
    <xf numFmtId="0" fontId="10" fillId="0" borderId="22" xfId="0" applyFont="1" applyBorder="1" applyAlignment="1">
      <alignment horizontal="left" vertical="top" indent="3"/>
    </xf>
    <xf numFmtId="0" fontId="10" fillId="0" borderId="22" xfId="0" applyFont="1" applyBorder="1" applyAlignment="1">
      <alignment horizontal="left" vertical="top" indent="5"/>
    </xf>
    <xf numFmtId="0" fontId="10" fillId="0" borderId="29" xfId="0" applyFont="1" applyBorder="1" applyAlignment="1">
      <alignment horizontal="left" vertical="top" indent="3"/>
    </xf>
    <xf numFmtId="0" fontId="10" fillId="0" borderId="29" xfId="0" applyFont="1" applyBorder="1" applyAlignment="1">
      <alignment horizontal="left" vertical="top" indent="5"/>
    </xf>
    <xf numFmtId="0" fontId="10" fillId="19" borderId="0" xfId="0" applyFont="1" applyFill="1" applyAlignment="1">
      <alignment vertical="top"/>
    </xf>
    <xf numFmtId="0" fontId="13" fillId="19" borderId="13" xfId="0" applyFont="1" applyFill="1" applyBorder="1" applyAlignment="1">
      <alignment horizontal="center" vertical="top" wrapText="1"/>
    </xf>
    <xf numFmtId="167" fontId="11" fillId="0" borderId="0" xfId="1" applyNumberFormat="1" applyFont="1" applyFill="1" applyBorder="1" applyAlignment="1" applyProtection="1">
      <alignment horizontal="center"/>
    </xf>
    <xf numFmtId="167" fontId="17" fillId="0" borderId="0" xfId="1" applyNumberFormat="1" applyFont="1" applyFill="1" applyBorder="1" applyProtection="1"/>
    <xf numFmtId="43" fontId="10" fillId="0" borderId="0" xfId="1" applyFont="1" applyFill="1" applyAlignment="1">
      <alignment horizontal="right" vertical="top"/>
    </xf>
    <xf numFmtId="0" fontId="10" fillId="0" borderId="14" xfId="6" applyNumberFormat="1" applyFont="1" applyBorder="1" applyAlignment="1">
      <alignment vertical="top"/>
    </xf>
    <xf numFmtId="0" fontId="10" fillId="0" borderId="15" xfId="6" applyNumberFormat="1" applyFont="1" applyBorder="1" applyAlignment="1">
      <alignment vertical="top"/>
    </xf>
    <xf numFmtId="43" fontId="10" fillId="0" borderId="21" xfId="1" applyFont="1" applyFill="1" applyBorder="1" applyAlignment="1" applyProtection="1">
      <alignment horizontal="right" vertical="top" wrapText="1"/>
    </xf>
    <xf numFmtId="0" fontId="10" fillId="0" borderId="29" xfId="6" applyNumberFormat="1" applyFont="1" applyBorder="1" applyAlignment="1">
      <alignment vertical="top"/>
    </xf>
    <xf numFmtId="0" fontId="10" fillId="0" borderId="22" xfId="6" applyNumberFormat="1" applyFont="1" applyBorder="1" applyAlignment="1">
      <alignment vertical="top"/>
    </xf>
    <xf numFmtId="43" fontId="10" fillId="0" borderId="22" xfId="3" applyFont="1" applyFill="1" applyBorder="1" applyAlignment="1" applyProtection="1">
      <alignment horizontal="right" vertical="top" wrapText="1"/>
    </xf>
    <xf numFmtId="43" fontId="10" fillId="0" borderId="20" xfId="3" applyFont="1" applyFill="1" applyBorder="1" applyAlignment="1" applyProtection="1">
      <alignment horizontal="right" vertical="top" wrapText="1"/>
    </xf>
    <xf numFmtId="43" fontId="10" fillId="0" borderId="18" xfId="1" applyFont="1" applyFill="1" applyBorder="1" applyAlignment="1" applyProtection="1">
      <alignment horizontal="right" vertical="top" wrapText="1"/>
    </xf>
    <xf numFmtId="43" fontId="10" fillId="0" borderId="0" xfId="1" applyFont="1" applyFill="1" applyAlignment="1">
      <alignment horizontal="right" vertical="center"/>
    </xf>
    <xf numFmtId="0" fontId="14" fillId="0" borderId="14" xfId="6" applyNumberFormat="1" applyFont="1" applyBorder="1" applyAlignment="1">
      <alignment vertical="top"/>
    </xf>
    <xf numFmtId="0" fontId="14" fillId="0" borderId="15" xfId="6" applyNumberFormat="1" applyFont="1" applyBorder="1" applyAlignment="1">
      <alignment vertical="top"/>
    </xf>
    <xf numFmtId="43" fontId="10" fillId="0" borderId="16" xfId="3" applyFont="1" applyFill="1" applyBorder="1" applyAlignment="1" applyProtection="1">
      <alignment horizontal="right" vertical="top" wrapText="1"/>
    </xf>
    <xf numFmtId="43" fontId="10" fillId="0" borderId="16" xfId="1" applyFont="1" applyFill="1" applyBorder="1" applyAlignment="1" applyProtection="1">
      <alignment vertical="top"/>
      <protection locked="0"/>
    </xf>
    <xf numFmtId="0" fontId="10" fillId="0" borderId="29" xfId="6" applyNumberFormat="1" applyFont="1" applyBorder="1" applyAlignment="1">
      <alignment horizontal="left" vertical="center" indent="2"/>
    </xf>
    <xf numFmtId="0" fontId="10" fillId="0" borderId="22" xfId="6" applyNumberFormat="1" applyFont="1" applyBorder="1" applyAlignment="1">
      <alignment horizontal="left" vertical="center" indent="2"/>
    </xf>
    <xf numFmtId="43" fontId="10" fillId="0" borderId="21" xfId="3" applyFont="1" applyFill="1" applyBorder="1" applyAlignment="1" applyProtection="1">
      <alignment horizontal="right" vertical="top" wrapText="1"/>
    </xf>
    <xf numFmtId="0" fontId="13" fillId="0" borderId="29" xfId="6" applyNumberFormat="1" applyFont="1" applyBorder="1" applyAlignment="1">
      <alignment vertical="top"/>
    </xf>
    <xf numFmtId="0" fontId="13" fillId="0" borderId="22" xfId="6" applyNumberFormat="1" applyFont="1" applyBorder="1" applyAlignment="1">
      <alignment vertical="top"/>
    </xf>
    <xf numFmtId="43" fontId="10" fillId="0" borderId="13" xfId="3" applyFont="1" applyFill="1" applyBorder="1" applyAlignment="1" applyProtection="1">
      <alignment horizontal="right" vertical="top" wrapText="1"/>
    </xf>
    <xf numFmtId="43" fontId="10" fillId="0" borderId="13" xfId="1" applyFont="1" applyFill="1" applyBorder="1" applyAlignment="1" applyProtection="1">
      <alignment horizontal="right" vertical="top" wrapText="1"/>
    </xf>
    <xf numFmtId="43" fontId="10" fillId="0" borderId="21" xfId="1" applyFont="1" applyFill="1" applyBorder="1" applyAlignment="1" applyProtection="1">
      <alignment vertical="top"/>
      <protection locked="0"/>
    </xf>
    <xf numFmtId="0" fontId="14" fillId="0" borderId="29" xfId="6" applyNumberFormat="1" applyFont="1" applyBorder="1" applyAlignment="1">
      <alignment horizontal="left" vertical="top"/>
    </xf>
    <xf numFmtId="0" fontId="14" fillId="0" borderId="22" xfId="6" applyNumberFormat="1" applyFont="1" applyBorder="1" applyAlignment="1">
      <alignment horizontal="left" vertical="top"/>
    </xf>
    <xf numFmtId="0" fontId="13" fillId="0" borderId="29" xfId="6" applyNumberFormat="1" applyFont="1" applyBorder="1" applyAlignment="1">
      <alignment horizontal="right" vertical="top"/>
    </xf>
    <xf numFmtId="0" fontId="13" fillId="0" borderId="22" xfId="6" applyNumberFormat="1" applyFont="1" applyBorder="1" applyAlignment="1">
      <alignment horizontal="right" vertical="top"/>
    </xf>
    <xf numFmtId="0" fontId="10" fillId="9" borderId="29" xfId="0" applyFont="1" applyFill="1" applyBorder="1" applyAlignment="1" applyProtection="1">
      <alignment vertical="top"/>
      <protection locked="0"/>
    </xf>
    <xf numFmtId="0" fontId="13" fillId="9" borderId="46" xfId="0" applyFont="1" applyFill="1" applyBorder="1" applyAlignment="1">
      <alignment horizontal="right" vertical="top"/>
    </xf>
    <xf numFmtId="0" fontId="10" fillId="9" borderId="22" xfId="0" applyFont="1" applyFill="1" applyBorder="1" applyAlignment="1" applyProtection="1">
      <alignment vertical="top"/>
      <protection locked="0"/>
    </xf>
    <xf numFmtId="0" fontId="10" fillId="9" borderId="0" xfId="0" applyFont="1" applyFill="1" applyAlignment="1" applyProtection="1">
      <alignment vertical="top"/>
      <protection locked="0"/>
    </xf>
    <xf numFmtId="0" fontId="13" fillId="9" borderId="20" xfId="0" applyFont="1" applyFill="1" applyBorder="1" applyAlignment="1">
      <alignment horizontal="right" vertical="top"/>
    </xf>
    <xf numFmtId="43" fontId="13" fillId="9" borderId="21" xfId="5" applyNumberFormat="1" applyFont="1" applyFill="1" applyBorder="1" applyAlignment="1">
      <alignment horizontal="left" vertical="top"/>
    </xf>
    <xf numFmtId="43" fontId="10" fillId="9" borderId="18" xfId="3" applyFont="1" applyFill="1" applyBorder="1" applyAlignment="1" applyProtection="1">
      <alignment vertical="top"/>
      <protection locked="0"/>
    </xf>
    <xf numFmtId="0" fontId="13" fillId="9" borderId="7" xfId="0" applyFont="1" applyFill="1" applyBorder="1" applyAlignment="1">
      <alignment horizontal="centerContinuous" vertical="top" wrapText="1"/>
    </xf>
    <xf numFmtId="0" fontId="13" fillId="9" borderId="23" xfId="0" applyFont="1" applyFill="1" applyBorder="1" applyAlignment="1">
      <alignment horizontal="centerContinuous" vertical="top" wrapText="1"/>
    </xf>
    <xf numFmtId="0" fontId="10" fillId="19" borderId="29" xfId="6" applyNumberFormat="1" applyFont="1" applyFill="1" applyBorder="1" applyAlignment="1">
      <alignment horizontal="left" vertical="center" indent="2"/>
    </xf>
    <xf numFmtId="0" fontId="10" fillId="19" borderId="22" xfId="6" applyNumberFormat="1" applyFont="1" applyFill="1" applyBorder="1" applyAlignment="1">
      <alignment horizontal="left" vertical="center" indent="2"/>
    </xf>
    <xf numFmtId="167" fontId="8" fillId="0" borderId="0" xfId="1" applyNumberFormat="1" applyFont="1" applyFill="1" applyBorder="1" applyAlignment="1" applyProtection="1">
      <alignment horizontal="right" vertical="center"/>
    </xf>
    <xf numFmtId="167" fontId="27" fillId="0" borderId="0" xfId="1" applyNumberFormat="1" applyFont="1" applyFill="1" applyBorder="1" applyAlignment="1" applyProtection="1">
      <alignment horizontal="left" vertical="top" wrapText="1"/>
    </xf>
    <xf numFmtId="167" fontId="28" fillId="0" borderId="0" xfId="1" applyNumberFormat="1" applyFont="1" applyFill="1" applyBorder="1" applyAlignment="1" applyProtection="1">
      <alignment horizontal="left" vertical="top" wrapText="1"/>
    </xf>
    <xf numFmtId="41" fontId="10" fillId="0" borderId="16" xfId="20" applyFont="1" applyFill="1" applyBorder="1" applyAlignment="1">
      <alignment horizontal="center" vertical="top"/>
    </xf>
    <xf numFmtId="41" fontId="10" fillId="0" borderId="16" xfId="20" applyFont="1" applyFill="1" applyBorder="1" applyAlignment="1">
      <alignment vertical="top"/>
    </xf>
    <xf numFmtId="41" fontId="10" fillId="0" borderId="21" xfId="20" applyFont="1" applyFill="1" applyBorder="1" applyAlignment="1">
      <alignment horizontal="center" vertical="top"/>
    </xf>
    <xf numFmtId="0" fontId="10" fillId="0" borderId="46" xfId="0" applyFont="1" applyBorder="1" applyAlignment="1">
      <alignment horizontal="left" vertical="top"/>
    </xf>
    <xf numFmtId="41" fontId="10" fillId="0" borderId="18" xfId="20" applyFont="1" applyFill="1" applyBorder="1" applyAlignment="1">
      <alignment vertical="top"/>
    </xf>
    <xf numFmtId="41" fontId="10" fillId="0" borderId="0" xfId="20" applyFont="1" applyFill="1" applyAlignment="1">
      <alignment vertical="top"/>
    </xf>
    <xf numFmtId="41" fontId="10" fillId="0" borderId="29" xfId="20" applyFont="1" applyFill="1" applyBorder="1" applyAlignment="1">
      <alignment horizontal="center" vertical="top"/>
    </xf>
    <xf numFmtId="41" fontId="10" fillId="0" borderId="46" xfId="20" applyFont="1" applyFill="1" applyBorder="1" applyAlignment="1">
      <alignment vertical="top"/>
    </xf>
    <xf numFmtId="43" fontId="10" fillId="0" borderId="22" xfId="1" applyFont="1" applyFill="1" applyBorder="1" applyAlignment="1">
      <alignment vertical="top"/>
    </xf>
    <xf numFmtId="43" fontId="10" fillId="0" borderId="20" xfId="1" applyFont="1" applyFill="1" applyBorder="1" applyAlignment="1">
      <alignment vertical="top"/>
    </xf>
    <xf numFmtId="0" fontId="13" fillId="0" borderId="14" xfId="0" applyFont="1" applyBorder="1" applyAlignment="1">
      <alignment vertical="top"/>
    </xf>
    <xf numFmtId="0" fontId="10" fillId="0" borderId="15" xfId="2" applyFont="1" applyFill="1" applyBorder="1" applyAlignment="1" applyProtection="1">
      <alignment horizontal="center" vertical="top"/>
    </xf>
    <xf numFmtId="0" fontId="10" fillId="0" borderId="20" xfId="2" applyFont="1" applyFill="1" applyBorder="1" applyAlignment="1" applyProtection="1">
      <alignment horizontal="center" vertical="top"/>
    </xf>
    <xf numFmtId="41" fontId="13" fillId="0" borderId="18" xfId="20" applyFont="1" applyBorder="1" applyAlignment="1"/>
    <xf numFmtId="167" fontId="13" fillId="0" borderId="0" xfId="0" applyNumberFormat="1" applyFont="1" applyAlignment="1">
      <alignment vertical="top"/>
    </xf>
    <xf numFmtId="171" fontId="10" fillId="0" borderId="16" xfId="1" applyNumberFormat="1" applyFont="1" applyFill="1" applyBorder="1" applyAlignment="1" applyProtection="1">
      <alignment vertical="top"/>
    </xf>
    <xf numFmtId="167" fontId="10" fillId="0" borderId="15" xfId="0" applyNumberFormat="1" applyFont="1" applyBorder="1" applyAlignment="1">
      <alignment horizontal="left" vertical="top" wrapText="1"/>
    </xf>
    <xf numFmtId="171" fontId="10" fillId="0" borderId="21" xfId="1" applyNumberFormat="1" applyFont="1" applyFill="1" applyBorder="1" applyAlignment="1" applyProtection="1">
      <alignment vertical="top"/>
    </xf>
    <xf numFmtId="167" fontId="10" fillId="0" borderId="21" xfId="0" applyNumberFormat="1" applyFont="1" applyBorder="1" applyAlignment="1">
      <alignment horizontal="left" vertical="top" wrapText="1"/>
    </xf>
    <xf numFmtId="171" fontId="10" fillId="0" borderId="21" xfId="1" applyNumberFormat="1" applyFont="1" applyFill="1" applyBorder="1" applyProtection="1"/>
    <xf numFmtId="167" fontId="10" fillId="0" borderId="21" xfId="3" applyNumberFormat="1" applyFont="1" applyFill="1" applyBorder="1" applyProtection="1"/>
    <xf numFmtId="0" fontId="10" fillId="0" borderId="21" xfId="5" applyFont="1" applyBorder="1" applyAlignment="1">
      <alignment horizontal="left" indent="1"/>
    </xf>
    <xf numFmtId="0" fontId="13" fillId="0" borderId="21" xfId="5" applyFont="1" applyBorder="1" applyAlignment="1">
      <alignment horizontal="left" indent="1"/>
    </xf>
    <xf numFmtId="0" fontId="10" fillId="0" borderId="21" xfId="5" applyFont="1" applyBorder="1" applyAlignment="1">
      <alignment horizontal="left" wrapText="1"/>
    </xf>
    <xf numFmtId="171" fontId="10" fillId="0" borderId="21" xfId="1" applyNumberFormat="1" applyFont="1" applyFill="1" applyBorder="1" applyAlignment="1">
      <alignment vertical="top"/>
    </xf>
    <xf numFmtId="0" fontId="13" fillId="0" borderId="18" xfId="0" applyFont="1" applyBorder="1" applyAlignment="1">
      <alignment horizontal="left" vertical="top" wrapText="1"/>
    </xf>
    <xf numFmtId="9" fontId="13" fillId="0" borderId="0" xfId="21" applyFont="1" applyFill="1" applyAlignment="1">
      <alignment vertical="top"/>
    </xf>
    <xf numFmtId="0" fontId="10" fillId="0" borderId="13" xfId="0" applyFont="1" applyBorder="1" applyAlignment="1">
      <alignment vertical="top" wrapText="1"/>
    </xf>
    <xf numFmtId="167" fontId="10" fillId="0" borderId="0" xfId="5" applyNumberFormat="1" applyFont="1"/>
    <xf numFmtId="167" fontId="13" fillId="0" borderId="18" xfId="5" applyNumberFormat="1" applyFont="1" applyBorder="1" applyAlignment="1">
      <alignment horizontal="center" vertical="center" wrapText="1"/>
    </xf>
    <xf numFmtId="0" fontId="10" fillId="0" borderId="21" xfId="5" applyFont="1" applyBorder="1"/>
    <xf numFmtId="167" fontId="10" fillId="0" borderId="21" xfId="5" applyNumberFormat="1" applyFont="1" applyBorder="1"/>
    <xf numFmtId="167" fontId="10" fillId="0" borderId="21" xfId="0" applyNumberFormat="1" applyFont="1" applyBorder="1" applyAlignment="1">
      <alignment vertical="top" wrapText="1"/>
    </xf>
    <xf numFmtId="0" fontId="13" fillId="0" borderId="21" xfId="0" applyFont="1" applyBorder="1" applyAlignment="1">
      <alignment vertical="top"/>
    </xf>
    <xf numFmtId="0" fontId="13" fillId="0" borderId="18" xfId="0" applyFont="1" applyBorder="1" applyAlignment="1">
      <alignment horizontal="left" vertical="top"/>
    </xf>
    <xf numFmtId="167" fontId="10" fillId="0" borderId="18" xfId="0" applyNumberFormat="1" applyFont="1" applyBorder="1" applyAlignment="1">
      <alignment vertical="top" wrapText="1"/>
    </xf>
    <xf numFmtId="0" fontId="13" fillId="0" borderId="18" xfId="0" applyFont="1" applyBorder="1" applyAlignment="1">
      <alignment vertical="top"/>
    </xf>
    <xf numFmtId="43" fontId="10" fillId="0" borderId="0" xfId="3" applyFont="1" applyFill="1" applyBorder="1" applyAlignment="1" applyProtection="1">
      <alignment horizontal="right" vertical="top" wrapText="1"/>
    </xf>
    <xf numFmtId="167" fontId="10" fillId="0" borderId="0" xfId="5" applyNumberFormat="1" applyFont="1" applyAlignment="1">
      <alignment horizontal="right" vertical="top"/>
    </xf>
    <xf numFmtId="0" fontId="10" fillId="0" borderId="21" xfId="6" applyNumberFormat="1" applyFont="1" applyBorder="1" applyAlignment="1">
      <alignment vertical="top"/>
    </xf>
    <xf numFmtId="167" fontId="10" fillId="0" borderId="22" xfId="3" applyNumberFormat="1" applyFont="1" applyFill="1" applyBorder="1" applyAlignment="1" applyProtection="1">
      <alignment vertical="top"/>
      <protection locked="0"/>
    </xf>
    <xf numFmtId="167" fontId="10" fillId="0" borderId="22" xfId="5" applyNumberFormat="1" applyFont="1" applyBorder="1" applyAlignment="1">
      <alignment horizontal="right" vertical="top"/>
    </xf>
    <xf numFmtId="0" fontId="13" fillId="0" borderId="18" xfId="6" applyNumberFormat="1" applyFont="1" applyBorder="1" applyAlignment="1">
      <alignment horizontal="right" vertical="top"/>
    </xf>
    <xf numFmtId="41" fontId="10" fillId="0" borderId="13" xfId="20" applyFont="1" applyFill="1" applyBorder="1" applyAlignment="1" applyProtection="1">
      <alignment horizontal="right" vertical="top" wrapText="1"/>
    </xf>
    <xf numFmtId="167" fontId="10" fillId="0" borderId="13" xfId="3" applyNumberFormat="1" applyFont="1" applyFill="1" applyBorder="1" applyAlignment="1" applyProtection="1">
      <alignment horizontal="right" vertical="top" wrapText="1"/>
    </xf>
    <xf numFmtId="9" fontId="10" fillId="0" borderId="0" xfId="21" applyFont="1" applyFill="1" applyAlignment="1">
      <alignment vertical="top"/>
    </xf>
    <xf numFmtId="9" fontId="10" fillId="0" borderId="0" xfId="21" applyFont="1" applyFill="1" applyBorder="1" applyAlignment="1">
      <alignment horizontal="left" vertical="top"/>
    </xf>
    <xf numFmtId="9" fontId="10" fillId="0" borderId="0" xfId="21" applyFont="1" applyFill="1" applyAlignment="1">
      <alignment horizontal="left" vertical="top"/>
    </xf>
    <xf numFmtId="0" fontId="13" fillId="0" borderId="0" xfId="5" quotePrefix="1" applyFont="1" applyAlignment="1">
      <alignment horizontal="center" vertical="top" wrapText="1"/>
    </xf>
    <xf numFmtId="0" fontId="13" fillId="0" borderId="0" xfId="5" quotePrefix="1" applyFont="1" applyAlignment="1">
      <alignment horizontal="center" vertical="top"/>
    </xf>
    <xf numFmtId="0" fontId="13" fillId="0" borderId="0" xfId="1" applyNumberFormat="1" applyFont="1" applyFill="1" applyBorder="1" applyAlignment="1">
      <alignment horizontal="center" vertical="top"/>
    </xf>
    <xf numFmtId="168" fontId="13" fillId="0" borderId="0" xfId="1" applyNumberFormat="1" applyFont="1" applyFill="1" applyBorder="1" applyAlignment="1">
      <alignment horizontal="center" vertical="top"/>
    </xf>
    <xf numFmtId="0" fontId="14" fillId="0" borderId="0" xfId="5" quotePrefix="1" applyFont="1" applyAlignment="1">
      <alignment horizontal="left" vertical="top" wrapText="1"/>
    </xf>
    <xf numFmtId="0" fontId="17" fillId="0" borderId="0" xfId="1" applyNumberFormat="1" applyFont="1" applyFill="1" applyBorder="1" applyAlignment="1">
      <alignment horizontal="center" vertical="top"/>
    </xf>
    <xf numFmtId="0" fontId="14" fillId="0" borderId="0" xfId="5" quotePrefix="1" applyFont="1" applyAlignment="1">
      <alignment horizontal="justify" vertical="top" wrapText="1"/>
    </xf>
    <xf numFmtId="2" fontId="13" fillId="0" borderId="0" xfId="1" applyNumberFormat="1" applyFont="1" applyFill="1" applyBorder="1" applyAlignment="1">
      <alignment horizontal="center" vertical="top"/>
    </xf>
    <xf numFmtId="2" fontId="13" fillId="0" borderId="0" xfId="1" applyNumberFormat="1" applyFont="1" applyFill="1" applyBorder="1" applyAlignment="1">
      <alignment horizontal="right" vertical="top"/>
    </xf>
    <xf numFmtId="2" fontId="13" fillId="0" borderId="0" xfId="1" quotePrefix="1" applyNumberFormat="1" applyFont="1" applyFill="1" applyBorder="1" applyAlignment="1">
      <alignment horizontal="center" vertical="top"/>
    </xf>
    <xf numFmtId="0" fontId="13" fillId="0" borderId="0" xfId="5" quotePrefix="1" applyFont="1" applyAlignment="1">
      <alignment horizontal="justify" vertical="top" wrapText="1"/>
    </xf>
    <xf numFmtId="167" fontId="10" fillId="13" borderId="0" xfId="1" applyNumberFormat="1" applyFont="1" applyFill="1"/>
    <xf numFmtId="167" fontId="10" fillId="0" borderId="0" xfId="1" applyNumberFormat="1" applyFont="1"/>
    <xf numFmtId="167" fontId="13" fillId="0" borderId="13" xfId="1" applyNumberFormat="1" applyFont="1" applyBorder="1" applyAlignment="1">
      <alignment horizontal="center" vertical="center" wrapText="1"/>
    </xf>
    <xf numFmtId="167" fontId="10" fillId="0" borderId="22" xfId="1" applyNumberFormat="1" applyFont="1" applyBorder="1"/>
    <xf numFmtId="167" fontId="10" fillId="5" borderId="21" xfId="1" applyNumberFormat="1" applyFont="1" applyFill="1" applyBorder="1" applyAlignment="1">
      <alignment horizontal="left" vertical="center"/>
    </xf>
    <xf numFmtId="167" fontId="10" fillId="0" borderId="16" xfId="1" applyNumberFormat="1" applyFont="1" applyBorder="1" applyAlignment="1"/>
    <xf numFmtId="167" fontId="10" fillId="0" borderId="21" xfId="1" applyNumberFormat="1" applyFont="1" applyBorder="1" applyAlignment="1"/>
    <xf numFmtId="167" fontId="10" fillId="5" borderId="21" xfId="1" applyNumberFormat="1" applyFont="1" applyFill="1" applyBorder="1" applyAlignment="1">
      <alignment horizontal="left"/>
    </xf>
    <xf numFmtId="167" fontId="10" fillId="5" borderId="21" xfId="1" applyNumberFormat="1" applyFont="1" applyFill="1" applyBorder="1" applyAlignment="1">
      <alignment vertical="center"/>
    </xf>
    <xf numFmtId="167" fontId="10" fillId="0" borderId="18" xfId="1" applyNumberFormat="1" applyFont="1" applyBorder="1" applyAlignment="1"/>
    <xf numFmtId="167" fontId="10" fillId="0" borderId="0" xfId="1" applyNumberFormat="1" applyFont="1" applyAlignment="1">
      <alignment horizontal="justify" vertical="top" wrapText="1"/>
    </xf>
    <xf numFmtId="167" fontId="10" fillId="0" borderId="21" xfId="1" applyNumberFormat="1" applyFont="1" applyBorder="1" applyAlignment="1">
      <alignment horizontal="justify" vertical="top" wrapText="1"/>
    </xf>
    <xf numFmtId="167" fontId="10" fillId="0" borderId="22" xfId="1" applyNumberFormat="1" applyFont="1" applyBorder="1" applyAlignment="1">
      <alignment horizontal="justify" vertical="top" wrapText="1"/>
    </xf>
    <xf numFmtId="167" fontId="10" fillId="0" borderId="13" xfId="1" applyNumberFormat="1" applyFont="1" applyFill="1" applyBorder="1" applyAlignment="1">
      <alignment horizontal="justify" vertical="top" wrapText="1"/>
    </xf>
    <xf numFmtId="167" fontId="10" fillId="0" borderId="0" xfId="1" applyNumberFormat="1" applyFont="1" applyAlignment="1">
      <alignment horizontal="right"/>
    </xf>
    <xf numFmtId="167" fontId="13" fillId="0" borderId="13" xfId="1" applyNumberFormat="1" applyFont="1" applyBorder="1" applyAlignment="1">
      <alignment horizontal="center" vertical="top" wrapText="1"/>
    </xf>
    <xf numFmtId="167" fontId="13" fillId="0" borderId="22" xfId="1" applyNumberFormat="1" applyFont="1" applyFill="1" applyBorder="1" applyAlignment="1">
      <alignment horizontal="center" vertical="center"/>
    </xf>
    <xf numFmtId="167" fontId="13" fillId="0" borderId="20" xfId="1" applyNumberFormat="1" applyFont="1" applyFill="1" applyBorder="1" applyAlignment="1">
      <alignment horizontal="center" vertical="center"/>
    </xf>
    <xf numFmtId="167" fontId="10" fillId="6" borderId="22" xfId="1" applyNumberFormat="1" applyFont="1" applyFill="1" applyBorder="1" applyAlignment="1" applyProtection="1">
      <alignment vertical="top"/>
      <protection locked="0"/>
    </xf>
    <xf numFmtId="167" fontId="10" fillId="0" borderId="21" xfId="1" applyNumberFormat="1" applyFont="1" applyBorder="1" applyAlignment="1">
      <alignment horizontal="right" vertical="top"/>
    </xf>
    <xf numFmtId="167" fontId="13" fillId="6" borderId="13" xfId="1" applyNumberFormat="1" applyFont="1" applyFill="1" applyBorder="1" applyAlignment="1" applyProtection="1">
      <alignment horizontal="right" vertical="top" wrapText="1"/>
    </xf>
    <xf numFmtId="167" fontId="13" fillId="9" borderId="13" xfId="1" applyNumberFormat="1" applyFont="1" applyFill="1" applyBorder="1" applyAlignment="1">
      <alignment horizontal="center" vertical="top" wrapText="1"/>
    </xf>
    <xf numFmtId="167" fontId="10" fillId="9" borderId="16" xfId="1" applyNumberFormat="1" applyFont="1" applyFill="1" applyBorder="1" applyAlignment="1" applyProtection="1">
      <alignment vertical="top"/>
      <protection locked="0"/>
    </xf>
    <xf numFmtId="167" fontId="10" fillId="9" borderId="21" xfId="1" applyNumberFormat="1" applyFont="1" applyFill="1" applyBorder="1" applyAlignment="1" applyProtection="1">
      <alignment vertical="top"/>
      <protection locked="0"/>
    </xf>
    <xf numFmtId="167" fontId="13" fillId="6" borderId="0" xfId="1" applyNumberFormat="1" applyFont="1" applyFill="1" applyAlignment="1">
      <alignment horizontal="left" vertical="top"/>
    </xf>
    <xf numFmtId="167" fontId="10" fillId="18" borderId="21" xfId="1" applyNumberFormat="1" applyFont="1" applyFill="1" applyBorder="1" applyAlignment="1">
      <alignment vertical="center"/>
    </xf>
    <xf numFmtId="167" fontId="10" fillId="0" borderId="0" xfId="1" applyNumberFormat="1" applyFont="1" applyAlignment="1">
      <alignment horizontal="right" vertical="top"/>
    </xf>
    <xf numFmtId="167" fontId="10" fillId="0" borderId="15" xfId="1" applyNumberFormat="1" applyFont="1" applyBorder="1" applyAlignment="1">
      <alignment vertical="center"/>
    </xf>
    <xf numFmtId="167" fontId="10" fillId="0" borderId="22" xfId="1" applyNumberFormat="1" applyFont="1" applyBorder="1" applyAlignment="1">
      <alignment vertical="center"/>
    </xf>
    <xf numFmtId="167" fontId="10" fillId="0" borderId="13" xfId="1" applyNumberFormat="1" applyFont="1" applyFill="1" applyBorder="1" applyAlignment="1">
      <alignment vertical="center"/>
    </xf>
    <xf numFmtId="167" fontId="10" fillId="0" borderId="0" xfId="1" applyNumberFormat="1" applyFont="1" applyFill="1" applyBorder="1" applyAlignment="1">
      <alignment vertical="center"/>
    </xf>
    <xf numFmtId="167" fontId="10" fillId="19" borderId="0" xfId="1" applyNumberFormat="1" applyFont="1" applyFill="1" applyAlignment="1">
      <alignment vertical="top"/>
    </xf>
    <xf numFmtId="167" fontId="13" fillId="19" borderId="13" xfId="1" applyNumberFormat="1" applyFont="1" applyFill="1" applyBorder="1" applyAlignment="1">
      <alignment horizontal="center" vertical="top" wrapText="1"/>
    </xf>
    <xf numFmtId="167" fontId="10" fillId="19" borderId="21" xfId="1" applyNumberFormat="1" applyFont="1" applyFill="1" applyBorder="1" applyAlignment="1">
      <alignment vertical="top"/>
    </xf>
    <xf numFmtId="167" fontId="10" fillId="19" borderId="18" xfId="1" applyNumberFormat="1" applyFont="1" applyFill="1" applyBorder="1" applyAlignment="1">
      <alignment vertical="top"/>
    </xf>
    <xf numFmtId="167" fontId="10" fillId="19" borderId="13" xfId="1" applyNumberFormat="1" applyFont="1" applyFill="1" applyBorder="1" applyAlignment="1">
      <alignment vertical="top"/>
    </xf>
    <xf numFmtId="167" fontId="10" fillId="0" borderId="0" xfId="1" applyNumberFormat="1" applyFont="1" applyFill="1"/>
    <xf numFmtId="167" fontId="13" fillId="9" borderId="13" xfId="1" applyNumberFormat="1" applyFont="1" applyFill="1" applyBorder="1" applyAlignment="1">
      <alignment vertical="top"/>
    </xf>
    <xf numFmtId="49" fontId="8" fillId="0" borderId="0" xfId="1" applyNumberFormat="1" applyFont="1" applyFill="1" applyBorder="1" applyAlignment="1" applyProtection="1">
      <alignment horizontal="left" vertical="top" wrapText="1"/>
    </xf>
    <xf numFmtId="49" fontId="11" fillId="0" borderId="0" xfId="1" applyNumberFormat="1" applyFont="1" applyFill="1" applyBorder="1" applyAlignment="1" applyProtection="1">
      <alignment horizontal="left" vertical="top" wrapText="1"/>
    </xf>
    <xf numFmtId="0" fontId="13" fillId="19" borderId="13" xfId="0" applyFont="1" applyFill="1" applyBorder="1" applyAlignment="1">
      <alignment horizontal="center" vertical="center" wrapText="1"/>
    </xf>
    <xf numFmtId="167" fontId="10" fillId="19" borderId="21" xfId="1" applyNumberFormat="1" applyFont="1" applyFill="1" applyBorder="1"/>
    <xf numFmtId="0" fontId="10" fillId="19" borderId="29" xfId="0" applyFont="1" applyFill="1" applyBorder="1" applyAlignment="1">
      <alignment horizontal="left" indent="2"/>
    </xf>
    <xf numFmtId="0" fontId="10" fillId="19" borderId="22" xfId="0" applyFont="1" applyFill="1" applyBorder="1" applyAlignment="1">
      <alignment horizontal="left" indent="2"/>
    </xf>
    <xf numFmtId="167" fontId="10" fillId="19" borderId="22" xfId="1" applyNumberFormat="1" applyFont="1" applyFill="1" applyBorder="1"/>
    <xf numFmtId="167" fontId="10" fillId="19" borderId="13" xfId="1" applyNumberFormat="1" applyFont="1" applyFill="1" applyBorder="1"/>
    <xf numFmtId="0" fontId="10" fillId="19" borderId="14" xfId="0" applyFont="1" applyFill="1" applyBorder="1" applyAlignment="1">
      <alignment horizontal="left" vertical="center"/>
    </xf>
    <xf numFmtId="0" fontId="10" fillId="19" borderId="15" xfId="0" applyFont="1" applyFill="1" applyBorder="1" applyAlignment="1">
      <alignment horizontal="left" vertical="center"/>
    </xf>
    <xf numFmtId="167" fontId="10" fillId="19" borderId="22" xfId="1" applyNumberFormat="1" applyFont="1" applyFill="1" applyBorder="1" applyAlignment="1"/>
    <xf numFmtId="43" fontId="13" fillId="19" borderId="13" xfId="1" applyFont="1" applyFill="1" applyBorder="1" applyAlignment="1">
      <alignment horizontal="center" vertical="center" wrapText="1"/>
    </xf>
    <xf numFmtId="43" fontId="10" fillId="19" borderId="21" xfId="1" applyFont="1" applyFill="1" applyBorder="1"/>
    <xf numFmtId="0" fontId="13" fillId="19" borderId="0" xfId="0" applyFont="1" applyFill="1" applyAlignment="1">
      <alignment horizontal="left" vertical="top"/>
    </xf>
    <xf numFmtId="43" fontId="10" fillId="19" borderId="0" xfId="1" applyFont="1" applyFill="1" applyBorder="1" applyAlignment="1">
      <alignment vertical="top"/>
    </xf>
    <xf numFmtId="0" fontId="10" fillId="19" borderId="14" xfId="0" applyFont="1" applyFill="1" applyBorder="1" applyAlignment="1">
      <alignment horizontal="justify" vertical="top"/>
    </xf>
    <xf numFmtId="0" fontId="10" fillId="19" borderId="15" xfId="0" applyFont="1" applyFill="1" applyBorder="1" applyAlignment="1">
      <alignment horizontal="justify" vertical="top"/>
    </xf>
    <xf numFmtId="0" fontId="10" fillId="19" borderId="29" xfId="0" applyFont="1" applyFill="1" applyBorder="1" applyAlignment="1">
      <alignment horizontal="left" vertical="top" indent="2"/>
    </xf>
    <xf numFmtId="0" fontId="10" fillId="19" borderId="29" xfId="0" applyFont="1" applyFill="1" applyBorder="1" applyAlignment="1">
      <alignment horizontal="left" vertical="top" wrapText="1"/>
    </xf>
    <xf numFmtId="0" fontId="10" fillId="19" borderId="22" xfId="0" applyFont="1" applyFill="1" applyBorder="1" applyAlignment="1">
      <alignment horizontal="left" vertical="top" wrapText="1"/>
    </xf>
    <xf numFmtId="0" fontId="13" fillId="19" borderId="46" xfId="0" applyFont="1" applyFill="1" applyBorder="1" applyAlignment="1">
      <alignment horizontal="right" vertical="top" wrapText="1"/>
    </xf>
    <xf numFmtId="0" fontId="13" fillId="19" borderId="20" xfId="0" applyFont="1" applyFill="1" applyBorder="1" applyAlignment="1">
      <alignment horizontal="right" vertical="top" wrapText="1"/>
    </xf>
    <xf numFmtId="0" fontId="10" fillId="19" borderId="29" xfId="0" applyFont="1" applyFill="1" applyBorder="1" applyAlignment="1">
      <alignment vertical="center"/>
    </xf>
    <xf numFmtId="0" fontId="10" fillId="19" borderId="22" xfId="0" applyFont="1" applyFill="1" applyBorder="1" applyAlignment="1">
      <alignment vertical="center"/>
    </xf>
    <xf numFmtId="0" fontId="10" fillId="19" borderId="29" xfId="6" applyNumberFormat="1" applyFont="1" applyFill="1" applyBorder="1" applyAlignment="1">
      <alignment vertical="center"/>
    </xf>
    <xf numFmtId="0" fontId="10" fillId="19" borderId="22" xfId="6" applyNumberFormat="1" applyFont="1" applyFill="1" applyBorder="1" applyAlignment="1">
      <alignment vertical="center"/>
    </xf>
    <xf numFmtId="0" fontId="10" fillId="19" borderId="29" xfId="0" applyFont="1" applyFill="1" applyBorder="1" applyAlignment="1">
      <alignment horizontal="left" vertical="center" indent="2"/>
    </xf>
    <xf numFmtId="0" fontId="10" fillId="19" borderId="29" xfId="0" applyFont="1" applyFill="1" applyBorder="1" applyAlignment="1">
      <alignment horizontal="left" vertical="top" indent="4"/>
    </xf>
    <xf numFmtId="167" fontId="8" fillId="19" borderId="29" xfId="1" applyNumberFormat="1" applyFont="1" applyFill="1" applyBorder="1" applyProtection="1"/>
    <xf numFmtId="167" fontId="8" fillId="19" borderId="0" xfId="1" applyNumberFormat="1" applyFont="1" applyFill="1" applyBorder="1" applyProtection="1"/>
    <xf numFmtId="167" fontId="8" fillId="19" borderId="21" xfId="1" applyNumberFormat="1" applyFont="1" applyFill="1" applyBorder="1" applyProtection="1"/>
    <xf numFmtId="49" fontId="8" fillId="19" borderId="29" xfId="0" applyNumberFormat="1" applyFont="1" applyFill="1" applyBorder="1"/>
    <xf numFmtId="0" fontId="8" fillId="19" borderId="0" xfId="0" applyFont="1" applyFill="1"/>
    <xf numFmtId="0" fontId="8" fillId="19" borderId="22" xfId="0" applyFont="1" applyFill="1" applyBorder="1"/>
    <xf numFmtId="0" fontId="8" fillId="19" borderId="29" xfId="0" applyFont="1" applyFill="1" applyBorder="1"/>
    <xf numFmtId="0" fontId="8" fillId="19" borderId="46" xfId="0" applyFont="1" applyFill="1" applyBorder="1"/>
    <xf numFmtId="0" fontId="8" fillId="19" borderId="19" xfId="0" applyFont="1" applyFill="1" applyBorder="1"/>
    <xf numFmtId="0" fontId="10" fillId="19" borderId="29" xfId="0" applyFont="1" applyFill="1" applyBorder="1" applyAlignment="1">
      <alignment vertical="top" wrapText="1"/>
    </xf>
    <xf numFmtId="0" fontId="10" fillId="19" borderId="29" xfId="0" applyFont="1" applyFill="1" applyBorder="1" applyAlignment="1">
      <alignment horizontal="left" vertical="top" wrapText="1" indent="2"/>
    </xf>
    <xf numFmtId="0" fontId="10" fillId="19" borderId="29" xfId="0" applyFont="1" applyFill="1" applyBorder="1" applyAlignment="1">
      <alignment horizontal="left" vertical="top" wrapText="1" indent="4"/>
    </xf>
    <xf numFmtId="0" fontId="10" fillId="19" borderId="0" xfId="0" applyFont="1" applyFill="1" applyAlignment="1">
      <alignment horizontal="left" vertical="top" wrapText="1" indent="1"/>
    </xf>
    <xf numFmtId="0" fontId="10" fillId="19" borderId="29" xfId="0" applyFont="1" applyFill="1" applyBorder="1" applyAlignment="1">
      <alignment horizontal="left" vertical="top" wrapText="1" indent="1"/>
    </xf>
    <xf numFmtId="0" fontId="10" fillId="19" borderId="29" xfId="0" applyFont="1" applyFill="1" applyBorder="1" applyAlignment="1">
      <alignment horizontal="left" vertical="top" indent="1"/>
    </xf>
    <xf numFmtId="0" fontId="8" fillId="19" borderId="22" xfId="0" applyFont="1" applyFill="1" applyBorder="1" applyAlignment="1">
      <alignment horizontal="right" vertical="top"/>
    </xf>
    <xf numFmtId="0" fontId="10" fillId="19" borderId="0" xfId="0" applyFont="1" applyFill="1" applyAlignment="1">
      <alignment horizontal="left" vertical="top"/>
    </xf>
    <xf numFmtId="0" fontId="10" fillId="19" borderId="0" xfId="0" applyFont="1" applyFill="1" applyAlignment="1">
      <alignment horizontal="justify" vertical="top" wrapText="1"/>
    </xf>
    <xf numFmtId="41" fontId="10" fillId="19" borderId="21" xfId="20" applyFont="1" applyFill="1" applyBorder="1" applyAlignment="1">
      <alignment horizontal="center" vertical="top" wrapText="1"/>
    </xf>
    <xf numFmtId="0" fontId="10" fillId="19" borderId="0" xfId="0" applyFont="1" applyFill="1" applyAlignment="1">
      <alignment horizontal="left" vertical="top" wrapText="1"/>
    </xf>
    <xf numFmtId="167" fontId="11" fillId="0" borderId="13" xfId="1" applyNumberFormat="1" applyFont="1" applyFill="1" applyBorder="1" applyProtection="1"/>
    <xf numFmtId="167" fontId="16" fillId="0" borderId="7" xfId="1" applyNumberFormat="1" applyFont="1" applyFill="1" applyBorder="1" applyProtection="1"/>
    <xf numFmtId="167" fontId="16" fillId="0" borderId="8" xfId="1" applyNumberFormat="1" applyFont="1" applyFill="1" applyBorder="1" applyProtection="1"/>
    <xf numFmtId="167" fontId="16" fillId="0" borderId="29" xfId="1" applyNumberFormat="1" applyFont="1" applyFill="1" applyBorder="1" applyProtection="1"/>
    <xf numFmtId="167" fontId="8" fillId="0" borderId="21" xfId="1" applyNumberFormat="1" applyFont="1" applyFill="1" applyBorder="1" applyProtection="1"/>
    <xf numFmtId="167" fontId="15" fillId="0" borderId="29" xfId="1" applyNumberFormat="1" applyFont="1" applyFill="1" applyBorder="1" applyProtection="1"/>
    <xf numFmtId="167" fontId="15" fillId="0" borderId="8" xfId="1" applyNumberFormat="1" applyFont="1" applyFill="1" applyBorder="1" applyProtection="1"/>
    <xf numFmtId="167" fontId="8" fillId="0" borderId="17" xfId="1" applyNumberFormat="1" applyFont="1" applyFill="1" applyBorder="1" applyProtection="1"/>
    <xf numFmtId="167" fontId="11" fillId="0" borderId="17" xfId="1" applyNumberFormat="1" applyFont="1" applyFill="1" applyBorder="1" applyAlignment="1" applyProtection="1">
      <alignment horizontal="left" vertical="center"/>
    </xf>
    <xf numFmtId="167" fontId="8" fillId="0" borderId="15" xfId="1" applyNumberFormat="1" applyFont="1" applyFill="1" applyBorder="1" applyAlignment="1" applyProtection="1">
      <alignment horizontal="right" vertical="center"/>
    </xf>
    <xf numFmtId="167" fontId="15" fillId="0" borderId="0" xfId="1" applyNumberFormat="1" applyFont="1" applyFill="1" applyBorder="1" applyProtection="1"/>
    <xf numFmtId="167" fontId="8" fillId="0" borderId="7" xfId="1" applyNumberFormat="1" applyFont="1" applyFill="1" applyBorder="1" applyProtection="1"/>
    <xf numFmtId="0" fontId="10" fillId="19" borderId="21" xfId="0" applyFont="1" applyFill="1" applyBorder="1" applyAlignment="1">
      <alignment horizontal="left" vertical="top"/>
    </xf>
    <xf numFmtId="41" fontId="10" fillId="19" borderId="21" xfId="20" applyFont="1" applyFill="1" applyBorder="1" applyAlignment="1" applyProtection="1">
      <alignment horizontal="center" vertical="top" wrapText="1"/>
    </xf>
    <xf numFmtId="41" fontId="10" fillId="19" borderId="21" xfId="20" applyFont="1" applyFill="1" applyBorder="1" applyAlignment="1">
      <alignment horizontal="center" vertical="top"/>
    </xf>
    <xf numFmtId="41" fontId="10" fillId="19" borderId="21" xfId="20" applyFont="1" applyFill="1" applyBorder="1" applyAlignment="1">
      <alignment horizontal="left" vertical="top" wrapText="1"/>
    </xf>
    <xf numFmtId="41" fontId="10" fillId="19" borderId="21" xfId="20" applyFont="1" applyFill="1" applyBorder="1" applyAlignment="1">
      <alignment horizontal="left" vertical="top"/>
    </xf>
    <xf numFmtId="41" fontId="10" fillId="19" borderId="18" xfId="20" applyFont="1" applyFill="1" applyBorder="1" applyAlignment="1">
      <alignment horizontal="left" vertical="top" wrapText="1"/>
    </xf>
    <xf numFmtId="0" fontId="10" fillId="19" borderId="13" xfId="0" applyFont="1" applyFill="1" applyBorder="1" applyAlignment="1">
      <alignment horizontal="left" vertical="top"/>
    </xf>
    <xf numFmtId="0" fontId="10" fillId="19" borderId="13" xfId="0" applyFont="1" applyFill="1" applyBorder="1" applyAlignment="1">
      <alignment horizontal="center" vertical="top"/>
    </xf>
    <xf numFmtId="0" fontId="14" fillId="19" borderId="21" xfId="0" applyFont="1" applyFill="1" applyBorder="1" applyAlignment="1">
      <alignment horizontal="left" vertical="top"/>
    </xf>
    <xf numFmtId="0" fontId="14" fillId="19" borderId="21" xfId="0" applyFont="1" applyFill="1" applyBorder="1" applyAlignment="1">
      <alignment horizontal="left" vertical="top" indent="2"/>
    </xf>
    <xf numFmtId="41" fontId="10" fillId="19" borderId="21" xfId="20" applyFont="1" applyFill="1" applyBorder="1" applyAlignment="1">
      <alignment vertical="top" wrapText="1"/>
    </xf>
    <xf numFmtId="41" fontId="10" fillId="19" borderId="13" xfId="20" applyFont="1" applyFill="1" applyBorder="1" applyAlignment="1">
      <alignment horizontal="left" vertical="top" wrapText="1"/>
    </xf>
    <xf numFmtId="0" fontId="10" fillId="19" borderId="21" xfId="0" applyFont="1" applyFill="1" applyBorder="1" applyAlignment="1">
      <alignment horizontal="left" vertical="top" indent="2"/>
    </xf>
    <xf numFmtId="0" fontId="8" fillId="13" borderId="0" xfId="0" applyFont="1" applyFill="1" applyAlignment="1">
      <alignment wrapText="1"/>
    </xf>
    <xf numFmtId="167" fontId="8" fillId="13" borderId="0" xfId="1" applyNumberFormat="1" applyFont="1" applyFill="1" applyAlignment="1" applyProtection="1">
      <alignment wrapText="1"/>
    </xf>
    <xf numFmtId="0" fontId="23" fillId="13" borderId="0" xfId="0" applyFont="1" applyFill="1" applyAlignment="1">
      <alignment wrapText="1"/>
    </xf>
    <xf numFmtId="43" fontId="10" fillId="19" borderId="0" xfId="1" applyFont="1" applyFill="1" applyAlignment="1">
      <alignment horizontal="justify" vertical="top" wrapText="1"/>
    </xf>
    <xf numFmtId="0" fontId="10" fillId="19" borderId="0" xfId="0" applyFont="1" applyFill="1" applyAlignment="1">
      <alignment horizontal="right" vertical="top"/>
    </xf>
    <xf numFmtId="0" fontId="13" fillId="6" borderId="0" xfId="6" applyNumberFormat="1" applyFont="1" applyFill="1" applyAlignment="1">
      <alignment horizontal="right" vertical="center"/>
    </xf>
    <xf numFmtId="0" fontId="13" fillId="19" borderId="0" xfId="6" applyNumberFormat="1" applyFont="1" applyFill="1" applyAlignment="1">
      <alignment horizontal="right" vertical="center"/>
    </xf>
    <xf numFmtId="0" fontId="13" fillId="9" borderId="0" xfId="6" applyNumberFormat="1" applyFont="1" applyFill="1" applyAlignment="1">
      <alignment horizontal="right" vertical="top"/>
    </xf>
    <xf numFmtId="0" fontId="13" fillId="0" borderId="0" xfId="6" applyNumberFormat="1" applyFont="1" applyAlignment="1">
      <alignment horizontal="right" vertical="top"/>
    </xf>
    <xf numFmtId="0" fontId="10" fillId="19" borderId="0" xfId="0" applyFont="1" applyFill="1"/>
    <xf numFmtId="0" fontId="13" fillId="19" borderId="0" xfId="0" applyFont="1" applyFill="1" applyAlignment="1">
      <alignment horizontal="right" vertical="top"/>
    </xf>
    <xf numFmtId="0" fontId="13" fillId="19" borderId="0" xfId="0" applyFont="1" applyFill="1" applyAlignment="1">
      <alignment horizontal="right" vertical="center"/>
    </xf>
    <xf numFmtId="0" fontId="10" fillId="19" borderId="0" xfId="0" applyFont="1" applyFill="1" applyAlignment="1">
      <alignment horizontal="center" vertical="top"/>
    </xf>
    <xf numFmtId="0" fontId="13" fillId="19" borderId="0" xfId="6" applyNumberFormat="1" applyFont="1" applyFill="1" applyAlignment="1">
      <alignment horizontal="right" vertical="top"/>
    </xf>
    <xf numFmtId="0" fontId="13" fillId="19" borderId="0" xfId="0" applyFont="1" applyFill="1" applyAlignment="1">
      <alignment horizontal="right" vertical="top" wrapText="1"/>
    </xf>
    <xf numFmtId="167" fontId="13" fillId="19" borderId="0" xfId="1" applyNumberFormat="1" applyFont="1" applyFill="1" applyBorder="1" applyAlignment="1">
      <alignment horizontal="center" vertical="center"/>
    </xf>
    <xf numFmtId="167" fontId="10" fillId="19" borderId="0" xfId="1" applyNumberFormat="1" applyFont="1" applyFill="1" applyBorder="1" applyAlignment="1">
      <alignment horizontal="left" vertical="center"/>
    </xf>
    <xf numFmtId="43" fontId="13" fillId="19" borderId="21" xfId="1" applyFont="1" applyFill="1" applyBorder="1" applyAlignment="1">
      <alignment horizontal="left" vertical="top"/>
    </xf>
    <xf numFmtId="43" fontId="13" fillId="19" borderId="18" xfId="1" applyFont="1" applyFill="1" applyBorder="1" applyAlignment="1">
      <alignment horizontal="left" vertical="top"/>
    </xf>
    <xf numFmtId="0" fontId="10" fillId="19" borderId="0" xfId="5" applyFont="1" applyFill="1" applyAlignment="1">
      <alignment horizontal="left" vertical="top"/>
    </xf>
    <xf numFmtId="0" fontId="10" fillId="19" borderId="21" xfId="6" applyNumberFormat="1" applyFont="1" applyFill="1" applyBorder="1" applyAlignment="1">
      <alignment vertical="top"/>
    </xf>
    <xf numFmtId="0" fontId="13" fillId="19" borderId="18" xfId="6" applyNumberFormat="1" applyFont="1" applyFill="1" applyBorder="1" applyAlignment="1">
      <alignment horizontal="right" vertical="top"/>
    </xf>
    <xf numFmtId="167" fontId="10" fillId="0" borderId="0" xfId="1" applyNumberFormat="1" applyFont="1" applyBorder="1" applyAlignment="1">
      <alignment horizontal="left" vertical="top" wrapText="1"/>
    </xf>
    <xf numFmtId="167" fontId="13" fillId="0" borderId="7" xfId="1" applyNumberFormat="1" applyFont="1" applyBorder="1" applyAlignment="1">
      <alignment horizontal="center" vertical="top" wrapText="1"/>
    </xf>
    <xf numFmtId="167" fontId="10" fillId="6" borderId="16" xfId="1" applyNumberFormat="1" applyFont="1" applyFill="1" applyBorder="1" applyAlignment="1">
      <alignment vertical="top"/>
    </xf>
    <xf numFmtId="167" fontId="10" fillId="0" borderId="21" xfId="1" applyNumberFormat="1" applyFont="1" applyBorder="1" applyAlignment="1">
      <alignment vertical="center"/>
    </xf>
    <xf numFmtId="167" fontId="10" fillId="6" borderId="30" xfId="1" applyNumberFormat="1" applyFont="1" applyFill="1" applyBorder="1" applyAlignment="1">
      <alignment vertical="top"/>
    </xf>
    <xf numFmtId="167" fontId="10" fillId="6" borderId="21" xfId="1" applyNumberFormat="1" applyFont="1" applyFill="1" applyBorder="1" applyAlignment="1">
      <alignment vertical="top"/>
    </xf>
    <xf numFmtId="167" fontId="10" fillId="0" borderId="17" xfId="1" applyNumberFormat="1" applyFont="1" applyBorder="1" applyAlignment="1">
      <alignment horizontal="center" vertical="top"/>
    </xf>
    <xf numFmtId="167" fontId="13" fillId="0" borderId="0" xfId="1" applyNumberFormat="1" applyFont="1" applyAlignment="1">
      <alignment vertical="top"/>
    </xf>
    <xf numFmtId="167" fontId="10" fillId="0" borderId="0" xfId="1" applyNumberFormat="1" applyFont="1" applyBorder="1" applyAlignment="1"/>
    <xf numFmtId="167" fontId="10" fillId="0" borderId="19" xfId="1" applyNumberFormat="1" applyFont="1" applyBorder="1" applyAlignment="1">
      <alignment vertical="top"/>
    </xf>
    <xf numFmtId="167" fontId="10" fillId="0" borderId="21" xfId="1" applyNumberFormat="1" applyFont="1" applyBorder="1"/>
    <xf numFmtId="167" fontId="13" fillId="0" borderId="38" xfId="1" applyNumberFormat="1" applyFont="1" applyBorder="1" applyAlignment="1"/>
    <xf numFmtId="167" fontId="10" fillId="0" borderId="16" xfId="1" applyNumberFormat="1" applyFont="1" applyBorder="1"/>
    <xf numFmtId="167" fontId="10" fillId="0" borderId="13" xfId="1" applyNumberFormat="1" applyFont="1" applyBorder="1"/>
    <xf numFmtId="167" fontId="10" fillId="0" borderId="18" xfId="1" applyNumberFormat="1" applyFont="1" applyBorder="1"/>
    <xf numFmtId="167" fontId="13" fillId="0" borderId="16" xfId="1" applyNumberFormat="1" applyFont="1" applyBorder="1" applyAlignment="1"/>
    <xf numFmtId="167" fontId="10" fillId="0" borderId="38" xfId="1" applyNumberFormat="1" applyFont="1" applyBorder="1" applyAlignment="1"/>
    <xf numFmtId="167" fontId="13" fillId="0" borderId="18" xfId="1" applyNumberFormat="1" applyFont="1" applyBorder="1" applyAlignment="1">
      <alignment wrapText="1"/>
    </xf>
    <xf numFmtId="167" fontId="10" fillId="0" borderId="17" xfId="1" applyNumberFormat="1" applyFont="1" applyBorder="1" applyAlignment="1">
      <alignment vertical="top"/>
    </xf>
    <xf numFmtId="167" fontId="13" fillId="0" borderId="0" xfId="1" applyNumberFormat="1" applyFont="1" applyAlignment="1">
      <alignment horizontal="left" vertical="top"/>
    </xf>
    <xf numFmtId="167" fontId="10" fillId="0" borderId="0" xfId="1" applyNumberFormat="1" applyFont="1" applyAlignment="1">
      <alignment horizontal="left" vertical="top"/>
    </xf>
    <xf numFmtId="167" fontId="13" fillId="0" borderId="0" xfId="1" applyNumberFormat="1" applyFont="1" applyAlignment="1">
      <alignment horizontal="right" vertical="top"/>
    </xf>
    <xf numFmtId="167" fontId="10" fillId="0" borderId="20" xfId="1" applyNumberFormat="1" applyFont="1" applyBorder="1"/>
    <xf numFmtId="167" fontId="10" fillId="0" borderId="15" xfId="1" applyNumberFormat="1" applyFont="1" applyBorder="1" applyAlignment="1">
      <alignment horizontal="center" vertical="top"/>
    </xf>
    <xf numFmtId="167" fontId="13" fillId="0" borderId="22" xfId="1" applyNumberFormat="1" applyFont="1" applyBorder="1" applyAlignment="1">
      <alignment vertical="top"/>
    </xf>
    <xf numFmtId="167" fontId="10" fillId="0" borderId="22" xfId="1" applyNumberFormat="1" applyFont="1" applyFill="1" applyBorder="1" applyAlignment="1" applyProtection="1">
      <alignment vertical="top"/>
    </xf>
    <xf numFmtId="167" fontId="0" fillId="0" borderId="22" xfId="1" applyNumberFormat="1" applyFont="1" applyBorder="1"/>
    <xf numFmtId="167" fontId="13" fillId="0" borderId="22" xfId="1" applyNumberFormat="1" applyFont="1" applyBorder="1" applyAlignment="1">
      <alignment horizontal="left" vertical="center"/>
    </xf>
    <xf numFmtId="167" fontId="13" fillId="0" borderId="22" xfId="1" applyNumberFormat="1" applyFont="1" applyBorder="1" applyAlignment="1">
      <alignment horizontal="left" vertical="top"/>
    </xf>
    <xf numFmtId="167" fontId="10" fillId="0" borderId="22" xfId="1" applyNumberFormat="1" applyFont="1" applyBorder="1" applyAlignment="1">
      <alignment horizontal="left" vertical="top"/>
    </xf>
    <xf numFmtId="167" fontId="10" fillId="0" borderId="20" xfId="1" applyNumberFormat="1" applyFont="1" applyBorder="1" applyAlignment="1">
      <alignment vertical="top"/>
    </xf>
    <xf numFmtId="167" fontId="13" fillId="19" borderId="13" xfId="1" applyNumberFormat="1" applyFont="1" applyFill="1" applyBorder="1" applyAlignment="1">
      <alignment horizontal="center" vertical="center" wrapText="1"/>
    </xf>
    <xf numFmtId="167" fontId="10" fillId="19" borderId="0" xfId="1" applyNumberFormat="1" applyFont="1" applyFill="1" applyAlignment="1">
      <alignment horizontal="justify" vertical="top" wrapText="1"/>
    </xf>
    <xf numFmtId="167" fontId="10" fillId="19" borderId="0" xfId="1" applyNumberFormat="1" applyFont="1" applyFill="1" applyBorder="1" applyAlignment="1">
      <alignment vertical="top"/>
    </xf>
    <xf numFmtId="167" fontId="10" fillId="19" borderId="16" xfId="1" applyNumberFormat="1" applyFont="1" applyFill="1" applyBorder="1" applyAlignment="1">
      <alignment vertical="top"/>
    </xf>
    <xf numFmtId="167" fontId="10" fillId="19" borderId="13" xfId="1" applyNumberFormat="1" applyFont="1" applyFill="1" applyBorder="1" applyAlignment="1">
      <alignment horizontal="right" vertical="top" wrapText="1"/>
    </xf>
    <xf numFmtId="167" fontId="10" fillId="19" borderId="21" xfId="1" applyNumberFormat="1" applyFont="1" applyFill="1" applyBorder="1" applyAlignment="1">
      <alignment horizontal="right" vertical="top" wrapText="1"/>
    </xf>
    <xf numFmtId="167" fontId="13" fillId="19" borderId="13" xfId="1" applyNumberFormat="1" applyFont="1" applyFill="1" applyBorder="1" applyAlignment="1">
      <alignment horizontal="right" vertical="top" wrapText="1"/>
    </xf>
    <xf numFmtId="167" fontId="13" fillId="19" borderId="22" xfId="1" applyNumberFormat="1" applyFont="1" applyFill="1" applyBorder="1" applyAlignment="1">
      <alignment horizontal="center" vertical="center"/>
    </xf>
    <xf numFmtId="167" fontId="10" fillId="19" borderId="21" xfId="1" applyNumberFormat="1" applyFont="1" applyFill="1" applyBorder="1" applyAlignment="1" applyProtection="1">
      <alignment horizontal="right" vertical="top" wrapText="1"/>
    </xf>
    <xf numFmtId="167" fontId="10" fillId="19" borderId="22" xfId="1" applyNumberFormat="1" applyFont="1" applyFill="1" applyBorder="1" applyAlignment="1" applyProtection="1">
      <alignment vertical="top"/>
      <protection locked="0"/>
    </xf>
    <xf numFmtId="167" fontId="10" fillId="19" borderId="22" xfId="1" applyNumberFormat="1" applyFont="1" applyFill="1" applyBorder="1" applyAlignment="1">
      <alignment horizontal="right" vertical="top"/>
    </xf>
    <xf numFmtId="167" fontId="10" fillId="19" borderId="21" xfId="1" applyNumberFormat="1" applyFont="1" applyFill="1" applyBorder="1" applyAlignment="1">
      <alignment horizontal="right" vertical="top"/>
    </xf>
    <xf numFmtId="167" fontId="13" fillId="6" borderId="0" xfId="1" applyNumberFormat="1" applyFont="1" applyFill="1" applyBorder="1" applyAlignment="1" applyProtection="1">
      <alignment horizontal="right" vertical="top" wrapText="1"/>
    </xf>
    <xf numFmtId="167" fontId="13" fillId="19" borderId="0" xfId="1" applyNumberFormat="1" applyFont="1" applyFill="1" applyBorder="1" applyAlignment="1" applyProtection="1">
      <alignment horizontal="right" vertical="top" wrapText="1"/>
    </xf>
    <xf numFmtId="167" fontId="10" fillId="0" borderId="0" xfId="1" applyNumberFormat="1" applyFont="1" applyFill="1" applyBorder="1" applyAlignment="1" applyProtection="1">
      <alignment horizontal="right" vertical="top" wrapText="1"/>
    </xf>
    <xf numFmtId="167" fontId="10" fillId="9" borderId="0" xfId="1" applyNumberFormat="1" applyFont="1" applyFill="1" applyBorder="1" applyAlignment="1" applyProtection="1">
      <alignment horizontal="right" vertical="top" wrapText="1"/>
    </xf>
    <xf numFmtId="167" fontId="10" fillId="19" borderId="0" xfId="1" applyNumberFormat="1" applyFont="1" applyFill="1"/>
    <xf numFmtId="167" fontId="10" fillId="19" borderId="0" xfId="1" applyNumberFormat="1" applyFont="1" applyFill="1" applyBorder="1" applyAlignment="1">
      <alignment vertical="center"/>
    </xf>
    <xf numFmtId="167" fontId="13" fillId="0" borderId="0" xfId="1" applyNumberFormat="1" applyFont="1" applyAlignment="1">
      <alignment horizontal="left"/>
    </xf>
    <xf numFmtId="167" fontId="10" fillId="0" borderId="0" xfId="1" applyNumberFormat="1" applyFont="1" applyAlignment="1">
      <alignment horizontal="center"/>
    </xf>
    <xf numFmtId="167" fontId="13" fillId="5" borderId="0" xfId="1" applyNumberFormat="1" applyFont="1" applyFill="1" applyAlignment="1">
      <alignment horizontal="left"/>
    </xf>
    <xf numFmtId="167" fontId="13" fillId="6" borderId="0" xfId="1" applyNumberFormat="1" applyFont="1" applyFill="1" applyAlignment="1">
      <alignment horizontal="left" wrapText="1"/>
    </xf>
    <xf numFmtId="167" fontId="10" fillId="5" borderId="18" xfId="1" applyNumberFormat="1" applyFont="1" applyFill="1" applyBorder="1" applyAlignment="1">
      <alignment horizontal="left" vertical="center"/>
    </xf>
    <xf numFmtId="167" fontId="12" fillId="5" borderId="21" xfId="1" applyNumberFormat="1" applyFont="1" applyFill="1" applyBorder="1" applyAlignment="1"/>
    <xf numFmtId="167" fontId="10" fillId="5" borderId="21" xfId="1" applyNumberFormat="1" applyFont="1" applyFill="1" applyBorder="1" applyAlignment="1"/>
    <xf numFmtId="167" fontId="13" fillId="19" borderId="21" xfId="1" applyNumberFormat="1" applyFont="1" applyFill="1" applyBorder="1" applyAlignment="1">
      <alignment horizontal="right" vertical="top" wrapText="1"/>
    </xf>
    <xf numFmtId="167" fontId="10" fillId="0" borderId="21" xfId="1" applyNumberFormat="1" applyFont="1" applyFill="1" applyBorder="1" applyAlignment="1">
      <alignment horizontal="center" vertical="center"/>
    </xf>
    <xf numFmtId="167" fontId="10" fillId="0" borderId="18" xfId="1" applyNumberFormat="1" applyFont="1" applyFill="1" applyBorder="1" applyAlignment="1">
      <alignment horizontal="center" vertical="center"/>
    </xf>
    <xf numFmtId="167" fontId="13" fillId="19" borderId="21" xfId="1" applyNumberFormat="1" applyFont="1" applyFill="1" applyBorder="1" applyAlignment="1">
      <alignment horizontal="center" vertical="center"/>
    </xf>
    <xf numFmtId="167" fontId="10" fillId="0" borderId="16" xfId="1" applyNumberFormat="1" applyFont="1" applyBorder="1" applyAlignment="1">
      <alignment vertical="center"/>
    </xf>
    <xf numFmtId="167" fontId="10" fillId="0" borderId="18" xfId="1" applyNumberFormat="1" applyFont="1" applyBorder="1" applyAlignment="1">
      <alignment vertical="center"/>
    </xf>
    <xf numFmtId="167" fontId="13" fillId="9" borderId="21" xfId="1" applyNumberFormat="1" applyFont="1" applyFill="1" applyBorder="1" applyAlignment="1">
      <alignment horizontal="left" vertical="top"/>
    </xf>
    <xf numFmtId="167" fontId="10" fillId="9" borderId="18" xfId="1" applyNumberFormat="1" applyFont="1" applyFill="1" applyBorder="1" applyAlignment="1" applyProtection="1">
      <alignment vertical="top"/>
      <protection locked="0"/>
    </xf>
    <xf numFmtId="167" fontId="13" fillId="0" borderId="0" xfId="1" applyNumberFormat="1" applyFont="1" applyAlignment="1">
      <alignment horizontal="left" vertical="top" wrapText="1"/>
    </xf>
    <xf numFmtId="167" fontId="13" fillId="0" borderId="0" xfId="1" applyNumberFormat="1" applyFont="1" applyFill="1" applyBorder="1" applyAlignment="1">
      <alignment vertical="top"/>
    </xf>
    <xf numFmtId="167" fontId="8" fillId="19" borderId="0" xfId="1" applyNumberFormat="1" applyFont="1" applyFill="1"/>
    <xf numFmtId="167" fontId="8" fillId="19" borderId="19" xfId="1" applyNumberFormat="1" applyFont="1" applyFill="1" applyBorder="1"/>
    <xf numFmtId="167" fontId="8" fillId="19" borderId="21" xfId="1" applyNumberFormat="1" applyFont="1" applyFill="1" applyBorder="1"/>
    <xf numFmtId="167" fontId="8" fillId="19" borderId="18" xfId="1" applyNumberFormat="1" applyFont="1" applyFill="1" applyBorder="1"/>
    <xf numFmtId="167" fontId="8" fillId="19" borderId="21" xfId="1" applyNumberFormat="1" applyFont="1" applyFill="1" applyBorder="1" applyAlignment="1">
      <alignment horizontal="center" vertical="top"/>
    </xf>
    <xf numFmtId="167" fontId="8" fillId="0" borderId="17" xfId="1" applyNumberFormat="1" applyFont="1" applyFill="1" applyBorder="1" applyAlignment="1">
      <alignment horizontal="center" vertical="top"/>
    </xf>
    <xf numFmtId="167" fontId="10" fillId="0" borderId="16" xfId="1" applyNumberFormat="1" applyFont="1" applyBorder="1" applyAlignment="1">
      <alignment vertical="top"/>
    </xf>
    <xf numFmtId="167" fontId="10" fillId="0" borderId="16" xfId="1" applyNumberFormat="1" applyFont="1" applyBorder="1" applyAlignment="1">
      <alignment vertical="top" wrapText="1"/>
    </xf>
    <xf numFmtId="167" fontId="10" fillId="0" borderId="21" xfId="1" applyNumberFormat="1" applyFont="1" applyBorder="1" applyAlignment="1">
      <alignment vertical="top" wrapText="1"/>
    </xf>
    <xf numFmtId="167" fontId="13" fillId="0" borderId="21" xfId="1" applyNumberFormat="1" applyFont="1" applyFill="1" applyBorder="1" applyAlignment="1">
      <alignment vertical="top"/>
    </xf>
    <xf numFmtId="167" fontId="10" fillId="0" borderId="0" xfId="1" applyNumberFormat="1" applyFont="1" applyAlignment="1">
      <alignment vertical="top" wrapText="1"/>
    </xf>
    <xf numFmtId="167" fontId="10" fillId="19" borderId="21" xfId="1" applyNumberFormat="1" applyFont="1" applyFill="1" applyBorder="1" applyAlignment="1">
      <alignment horizontal="center" vertical="top"/>
    </xf>
    <xf numFmtId="167" fontId="10" fillId="19" borderId="21" xfId="1" applyNumberFormat="1" applyFont="1" applyFill="1" applyBorder="1" applyAlignment="1">
      <alignment horizontal="left" vertical="top"/>
    </xf>
    <xf numFmtId="167" fontId="10" fillId="19" borderId="13" xfId="1" applyNumberFormat="1" applyFont="1" applyFill="1" applyBorder="1" applyAlignment="1">
      <alignment horizontal="center" vertical="top"/>
    </xf>
    <xf numFmtId="167" fontId="13" fillId="19" borderId="18" xfId="1" applyNumberFormat="1" applyFont="1" applyFill="1" applyBorder="1" applyAlignment="1">
      <alignment horizontal="center" vertical="center"/>
    </xf>
    <xf numFmtId="167" fontId="10" fillId="19" borderId="21" xfId="1" applyNumberFormat="1" applyFont="1" applyFill="1" applyBorder="1" applyAlignment="1">
      <alignment horizontal="left" vertical="top" wrapText="1"/>
    </xf>
    <xf numFmtId="167" fontId="10" fillId="19" borderId="13" xfId="1" applyNumberFormat="1" applyFont="1" applyFill="1" applyBorder="1" applyAlignment="1">
      <alignment horizontal="left" vertical="top" wrapText="1"/>
    </xf>
    <xf numFmtId="167" fontId="10" fillId="0" borderId="0" xfId="1" applyNumberFormat="1" applyFont="1" applyAlignment="1">
      <alignment horizontal="left" vertical="top" wrapText="1"/>
    </xf>
    <xf numFmtId="167" fontId="10" fillId="4" borderId="0" xfId="1" applyNumberFormat="1" applyFont="1" applyFill="1" applyAlignment="1">
      <alignment vertical="top" wrapText="1"/>
    </xf>
    <xf numFmtId="167" fontId="13" fillId="19" borderId="13" xfId="1" applyNumberFormat="1" applyFont="1" applyFill="1" applyBorder="1" applyAlignment="1">
      <alignment horizontal="center" vertical="top"/>
    </xf>
    <xf numFmtId="167" fontId="10" fillId="19" borderId="0" xfId="1" applyNumberFormat="1" applyFont="1" applyFill="1" applyAlignment="1">
      <alignment horizontal="center" vertical="top"/>
    </xf>
    <xf numFmtId="167" fontId="13" fillId="0" borderId="13" xfId="1" applyNumberFormat="1" applyFont="1" applyFill="1" applyBorder="1" applyAlignment="1">
      <alignment horizontal="center" vertical="top"/>
    </xf>
    <xf numFmtId="167" fontId="13" fillId="0" borderId="0" xfId="1" applyNumberFormat="1" applyFont="1" applyFill="1" applyBorder="1" applyAlignment="1">
      <alignment horizontal="center" vertical="top"/>
    </xf>
    <xf numFmtId="167" fontId="13" fillId="19" borderId="0" xfId="1" applyNumberFormat="1" applyFont="1" applyFill="1" applyBorder="1" applyAlignment="1">
      <alignment horizontal="center" vertical="top"/>
    </xf>
    <xf numFmtId="167" fontId="10" fillId="19" borderId="0" xfId="1" applyNumberFormat="1" applyFont="1" applyFill="1" applyBorder="1" applyAlignment="1">
      <alignment horizontal="center" vertical="top"/>
    </xf>
    <xf numFmtId="167" fontId="10" fillId="6" borderId="16" xfId="1" applyNumberFormat="1" applyFont="1" applyFill="1" applyBorder="1" applyAlignment="1" applyProtection="1">
      <alignment horizontal="right" vertical="top" wrapText="1"/>
    </xf>
    <xf numFmtId="167" fontId="10" fillId="4" borderId="16" xfId="1" applyNumberFormat="1" applyFont="1" applyFill="1" applyBorder="1" applyAlignment="1">
      <alignment horizontal="right" vertical="top"/>
    </xf>
    <xf numFmtId="167" fontId="10" fillId="6" borderId="21" xfId="1" applyNumberFormat="1" applyFont="1" applyFill="1" applyBorder="1" applyAlignment="1" applyProtection="1">
      <alignment horizontal="right" vertical="top"/>
    </xf>
    <xf numFmtId="167" fontId="10" fillId="6" borderId="21" xfId="1" applyNumberFormat="1" applyFont="1" applyFill="1" applyBorder="1" applyAlignment="1" applyProtection="1">
      <alignment horizontal="right" vertical="top" wrapText="1"/>
    </xf>
    <xf numFmtId="167" fontId="10" fillId="0" borderId="17" xfId="1" applyNumberFormat="1" applyFont="1" applyFill="1" applyBorder="1" applyAlignment="1">
      <alignment vertical="top"/>
    </xf>
    <xf numFmtId="167" fontId="13" fillId="0" borderId="7" xfId="1" applyNumberFormat="1" applyFont="1" applyFill="1" applyBorder="1" applyAlignment="1">
      <alignment horizontal="center" vertical="center"/>
    </xf>
    <xf numFmtId="167" fontId="13" fillId="0" borderId="0" xfId="1" applyNumberFormat="1" applyFont="1" applyFill="1" applyBorder="1" applyAlignment="1">
      <alignment horizontal="center" vertical="center" wrapText="1"/>
    </xf>
    <xf numFmtId="167" fontId="10" fillId="6" borderId="0" xfId="1" applyNumberFormat="1" applyFont="1" applyFill="1" applyBorder="1" applyAlignment="1" applyProtection="1">
      <alignment horizontal="right" vertical="top" wrapText="1"/>
    </xf>
    <xf numFmtId="167" fontId="10" fillId="4" borderId="17" xfId="1" applyNumberFormat="1" applyFont="1" applyFill="1" applyBorder="1" applyAlignment="1">
      <alignment horizontal="right" vertical="top"/>
    </xf>
    <xf numFmtId="167" fontId="10" fillId="6" borderId="0" xfId="1" applyNumberFormat="1" applyFont="1" applyFill="1" applyBorder="1" applyAlignment="1" applyProtection="1">
      <alignment horizontal="right" vertical="top"/>
    </xf>
    <xf numFmtId="167" fontId="10" fillId="0" borderId="21" xfId="1" applyNumberFormat="1" applyFont="1" applyBorder="1" applyAlignment="1">
      <alignment horizontal="left" vertical="top" indent="3"/>
    </xf>
    <xf numFmtId="167" fontId="10" fillId="6" borderId="14" xfId="1" applyNumberFormat="1" applyFont="1" applyFill="1" applyBorder="1" applyAlignment="1" applyProtection="1">
      <alignment horizontal="right" vertical="top" wrapText="1"/>
    </xf>
    <xf numFmtId="167" fontId="10" fillId="0" borderId="29" xfId="1" applyNumberFormat="1" applyFont="1" applyBorder="1" applyAlignment="1">
      <alignment vertical="top" wrapText="1"/>
    </xf>
    <xf numFmtId="167" fontId="13" fillId="0" borderId="29" xfId="1" applyNumberFormat="1" applyFont="1" applyFill="1" applyBorder="1" applyAlignment="1">
      <alignment vertical="top" wrapText="1"/>
    </xf>
    <xf numFmtId="167" fontId="13" fillId="0" borderId="0" xfId="1" applyNumberFormat="1" applyFont="1" applyAlignment="1">
      <alignment horizontal="center" vertical="top" wrapText="1"/>
    </xf>
    <xf numFmtId="167" fontId="13" fillId="5" borderId="0" xfId="1" applyNumberFormat="1" applyFont="1" applyFill="1" applyAlignment="1">
      <alignment horizontal="left" vertical="top"/>
    </xf>
    <xf numFmtId="167" fontId="8" fillId="19" borderId="22" xfId="1" applyNumberFormat="1" applyFont="1" applyFill="1" applyBorder="1"/>
    <xf numFmtId="167" fontId="8" fillId="19" borderId="20" xfId="1" applyNumberFormat="1" applyFont="1" applyFill="1" applyBorder="1"/>
    <xf numFmtId="167" fontId="10" fillId="0" borderId="18" xfId="1" applyNumberFormat="1" applyFont="1" applyBorder="1" applyAlignment="1">
      <alignment vertical="top" wrapText="1"/>
    </xf>
    <xf numFmtId="167" fontId="13" fillId="0" borderId="21" xfId="1" applyNumberFormat="1" applyFont="1" applyFill="1" applyBorder="1" applyAlignment="1">
      <alignment vertical="top" wrapText="1"/>
    </xf>
    <xf numFmtId="167" fontId="10" fillId="0" borderId="21" xfId="1" applyNumberFormat="1" applyFont="1" applyFill="1" applyBorder="1" applyAlignment="1">
      <alignment vertical="top" wrapText="1"/>
    </xf>
    <xf numFmtId="167" fontId="10" fillId="6" borderId="22" xfId="1" applyNumberFormat="1" applyFont="1" applyFill="1" applyBorder="1" applyAlignment="1" applyProtection="1">
      <alignment horizontal="right" vertical="top" wrapText="1"/>
    </xf>
    <xf numFmtId="167" fontId="10" fillId="4" borderId="15" xfId="1" applyNumberFormat="1" applyFont="1" applyFill="1" applyBorder="1" applyAlignment="1">
      <alignment vertical="top"/>
    </xf>
    <xf numFmtId="167" fontId="10" fillId="6" borderId="22" xfId="1" applyNumberFormat="1" applyFont="1" applyFill="1" applyBorder="1" applyAlignment="1" applyProtection="1">
      <alignment vertical="top"/>
    </xf>
    <xf numFmtId="167" fontId="10" fillId="6" borderId="15" xfId="1" applyNumberFormat="1" applyFont="1" applyFill="1" applyBorder="1" applyAlignment="1" applyProtection="1">
      <alignment vertical="top"/>
    </xf>
    <xf numFmtId="167" fontId="10" fillId="0" borderId="0" xfId="1" applyNumberFormat="1" applyFont="1" applyAlignment="1">
      <alignment vertical="center"/>
    </xf>
    <xf numFmtId="167" fontId="13" fillId="6" borderId="0" xfId="1" applyNumberFormat="1" applyFont="1" applyFill="1"/>
    <xf numFmtId="167" fontId="10" fillId="6" borderId="21" xfId="1" applyNumberFormat="1" applyFont="1" applyFill="1" applyBorder="1"/>
    <xf numFmtId="167" fontId="10" fillId="6" borderId="21" xfId="1" applyNumberFormat="1" applyFont="1" applyFill="1" applyBorder="1" applyProtection="1"/>
    <xf numFmtId="167" fontId="10" fillId="19" borderId="21" xfId="1" applyNumberFormat="1" applyFont="1" applyFill="1" applyBorder="1" applyProtection="1"/>
    <xf numFmtId="167" fontId="10" fillId="6" borderId="16" xfId="1" applyNumberFormat="1" applyFont="1" applyFill="1" applyBorder="1" applyProtection="1"/>
    <xf numFmtId="167" fontId="10" fillId="19" borderId="18" xfId="1" applyNumberFormat="1" applyFont="1" applyFill="1" applyBorder="1" applyProtection="1"/>
    <xf numFmtId="167" fontId="10" fillId="6" borderId="18" xfId="1" applyNumberFormat="1" applyFont="1" applyFill="1" applyBorder="1" applyProtection="1"/>
    <xf numFmtId="167" fontId="10" fillId="6" borderId="13" xfId="1" applyNumberFormat="1" applyFont="1" applyFill="1" applyBorder="1" applyProtection="1"/>
    <xf numFmtId="167" fontId="10" fillId="6" borderId="0" xfId="1" applyNumberFormat="1" applyFont="1" applyFill="1" applyBorder="1"/>
    <xf numFmtId="167" fontId="10" fillId="19" borderId="0" xfId="1" applyNumberFormat="1" applyFont="1" applyFill="1" applyBorder="1"/>
    <xf numFmtId="167" fontId="10" fillId="6" borderId="18" xfId="1" applyNumberFormat="1" applyFont="1" applyFill="1" applyBorder="1"/>
    <xf numFmtId="167" fontId="13" fillId="0" borderId="16" xfId="1" applyNumberFormat="1" applyFont="1" applyFill="1" applyBorder="1" applyAlignment="1">
      <alignment horizontal="center" vertical="center"/>
    </xf>
    <xf numFmtId="167" fontId="10" fillId="0" borderId="16" xfId="1" applyNumberFormat="1" applyFont="1" applyBorder="1" applyAlignment="1">
      <alignment horizontal="left" vertical="center"/>
    </xf>
    <xf numFmtId="167" fontId="10" fillId="6" borderId="21" xfId="1" applyNumberFormat="1" applyFont="1" applyFill="1" applyBorder="1" applyAlignment="1">
      <alignment horizontal="left" vertical="center"/>
    </xf>
    <xf numFmtId="167" fontId="10" fillId="0" borderId="18" xfId="1" applyNumberFormat="1" applyFont="1" applyFill="1" applyBorder="1" applyAlignment="1">
      <alignment horizontal="left" vertical="center"/>
    </xf>
    <xf numFmtId="167" fontId="10" fillId="0" borderId="21" xfId="1" applyNumberFormat="1" applyFont="1" applyBorder="1" applyAlignment="1">
      <alignment horizontal="left" vertical="center" wrapText="1"/>
    </xf>
    <xf numFmtId="167" fontId="10" fillId="0" borderId="21" xfId="1" applyNumberFormat="1" applyFont="1" applyBorder="1" applyAlignment="1">
      <alignment horizontal="left" vertical="center"/>
    </xf>
    <xf numFmtId="167" fontId="10" fillId="0" borderId="18" xfId="1" applyNumberFormat="1" applyFont="1" applyBorder="1" applyAlignment="1">
      <alignment horizontal="left" vertical="center"/>
    </xf>
    <xf numFmtId="167" fontId="10" fillId="0" borderId="18" xfId="1" applyNumberFormat="1" applyFont="1" applyBorder="1" applyAlignment="1">
      <alignment horizontal="left" vertical="center" wrapText="1"/>
    </xf>
    <xf numFmtId="167" fontId="10" fillId="4" borderId="18" xfId="1" applyNumberFormat="1" applyFont="1" applyFill="1" applyBorder="1" applyAlignment="1">
      <alignment horizontal="left" vertical="center"/>
    </xf>
    <xf numFmtId="167" fontId="14" fillId="0" borderId="21" xfId="1" applyNumberFormat="1" applyFont="1" applyBorder="1" applyAlignment="1">
      <alignment horizontal="left" vertical="center"/>
    </xf>
    <xf numFmtId="167" fontId="10" fillId="0" borderId="46" xfId="1" applyNumberFormat="1" applyFont="1" applyBorder="1" applyAlignment="1">
      <alignment vertical="top"/>
    </xf>
    <xf numFmtId="167" fontId="13" fillId="19" borderId="0" xfId="1" applyNumberFormat="1" applyFont="1" applyFill="1" applyBorder="1" applyAlignment="1">
      <alignment horizontal="left" vertical="top"/>
    </xf>
    <xf numFmtId="167" fontId="10" fillId="0" borderId="16" xfId="1" applyNumberFormat="1" applyFont="1" applyFill="1" applyBorder="1" applyAlignment="1" applyProtection="1">
      <alignment vertical="top"/>
    </xf>
    <xf numFmtId="167" fontId="10" fillId="0" borderId="21" xfId="1" applyNumberFormat="1" applyFont="1" applyFill="1" applyBorder="1" applyAlignment="1" applyProtection="1">
      <alignment vertical="top"/>
    </xf>
    <xf numFmtId="167" fontId="10" fillId="0" borderId="21" xfId="1" applyNumberFormat="1" applyFont="1" applyFill="1" applyBorder="1" applyProtection="1"/>
    <xf numFmtId="167" fontId="13" fillId="19" borderId="18" xfId="1" applyNumberFormat="1" applyFont="1" applyFill="1" applyBorder="1" applyAlignment="1">
      <alignment horizontal="center" vertical="center" wrapText="1"/>
    </xf>
    <xf numFmtId="167" fontId="13" fillId="19" borderId="21" xfId="1" applyNumberFormat="1" applyFont="1" applyFill="1" applyBorder="1" applyAlignment="1">
      <alignment horizontal="left" vertical="top"/>
    </xf>
    <xf numFmtId="167" fontId="13" fillId="19" borderId="18" xfId="1" applyNumberFormat="1" applyFont="1" applyFill="1" applyBorder="1" applyAlignment="1">
      <alignment horizontal="left" vertical="top"/>
    </xf>
    <xf numFmtId="167" fontId="10" fillId="0" borderId="0" xfId="1" applyNumberFormat="1" applyFont="1" applyFill="1" applyBorder="1" applyAlignment="1">
      <alignment horizontal="center" vertical="top"/>
    </xf>
    <xf numFmtId="167" fontId="10" fillId="19" borderId="13" xfId="1" applyNumberFormat="1" applyFont="1" applyFill="1" applyBorder="1" applyAlignment="1" applyProtection="1">
      <alignment horizontal="right" vertical="top" wrapText="1"/>
    </xf>
    <xf numFmtId="167" fontId="10" fillId="0" borderId="29" xfId="1" applyNumberFormat="1" applyFont="1" applyBorder="1" applyAlignment="1">
      <alignment vertical="top"/>
    </xf>
    <xf numFmtId="167" fontId="13" fillId="6" borderId="13" xfId="1" applyNumberFormat="1" applyFont="1" applyFill="1" applyBorder="1" applyAlignment="1">
      <alignment horizontal="center" vertical="center"/>
    </xf>
    <xf numFmtId="167" fontId="13" fillId="6" borderId="0" xfId="1" applyNumberFormat="1" applyFont="1" applyFill="1" applyAlignment="1">
      <alignment vertical="top"/>
    </xf>
    <xf numFmtId="167" fontId="10" fillId="5" borderId="22" xfId="1" applyNumberFormat="1" applyFont="1" applyFill="1" applyBorder="1" applyAlignment="1">
      <alignment horizontal="left" vertical="top"/>
    </xf>
    <xf numFmtId="167" fontId="10" fillId="0" borderId="17" xfId="1" applyNumberFormat="1" applyFont="1" applyBorder="1" applyAlignment="1">
      <alignment horizontal="right" vertical="top"/>
    </xf>
    <xf numFmtId="167" fontId="10" fillId="5" borderId="0" xfId="1" applyNumberFormat="1" applyFont="1" applyFill="1" applyBorder="1" applyAlignment="1">
      <alignment horizontal="left" vertical="top"/>
    </xf>
    <xf numFmtId="167" fontId="10" fillId="6" borderId="0" xfId="1" applyNumberFormat="1" applyFont="1" applyFill="1"/>
    <xf numFmtId="167" fontId="10" fillId="19" borderId="0" xfId="1" applyNumberFormat="1" applyFont="1" applyFill="1" applyBorder="1" applyAlignment="1">
      <alignment vertical="top" wrapText="1"/>
    </xf>
    <xf numFmtId="167" fontId="10" fillId="0" borderId="15" xfId="1" applyNumberFormat="1" applyFont="1" applyBorder="1" applyAlignment="1">
      <alignment horizontal="left" vertical="top" wrapText="1"/>
    </xf>
    <xf numFmtId="167" fontId="10" fillId="19" borderId="21" xfId="1" applyNumberFormat="1" applyFont="1" applyFill="1" applyBorder="1" applyAlignment="1">
      <alignment vertical="top" wrapText="1"/>
    </xf>
    <xf numFmtId="167" fontId="10" fillId="19" borderId="18" xfId="1" applyNumberFormat="1" applyFont="1" applyFill="1" applyBorder="1" applyAlignment="1">
      <alignment vertical="top" wrapText="1"/>
    </xf>
    <xf numFmtId="167" fontId="10" fillId="6" borderId="0" xfId="1" applyNumberFormat="1" applyFont="1" applyFill="1" applyAlignment="1">
      <alignment vertical="top" wrapText="1"/>
    </xf>
    <xf numFmtId="167" fontId="10" fillId="0" borderId="16" xfId="1" applyNumberFormat="1" applyFont="1" applyBorder="1" applyAlignment="1">
      <alignment horizontal="right" vertical="top"/>
    </xf>
    <xf numFmtId="167" fontId="13" fillId="0" borderId="0" xfId="1" applyNumberFormat="1" applyFont="1" applyAlignment="1">
      <alignment vertical="top" wrapText="1"/>
    </xf>
    <xf numFmtId="167" fontId="10" fillId="0" borderId="18" xfId="1" applyNumberFormat="1" applyFont="1" applyBorder="1" applyAlignment="1">
      <alignment horizontal="right" vertical="top"/>
    </xf>
    <xf numFmtId="167" fontId="10" fillId="4" borderId="46" xfId="1" applyNumberFormat="1" applyFont="1" applyFill="1" applyBorder="1" applyAlignment="1">
      <alignment vertical="top"/>
    </xf>
    <xf numFmtId="167" fontId="14" fillId="0" borderId="29" xfId="1" applyNumberFormat="1" applyFont="1" applyBorder="1" applyAlignment="1">
      <alignment horizontal="right" vertical="top"/>
    </xf>
    <xf numFmtId="167" fontId="15" fillId="0" borderId="0" xfId="1" applyNumberFormat="1" applyFont="1" applyAlignment="1">
      <alignment horizontal="left" vertical="top"/>
    </xf>
    <xf numFmtId="167" fontId="13" fillId="19" borderId="0" xfId="1" applyNumberFormat="1" applyFont="1" applyFill="1" applyBorder="1" applyAlignment="1">
      <alignment vertical="top"/>
    </xf>
    <xf numFmtId="167" fontId="13" fillId="19" borderId="21" xfId="1" applyNumberFormat="1" applyFont="1" applyFill="1" applyBorder="1" applyAlignment="1">
      <alignment vertical="top"/>
    </xf>
    <xf numFmtId="167" fontId="13" fillId="19" borderId="18" xfId="1" applyNumberFormat="1" applyFont="1" applyFill="1" applyBorder="1" applyAlignment="1">
      <alignment vertical="top"/>
    </xf>
    <xf numFmtId="167" fontId="14" fillId="0" borderId="21" xfId="1" applyNumberFormat="1" applyFont="1" applyBorder="1" applyAlignment="1">
      <alignment horizontal="right" vertical="top"/>
    </xf>
    <xf numFmtId="167" fontId="13" fillId="0" borderId="0" xfId="1" applyNumberFormat="1" applyFont="1" applyAlignment="1">
      <alignment horizontal="center" vertical="top"/>
    </xf>
    <xf numFmtId="167" fontId="8" fillId="0" borderId="0" xfId="1" applyNumberFormat="1" applyFont="1" applyAlignment="1">
      <alignment vertical="center"/>
    </xf>
    <xf numFmtId="167" fontId="10" fillId="6" borderId="0" xfId="1" applyNumberFormat="1" applyFont="1" applyFill="1" applyAlignment="1">
      <alignment horizontal="left" vertical="top" wrapText="1" indent="2"/>
    </xf>
    <xf numFmtId="167" fontId="10" fillId="0" borderId="0" xfId="1" applyNumberFormat="1" applyFont="1" applyAlignment="1">
      <alignment horizontal="left" vertical="top" indent="2"/>
    </xf>
    <xf numFmtId="167" fontId="10" fillId="0" borderId="0" xfId="1" applyNumberFormat="1" applyFont="1" applyAlignment="1">
      <alignment horizontal="left" vertical="top" wrapText="1" indent="2"/>
    </xf>
    <xf numFmtId="167" fontId="13" fillId="0" borderId="0" xfId="1" applyNumberFormat="1" applyFont="1" applyFill="1" applyAlignment="1">
      <alignment vertical="top"/>
    </xf>
    <xf numFmtId="167" fontId="13" fillId="0" borderId="13" xfId="1" applyNumberFormat="1" applyFont="1" applyBorder="1" applyAlignment="1">
      <alignment vertical="top"/>
    </xf>
    <xf numFmtId="167" fontId="10" fillId="0" borderId="29" xfId="1" applyNumberFormat="1" applyFont="1" applyBorder="1" applyAlignment="1">
      <alignment horizontal="center" vertical="center" wrapText="1"/>
    </xf>
    <xf numFmtId="167" fontId="13" fillId="0" borderId="13" xfId="1" applyNumberFormat="1" applyFont="1" applyBorder="1" applyAlignment="1">
      <alignment horizontal="left" vertical="center" wrapText="1"/>
    </xf>
    <xf numFmtId="167" fontId="13" fillId="0" borderId="23" xfId="1" applyNumberFormat="1" applyFont="1" applyBorder="1" applyAlignment="1">
      <alignment horizontal="center" vertical="center" wrapText="1"/>
    </xf>
    <xf numFmtId="167" fontId="10" fillId="0" borderId="0" xfId="1" applyNumberFormat="1" applyFont="1" applyAlignment="1">
      <alignment vertical="center" wrapText="1"/>
    </xf>
    <xf numFmtId="167" fontId="13" fillId="0" borderId="29" xfId="1" applyNumberFormat="1" applyFont="1" applyBorder="1" applyAlignment="1">
      <alignment horizontal="center" vertical="top"/>
    </xf>
    <xf numFmtId="167" fontId="13" fillId="0" borderId="21" xfId="1" applyNumberFormat="1" applyFont="1" applyBorder="1" applyAlignment="1">
      <alignment vertical="top" wrapText="1"/>
    </xf>
    <xf numFmtId="167" fontId="13" fillId="0" borderId="21" xfId="1" applyNumberFormat="1" applyFont="1" applyFill="1" applyBorder="1" applyAlignment="1">
      <alignment horizontal="center" vertical="top"/>
    </xf>
    <xf numFmtId="167" fontId="13" fillId="0" borderId="22" xfId="1" applyNumberFormat="1" applyFont="1" applyFill="1" applyBorder="1" applyAlignment="1">
      <alignment horizontal="center" vertical="top"/>
    </xf>
    <xf numFmtId="167" fontId="10" fillId="0" borderId="0" xfId="1" applyNumberFormat="1" applyFont="1" applyAlignment="1">
      <alignment horizontal="center" vertical="top" wrapText="1"/>
    </xf>
    <xf numFmtId="167" fontId="10" fillId="0" borderId="21" xfId="1" applyNumberFormat="1" applyFont="1" applyBorder="1" applyAlignment="1">
      <alignment horizontal="left" vertical="top" wrapText="1" indent="2"/>
    </xf>
    <xf numFmtId="167" fontId="13" fillId="5" borderId="13" xfId="1" applyNumberFormat="1" applyFont="1" applyFill="1" applyBorder="1" applyAlignment="1">
      <alignment horizontal="left" vertical="top" wrapText="1"/>
    </xf>
    <xf numFmtId="167" fontId="13" fillId="0" borderId="13" xfId="1" applyNumberFormat="1" applyFont="1" applyFill="1" applyBorder="1" applyAlignment="1">
      <alignment horizontal="left" vertical="top" wrapText="1"/>
    </xf>
    <xf numFmtId="167" fontId="10" fillId="0" borderId="0" xfId="1" applyNumberFormat="1" applyFont="1" applyAlignment="1">
      <alignment horizontal="justify" wrapText="1"/>
    </xf>
    <xf numFmtId="167" fontId="13" fillId="0" borderId="21" xfId="1" applyNumberFormat="1" applyFont="1" applyBorder="1" applyAlignment="1">
      <alignment horizontal="center" vertical="top"/>
    </xf>
    <xf numFmtId="167" fontId="13" fillId="0" borderId="21" xfId="1" applyNumberFormat="1" applyFont="1" applyBorder="1" applyAlignment="1">
      <alignment horizontal="left" vertical="top" wrapText="1"/>
    </xf>
    <xf numFmtId="167" fontId="10" fillId="0" borderId="16" xfId="1" applyNumberFormat="1" applyFont="1" applyBorder="1" applyAlignment="1">
      <alignment horizontal="center" vertical="top"/>
    </xf>
    <xf numFmtId="167" fontId="13" fillId="0" borderId="21" xfId="1" applyNumberFormat="1" applyFont="1" applyBorder="1" applyAlignment="1">
      <alignment horizontal="center" vertical="top" wrapText="1"/>
    </xf>
    <xf numFmtId="167" fontId="10" fillId="0" borderId="21" xfId="1" applyNumberFormat="1" applyFont="1" applyBorder="1" applyAlignment="1">
      <alignment horizontal="center" vertical="top" wrapText="1"/>
    </xf>
    <xf numFmtId="167" fontId="13" fillId="5" borderId="16" xfId="1" applyNumberFormat="1" applyFont="1" applyFill="1" applyBorder="1" applyAlignment="1">
      <alignment horizontal="left" vertical="top" wrapText="1"/>
    </xf>
    <xf numFmtId="167" fontId="13" fillId="5" borderId="0" xfId="1" applyNumberFormat="1" applyFont="1" applyFill="1" applyBorder="1" applyAlignment="1">
      <alignment horizontal="left" vertical="top" wrapText="1"/>
    </xf>
    <xf numFmtId="167" fontId="13" fillId="0" borderId="0" xfId="1" applyNumberFormat="1" applyFont="1" applyBorder="1" applyAlignment="1">
      <alignment vertical="top" wrapText="1"/>
    </xf>
    <xf numFmtId="167" fontId="13" fillId="0" borderId="0" xfId="1" applyNumberFormat="1" applyFont="1" applyBorder="1" applyAlignment="1">
      <alignment horizontal="center" vertical="top" wrapText="1"/>
    </xf>
    <xf numFmtId="167" fontId="10" fillId="0" borderId="0" xfId="1" applyNumberFormat="1" applyFont="1" applyBorder="1" applyAlignment="1">
      <alignment horizontal="center" vertical="center" wrapText="1"/>
    </xf>
    <xf numFmtId="167" fontId="13" fillId="0" borderId="0" xfId="1" applyNumberFormat="1" applyFont="1" applyBorder="1" applyAlignment="1">
      <alignment horizontal="center" vertical="center" wrapText="1"/>
    </xf>
    <xf numFmtId="167" fontId="10" fillId="0" borderId="0" xfId="1" applyNumberFormat="1" applyFont="1" applyBorder="1" applyAlignment="1">
      <alignment horizontal="center" vertical="top" wrapText="1"/>
    </xf>
    <xf numFmtId="167" fontId="29" fillId="0" borderId="21" xfId="1" applyNumberFormat="1" applyFont="1" applyBorder="1" applyAlignment="1">
      <alignment vertical="top" wrapText="1"/>
    </xf>
    <xf numFmtId="167" fontId="13" fillId="0" borderId="13" xfId="1" applyNumberFormat="1" applyFont="1" applyBorder="1" applyAlignment="1">
      <alignment horizontal="center" vertical="top"/>
    </xf>
    <xf numFmtId="167" fontId="13" fillId="0" borderId="0" xfId="1" applyNumberFormat="1" applyFont="1" applyBorder="1" applyAlignment="1">
      <alignment horizontal="left" vertical="center" wrapText="1"/>
    </xf>
    <xf numFmtId="167" fontId="10" fillId="5" borderId="0" xfId="1" applyNumberFormat="1" applyFont="1" applyFill="1" applyBorder="1" applyAlignment="1">
      <alignment horizontal="left" vertical="top" wrapText="1"/>
    </xf>
    <xf numFmtId="167" fontId="10" fillId="0" borderId="0" xfId="1" applyNumberFormat="1" applyFont="1" applyBorder="1" applyAlignment="1">
      <alignment horizontal="left" vertical="top" indent="1"/>
    </xf>
    <xf numFmtId="167" fontId="8" fillId="0" borderId="0" xfId="1" applyNumberFormat="1" applyFont="1" applyAlignment="1">
      <alignment vertical="top"/>
    </xf>
    <xf numFmtId="0" fontId="11" fillId="9" borderId="5" xfId="0" applyFont="1" applyFill="1" applyBorder="1"/>
    <xf numFmtId="0" fontId="11" fillId="0" borderId="28" xfId="0" applyFont="1" applyBorder="1"/>
    <xf numFmtId="0" fontId="11" fillId="0" borderId="21" xfId="0" applyFont="1" applyBorder="1"/>
    <xf numFmtId="0" fontId="10" fillId="19" borderId="0" xfId="5" applyFont="1" applyFill="1" applyAlignment="1">
      <alignment horizontal="center" vertical="top"/>
    </xf>
    <xf numFmtId="0" fontId="10" fillId="19" borderId="0" xfId="5" applyFont="1" applyFill="1" applyAlignment="1">
      <alignment vertical="top"/>
    </xf>
    <xf numFmtId="0" fontId="0" fillId="19" borderId="0" xfId="0" applyFill="1"/>
    <xf numFmtId="0" fontId="10" fillId="19" borderId="0" xfId="5" applyFont="1" applyFill="1" applyAlignment="1">
      <alignment vertical="top" wrapText="1"/>
    </xf>
    <xf numFmtId="0" fontId="10" fillId="19" borderId="0" xfId="9" applyFont="1" applyFill="1" applyAlignment="1">
      <alignment horizontal="justify" vertical="top" wrapText="1"/>
    </xf>
    <xf numFmtId="0" fontId="8" fillId="19" borderId="0" xfId="0" applyFont="1" applyFill="1" applyAlignment="1">
      <alignment horizontal="justify" vertical="top" wrapText="1"/>
    </xf>
    <xf numFmtId="0" fontId="8" fillId="19" borderId="0" xfId="0" applyFont="1" applyFill="1" applyAlignment="1">
      <alignment wrapText="1"/>
    </xf>
    <xf numFmtId="0" fontId="8" fillId="19" borderId="0" xfId="0" applyFont="1" applyFill="1" applyAlignment="1">
      <alignment horizontal="left" vertical="top" wrapText="1"/>
    </xf>
    <xf numFmtId="0" fontId="11" fillId="19" borderId="0" xfId="0" applyFont="1" applyFill="1"/>
    <xf numFmtId="0" fontId="11" fillId="19" borderId="0" xfId="0" applyFont="1" applyFill="1" applyAlignment="1">
      <alignment horizontal="justify" vertical="top" wrapText="1"/>
    </xf>
    <xf numFmtId="0" fontId="0" fillId="0" borderId="0" xfId="0" applyAlignment="1">
      <alignment wrapText="1"/>
    </xf>
    <xf numFmtId="0" fontId="8" fillId="0" borderId="34" xfId="0" applyFont="1" applyBorder="1" applyAlignment="1">
      <alignment wrapText="1"/>
    </xf>
    <xf numFmtId="0" fontId="13" fillId="12" borderId="53" xfId="0" applyFont="1" applyFill="1" applyBorder="1" applyAlignment="1">
      <alignment horizontal="centerContinuous"/>
    </xf>
    <xf numFmtId="0" fontId="8" fillId="0" borderId="0" xfId="0" applyFont="1" applyAlignment="1">
      <alignment horizontal="left" indent="1"/>
    </xf>
    <xf numFmtId="2" fontId="8" fillId="0" borderId="0" xfId="0" applyNumberFormat="1" applyFont="1"/>
    <xf numFmtId="2" fontId="8" fillId="0" borderId="0" xfId="0" applyNumberFormat="1" applyFont="1" applyProtection="1">
      <protection locked="0"/>
    </xf>
    <xf numFmtId="2" fontId="10" fillId="0" borderId="0" xfId="0" applyNumberFormat="1" applyFont="1"/>
    <xf numFmtId="167" fontId="8" fillId="0" borderId="0" xfId="1" applyNumberFormat="1" applyFont="1" applyFill="1"/>
    <xf numFmtId="0" fontId="10" fillId="0" borderId="17" xfId="0" applyFont="1" applyBorder="1" applyAlignment="1">
      <alignment vertical="top" wrapText="1"/>
    </xf>
    <xf numFmtId="167" fontId="8" fillId="0" borderId="17" xfId="1" applyNumberFormat="1" applyFont="1" applyFill="1" applyBorder="1"/>
    <xf numFmtId="0" fontId="12" fillId="0" borderId="0" xfId="0" applyFont="1" applyAlignment="1">
      <alignment horizontal="right" vertical="top"/>
    </xf>
    <xf numFmtId="167" fontId="12" fillId="0" borderId="0" xfId="1" applyNumberFormat="1" applyFont="1" applyFill="1" applyAlignment="1">
      <alignment horizontal="center" vertical="top"/>
    </xf>
    <xf numFmtId="167" fontId="12" fillId="0" borderId="0" xfId="1" applyNumberFormat="1" applyFont="1" applyFill="1" applyAlignment="1">
      <alignment vertical="top"/>
    </xf>
    <xf numFmtId="41" fontId="8" fillId="19" borderId="21" xfId="20" applyFont="1" applyFill="1" applyBorder="1" applyAlignment="1">
      <alignment horizontal="center" vertical="top"/>
    </xf>
    <xf numFmtId="167" fontId="10" fillId="0" borderId="0" xfId="1" applyNumberFormat="1" applyFont="1" applyFill="1" applyAlignment="1">
      <alignment horizontal="justify" vertical="top" wrapText="1"/>
    </xf>
    <xf numFmtId="167" fontId="13" fillId="0" borderId="17" xfId="1" applyNumberFormat="1" applyFont="1" applyFill="1" applyBorder="1" applyAlignment="1">
      <alignment horizontal="left" vertical="top"/>
    </xf>
    <xf numFmtId="0" fontId="31" fillId="0" borderId="0" xfId="0" applyFont="1" applyAlignment="1">
      <alignment vertical="top"/>
    </xf>
    <xf numFmtId="167" fontId="8" fillId="0" borderId="0" xfId="1" applyNumberFormat="1" applyFont="1" applyFill="1" applyBorder="1" applyAlignment="1">
      <alignment horizontal="center" vertical="top"/>
    </xf>
    <xf numFmtId="167" fontId="13" fillId="19" borderId="0" xfId="1" applyNumberFormat="1" applyFont="1" applyFill="1" applyAlignment="1">
      <alignment horizontal="left" vertical="top"/>
    </xf>
    <xf numFmtId="167" fontId="10" fillId="19" borderId="0" xfId="1" applyNumberFormat="1" applyFont="1" applyFill="1" applyAlignment="1">
      <alignment vertical="top" wrapText="1"/>
    </xf>
    <xf numFmtId="167" fontId="13" fillId="19" borderId="0" xfId="1" applyNumberFormat="1" applyFont="1" applyFill="1" applyAlignment="1">
      <alignment vertical="top"/>
    </xf>
    <xf numFmtId="0" fontId="11" fillId="0" borderId="0" xfId="0" applyFont="1" applyAlignment="1">
      <alignment horizontal="left"/>
    </xf>
    <xf numFmtId="41" fontId="15" fillId="0" borderId="0" xfId="20" applyFont="1"/>
    <xf numFmtId="167" fontId="10" fillId="0" borderId="18" xfId="5" applyNumberFormat="1" applyFont="1" applyBorder="1" applyAlignment="1">
      <alignment vertical="top"/>
    </xf>
    <xf numFmtId="167" fontId="13" fillId="0" borderId="18" xfId="1" applyNumberFormat="1" applyFont="1" applyBorder="1" applyAlignment="1">
      <alignment vertical="top"/>
    </xf>
    <xf numFmtId="167" fontId="13" fillId="0" borderId="21" xfId="1" applyNumberFormat="1" applyFont="1" applyBorder="1" applyAlignment="1">
      <alignment vertical="top"/>
    </xf>
    <xf numFmtId="167" fontId="10" fillId="0" borderId="21" xfId="5" applyNumberFormat="1" applyFont="1" applyBorder="1" applyAlignment="1">
      <alignment vertical="top"/>
    </xf>
    <xf numFmtId="167" fontId="13" fillId="0" borderId="18" xfId="5" applyNumberFormat="1" applyFont="1" applyBorder="1" applyAlignment="1">
      <alignment vertical="top"/>
    </xf>
    <xf numFmtId="0" fontId="10" fillId="4" borderId="22" xfId="0" applyFont="1" applyFill="1" applyBorder="1" applyAlignment="1">
      <alignment horizontal="left" vertical="top" wrapText="1"/>
    </xf>
    <xf numFmtId="0" fontId="8" fillId="9" borderId="39" xfId="0" applyFont="1" applyFill="1" applyBorder="1"/>
    <xf numFmtId="49" fontId="10" fillId="0" borderId="0" xfId="0" applyNumberFormat="1" applyFont="1" applyAlignment="1">
      <alignment vertical="top" wrapText="1"/>
    </xf>
    <xf numFmtId="49" fontId="13" fillId="0" borderId="0" xfId="0" applyNumberFormat="1" applyFont="1" applyAlignment="1">
      <alignment vertical="top"/>
    </xf>
    <xf numFmtId="49" fontId="10" fillId="0" borderId="0" xfId="0" applyNumberFormat="1" applyFont="1" applyAlignment="1">
      <alignment vertical="top"/>
    </xf>
    <xf numFmtId="49" fontId="0" fillId="0" borderId="0" xfId="0" applyNumberFormat="1"/>
    <xf numFmtId="0" fontId="10" fillId="0" borderId="29" xfId="0" quotePrefix="1" applyFont="1" applyBorder="1" applyAlignment="1">
      <alignment horizontal="left" vertical="top" wrapText="1" indent="4"/>
    </xf>
    <xf numFmtId="0" fontId="10" fillId="0" borderId="22" xfId="0" quotePrefix="1" applyFont="1" applyBorder="1" applyAlignment="1">
      <alignment horizontal="left" vertical="top" wrapText="1" indent="5"/>
    </xf>
    <xf numFmtId="0" fontId="13" fillId="4" borderId="0" xfId="0" applyFont="1" applyFill="1" applyAlignment="1">
      <alignment horizontal="right" vertical="top" wrapText="1"/>
    </xf>
    <xf numFmtId="167" fontId="13" fillId="0" borderId="0" xfId="1" applyNumberFormat="1" applyFont="1" applyAlignment="1">
      <alignment horizontal="left" vertical="center"/>
    </xf>
    <xf numFmtId="167" fontId="10" fillId="4" borderId="22" xfId="1" applyNumberFormat="1" applyFont="1" applyFill="1" applyBorder="1" applyAlignment="1">
      <alignment vertical="top"/>
    </xf>
    <xf numFmtId="167" fontId="10" fillId="0" borderId="0" xfId="1" applyNumberFormat="1" applyFont="1" applyAlignment="1">
      <alignment horizontal="center" vertical="center"/>
    </xf>
    <xf numFmtId="0" fontId="8" fillId="20" borderId="21" xfId="0" applyFont="1" applyFill="1" applyBorder="1"/>
    <xf numFmtId="0" fontId="8" fillId="20" borderId="18" xfId="0" applyFont="1" applyFill="1" applyBorder="1"/>
    <xf numFmtId="0" fontId="8" fillId="0" borderId="28" xfId="0" applyFont="1" applyBorder="1" applyAlignment="1">
      <alignment wrapText="1"/>
    </xf>
    <xf numFmtId="41" fontId="8" fillId="0" borderId="13" xfId="20" applyFont="1" applyBorder="1" applyAlignment="1">
      <alignment horizontal="left" vertical="center"/>
    </xf>
    <xf numFmtId="171" fontId="15" fillId="0" borderId="13" xfId="13" applyNumberFormat="1" applyFont="1" applyFill="1" applyBorder="1" applyAlignment="1">
      <alignment horizontal="left" vertical="center"/>
    </xf>
    <xf numFmtId="171" fontId="8" fillId="0" borderId="13" xfId="13" applyNumberFormat="1" applyFont="1" applyFill="1" applyBorder="1" applyAlignment="1">
      <alignment vertical="center"/>
    </xf>
    <xf numFmtId="14" fontId="8" fillId="0" borderId="13" xfId="0" applyNumberFormat="1" applyFont="1" applyBorder="1" applyAlignment="1">
      <alignment vertical="center"/>
    </xf>
    <xf numFmtId="167" fontId="13" fillId="0" borderId="0" xfId="1" applyNumberFormat="1" applyFont="1" applyBorder="1" applyAlignment="1">
      <alignment vertical="center"/>
    </xf>
    <xf numFmtId="167" fontId="13" fillId="0" borderId="0" xfId="1" applyNumberFormat="1" applyFont="1" applyAlignment="1">
      <alignment vertical="center"/>
    </xf>
    <xf numFmtId="41" fontId="22" fillId="13" borderId="21" xfId="20" applyFont="1" applyFill="1" applyBorder="1" applyAlignment="1">
      <alignment horizontal="center" vertical="center" wrapText="1"/>
    </xf>
    <xf numFmtId="41" fontId="8" fillId="0" borderId="13" xfId="20" applyFont="1" applyBorder="1" applyAlignment="1">
      <alignment vertical="center"/>
    </xf>
    <xf numFmtId="43" fontId="10" fillId="0" borderId="21" xfId="1" applyFont="1" applyBorder="1"/>
    <xf numFmtId="41" fontId="10" fillId="0" borderId="13" xfId="0" applyNumberFormat="1" applyFont="1" applyBorder="1"/>
    <xf numFmtId="43" fontId="8" fillId="0" borderId="0" xfId="1" applyFont="1" applyAlignment="1">
      <alignment vertical="center"/>
    </xf>
    <xf numFmtId="4" fontId="10" fillId="0" borderId="0" xfId="0" applyNumberFormat="1" applyFont="1" applyAlignment="1">
      <alignment vertical="top"/>
    </xf>
    <xf numFmtId="164" fontId="8" fillId="0" borderId="0" xfId="0" applyNumberFormat="1" applyFont="1" applyAlignment="1">
      <alignment vertical="center"/>
    </xf>
    <xf numFmtId="43" fontId="8" fillId="0" borderId="13" xfId="1" applyFont="1" applyBorder="1" applyAlignment="1">
      <alignment vertical="center"/>
    </xf>
    <xf numFmtId="43" fontId="8" fillId="0" borderId="0" xfId="1" applyFont="1" applyFill="1" applyAlignment="1">
      <alignment vertical="center"/>
    </xf>
    <xf numFmtId="43" fontId="8" fillId="0" borderId="0" xfId="1" applyFont="1" applyBorder="1" applyAlignment="1">
      <alignment vertical="center"/>
    </xf>
    <xf numFmtId="43" fontId="8" fillId="0" borderId="18" xfId="1" applyFont="1" applyBorder="1" applyAlignment="1">
      <alignment vertical="top"/>
    </xf>
    <xf numFmtId="43" fontId="8" fillId="0" borderId="21" xfId="1" applyFont="1" applyBorder="1"/>
    <xf numFmtId="43" fontId="8" fillId="0" borderId="33" xfId="0" applyNumberFormat="1" applyFont="1" applyBorder="1"/>
    <xf numFmtId="43" fontId="8" fillId="0" borderId="38" xfId="0" applyNumberFormat="1" applyFont="1" applyBorder="1"/>
    <xf numFmtId="43" fontId="8" fillId="0" borderId="33" xfId="1" applyFont="1" applyBorder="1"/>
    <xf numFmtId="43" fontId="8" fillId="0" borderId="36" xfId="1" applyFont="1" applyBorder="1"/>
    <xf numFmtId="43" fontId="8" fillId="0" borderId="39" xfId="1" applyFont="1" applyBorder="1"/>
    <xf numFmtId="0" fontId="11" fillId="2" borderId="0" xfId="0" applyFont="1" applyFill="1"/>
    <xf numFmtId="10" fontId="10" fillId="0" borderId="21" xfId="0" applyNumberFormat="1" applyFont="1" applyBorder="1" applyAlignment="1">
      <alignment vertical="top"/>
    </xf>
    <xf numFmtId="43" fontId="10" fillId="0" borderId="21" xfId="1" applyFont="1" applyBorder="1" applyAlignment="1">
      <alignment horizontal="center" vertical="top"/>
    </xf>
    <xf numFmtId="43" fontId="10" fillId="0" borderId="18" xfId="1" applyFont="1" applyBorder="1" applyAlignment="1">
      <alignment horizontal="center" vertical="top"/>
    </xf>
    <xf numFmtId="43" fontId="10" fillId="0" borderId="29" xfId="1" applyFont="1" applyBorder="1" applyAlignment="1">
      <alignment horizontal="center" vertical="top"/>
    </xf>
    <xf numFmtId="43" fontId="10" fillId="0" borderId="16" xfId="1" applyFont="1" applyBorder="1" applyAlignment="1">
      <alignment horizontal="center" vertical="top"/>
    </xf>
    <xf numFmtId="43" fontId="10" fillId="0" borderId="46" xfId="1" applyFont="1" applyBorder="1" applyAlignment="1">
      <alignment horizontal="center" vertical="top"/>
    </xf>
    <xf numFmtId="167" fontId="10" fillId="0" borderId="16" xfId="0" applyNumberFormat="1" applyFont="1" applyBorder="1" applyAlignment="1">
      <alignment horizontal="center" vertical="top"/>
    </xf>
    <xf numFmtId="43" fontId="8" fillId="16" borderId="21" xfId="1" applyFont="1" applyFill="1" applyBorder="1" applyAlignment="1">
      <alignment horizontal="center" vertical="top"/>
    </xf>
    <xf numFmtId="43" fontId="10" fillId="0" borderId="0" xfId="1" applyFont="1"/>
    <xf numFmtId="0" fontId="8" fillId="3" borderId="0" xfId="0" applyFont="1" applyFill="1" applyAlignment="1">
      <alignment horizontal="center"/>
    </xf>
    <xf numFmtId="0" fontId="10" fillId="3" borderId="0" xfId="0" applyFont="1" applyFill="1" applyAlignment="1">
      <alignment horizontal="center" vertical="top"/>
    </xf>
    <xf numFmtId="0" fontId="10" fillId="3" borderId="0" xfId="0" applyFont="1" applyFill="1"/>
    <xf numFmtId="164" fontId="8" fillId="0" borderId="0" xfId="1" applyNumberFormat="1" applyFont="1" applyProtection="1"/>
    <xf numFmtId="0" fontId="8" fillId="2" borderId="0" xfId="0" applyFont="1" applyFill="1"/>
    <xf numFmtId="41" fontId="8" fillId="2" borderId="0" xfId="20" applyFont="1" applyFill="1"/>
    <xf numFmtId="0" fontId="8" fillId="2" borderId="13" xfId="0" applyFont="1" applyFill="1" applyBorder="1"/>
    <xf numFmtId="41" fontId="8" fillId="2" borderId="13" xfId="20" applyFont="1" applyFill="1" applyBorder="1"/>
    <xf numFmtId="43" fontId="8" fillId="0" borderId="21" xfId="1" applyFont="1" applyBorder="1" applyAlignment="1">
      <alignment horizontal="right"/>
    </xf>
    <xf numFmtId="167" fontId="10" fillId="2" borderId="21" xfId="1" applyNumberFormat="1" applyFont="1" applyFill="1" applyBorder="1" applyAlignment="1">
      <alignment vertical="top"/>
    </xf>
    <xf numFmtId="171" fontId="32" fillId="0" borderId="21" xfId="24" applyNumberFormat="1" applyFont="1" applyFill="1" applyBorder="1" applyAlignment="1">
      <alignment vertical="top"/>
    </xf>
    <xf numFmtId="164" fontId="8" fillId="0" borderId="21" xfId="0" applyNumberFormat="1" applyFont="1" applyBorder="1"/>
    <xf numFmtId="0" fontId="33" fillId="0" borderId="0" xfId="0" applyFont="1"/>
    <xf numFmtId="0" fontId="11" fillId="21" borderId="13" xfId="0" applyFont="1" applyFill="1" applyBorder="1"/>
    <xf numFmtId="43" fontId="11" fillId="0" borderId="13" xfId="1" applyFont="1" applyBorder="1"/>
    <xf numFmtId="10" fontId="11" fillId="2" borderId="0" xfId="0" applyNumberFormat="1" applyFont="1" applyFill="1"/>
    <xf numFmtId="167" fontId="10" fillId="0" borderId="21" xfId="26" applyNumberFormat="1" applyFont="1" applyFill="1" applyBorder="1" applyAlignment="1">
      <alignment vertical="top"/>
    </xf>
    <xf numFmtId="41" fontId="10" fillId="22" borderId="21" xfId="20" applyFont="1" applyFill="1" applyBorder="1" applyAlignment="1">
      <alignment vertical="top"/>
    </xf>
    <xf numFmtId="0" fontId="10" fillId="0" borderId="21" xfId="5" applyFont="1" applyBorder="1" applyAlignment="1">
      <alignment horizontal="left"/>
    </xf>
    <xf numFmtId="41" fontId="10" fillId="22" borderId="18" xfId="20" applyFont="1" applyFill="1" applyBorder="1" applyAlignment="1">
      <alignment vertical="top"/>
    </xf>
    <xf numFmtId="41" fontId="15" fillId="0" borderId="13" xfId="20" applyFont="1" applyFill="1" applyBorder="1" applyAlignment="1">
      <alignment horizontal="left" vertical="center"/>
    </xf>
    <xf numFmtId="0" fontId="8" fillId="0" borderId="18" xfId="0" applyFont="1" applyBorder="1" applyAlignment="1">
      <alignment vertical="center"/>
    </xf>
    <xf numFmtId="0" fontId="12" fillId="2" borderId="0" xfId="0" applyFont="1" applyFill="1"/>
    <xf numFmtId="41" fontId="8" fillId="0" borderId="0" xfId="20" applyFont="1" applyFill="1"/>
    <xf numFmtId="41" fontId="8" fillId="0" borderId="0" xfId="20" applyFont="1" applyBorder="1" applyAlignment="1">
      <alignment vertical="center"/>
    </xf>
    <xf numFmtId="41" fontId="8" fillId="0" borderId="0" xfId="20" applyFont="1" applyFill="1" applyAlignment="1">
      <alignment vertical="center"/>
    </xf>
    <xf numFmtId="41" fontId="12" fillId="2" borderId="0" xfId="20" applyFont="1" applyFill="1"/>
    <xf numFmtId="43" fontId="10" fillId="0" borderId="0" xfId="1" applyFont="1" applyAlignment="1">
      <alignment horizontal="center" vertical="top"/>
    </xf>
    <xf numFmtId="0" fontId="8" fillId="0" borderId="0" xfId="0" applyFont="1" applyAlignment="1">
      <alignment horizontal="left"/>
    </xf>
    <xf numFmtId="0" fontId="11" fillId="0" borderId="0" xfId="5" quotePrefix="1" applyFont="1" applyAlignment="1">
      <alignment horizontal="left" vertical="top" wrapText="1"/>
    </xf>
    <xf numFmtId="0" fontId="8" fillId="0" borderId="0" xfId="5" quotePrefix="1" applyFont="1" applyAlignment="1">
      <alignment horizontal="justify" vertical="top" wrapText="1"/>
    </xf>
    <xf numFmtId="0" fontId="13" fillId="19" borderId="13" xfId="0" applyFont="1" applyFill="1" applyBorder="1" applyAlignment="1">
      <alignment horizontal="center" vertical="top"/>
    </xf>
    <xf numFmtId="0" fontId="35" fillId="0" borderId="0" xfId="0" applyFont="1"/>
    <xf numFmtId="0" fontId="36" fillId="0" borderId="0" xfId="0" applyFont="1"/>
    <xf numFmtId="164" fontId="36" fillId="0" borderId="0" xfId="26" applyFont="1"/>
    <xf numFmtId="0" fontId="36" fillId="0" borderId="0" xfId="0" applyFont="1" applyAlignment="1">
      <alignment wrapText="1"/>
    </xf>
    <xf numFmtId="0" fontId="37" fillId="0" borderId="0" xfId="0" applyFont="1"/>
    <xf numFmtId="164" fontId="35" fillId="2" borderId="13" xfId="26" applyFont="1" applyFill="1" applyBorder="1"/>
    <xf numFmtId="164" fontId="36" fillId="2" borderId="13" xfId="0" applyNumberFormat="1" applyFont="1" applyFill="1" applyBorder="1"/>
    <xf numFmtId="164" fontId="35" fillId="2" borderId="13" xfId="0" applyNumberFormat="1" applyFont="1" applyFill="1" applyBorder="1"/>
    <xf numFmtId="14" fontId="36" fillId="0" borderId="0" xfId="0" applyNumberFormat="1" applyFont="1"/>
    <xf numFmtId="14" fontId="35" fillId="0" borderId="0" xfId="0" applyNumberFormat="1" applyFont="1"/>
    <xf numFmtId="164" fontId="35" fillId="0" borderId="13" xfId="26" applyFont="1" applyBorder="1"/>
    <xf numFmtId="164" fontId="35" fillId="0" borderId="0" xfId="26" applyFont="1"/>
    <xf numFmtId="164" fontId="35" fillId="9" borderId="13" xfId="26" applyFont="1" applyFill="1" applyBorder="1"/>
    <xf numFmtId="0" fontId="35" fillId="21" borderId="13" xfId="0" applyFont="1" applyFill="1" applyBorder="1"/>
    <xf numFmtId="0" fontId="35" fillId="21" borderId="13" xfId="0" applyFont="1" applyFill="1" applyBorder="1" applyAlignment="1">
      <alignment wrapText="1"/>
    </xf>
    <xf numFmtId="164" fontId="35" fillId="21" borderId="13" xfId="26" applyFont="1" applyFill="1" applyBorder="1" applyAlignment="1">
      <alignment wrapText="1"/>
    </xf>
    <xf numFmtId="164" fontId="35" fillId="21" borderId="13" xfId="26" applyFont="1" applyFill="1" applyBorder="1" applyAlignment="1">
      <alignment horizontal="center" vertical="center" wrapText="1"/>
    </xf>
    <xf numFmtId="164" fontId="35" fillId="21" borderId="13" xfId="26" applyFont="1" applyFill="1" applyBorder="1"/>
    <xf numFmtId="0" fontId="36" fillId="21" borderId="13" xfId="0" applyFont="1" applyFill="1" applyBorder="1"/>
    <xf numFmtId="0" fontId="35" fillId="0" borderId="21" xfId="0" applyFont="1" applyBorder="1"/>
    <xf numFmtId="0" fontId="35" fillId="0" borderId="13" xfId="0" applyFont="1" applyBorder="1"/>
    <xf numFmtId="0" fontId="36" fillId="0" borderId="13" xfId="0" applyFont="1" applyBorder="1"/>
    <xf numFmtId="14" fontId="36" fillId="0" borderId="13" xfId="0" applyNumberFormat="1" applyFont="1" applyBorder="1"/>
    <xf numFmtId="164" fontId="36" fillId="0" borderId="13" xfId="26" applyFont="1" applyBorder="1"/>
    <xf numFmtId="10" fontId="36" fillId="0" borderId="13" xfId="26" applyNumberFormat="1" applyFont="1" applyBorder="1"/>
    <xf numFmtId="164" fontId="36" fillId="0" borderId="13" xfId="0" applyNumberFormat="1" applyFont="1" applyBorder="1"/>
    <xf numFmtId="0" fontId="36" fillId="0" borderId="13" xfId="0" applyFont="1" applyBorder="1" applyAlignment="1">
      <alignment wrapText="1"/>
    </xf>
    <xf numFmtId="0" fontId="36" fillId="0" borderId="16" xfId="0" applyFont="1" applyBorder="1"/>
    <xf numFmtId="164" fontId="35" fillId="0" borderId="13" xfId="0" applyNumberFormat="1" applyFont="1" applyBorder="1"/>
    <xf numFmtId="15" fontId="36" fillId="0" borderId="13" xfId="0" applyNumberFormat="1" applyFont="1" applyBorder="1"/>
    <xf numFmtId="0" fontId="36" fillId="0" borderId="21" xfId="0" applyFont="1" applyBorder="1"/>
    <xf numFmtId="0" fontId="36" fillId="3" borderId="13" xfId="0" applyFont="1" applyFill="1" applyBorder="1" applyAlignment="1">
      <alignment wrapText="1"/>
    </xf>
    <xf numFmtId="14" fontId="36" fillId="2" borderId="13" xfId="0" applyNumberFormat="1" applyFont="1" applyFill="1" applyBorder="1"/>
    <xf numFmtId="0" fontId="36" fillId="2" borderId="13" xfId="0" applyFont="1" applyFill="1" applyBorder="1"/>
    <xf numFmtId="164" fontId="35" fillId="0" borderId="21" xfId="0" applyNumberFormat="1" applyFont="1" applyBorder="1"/>
    <xf numFmtId="164" fontId="36" fillId="0" borderId="21" xfId="0" applyNumberFormat="1" applyFont="1" applyBorder="1"/>
    <xf numFmtId="0" fontId="36" fillId="3" borderId="13" xfId="0" applyFont="1" applyFill="1" applyBorder="1"/>
    <xf numFmtId="14" fontId="36" fillId="3" borderId="13" xfId="0" applyNumberFormat="1" applyFont="1" applyFill="1" applyBorder="1"/>
    <xf numFmtId="10" fontId="36" fillId="3" borderId="13" xfId="26" applyNumberFormat="1" applyFont="1" applyFill="1" applyBorder="1"/>
    <xf numFmtId="164" fontId="36" fillId="3" borderId="13" xfId="26" applyFont="1" applyFill="1" applyBorder="1"/>
    <xf numFmtId="10" fontId="36" fillId="2" borderId="13" xfId="26" applyNumberFormat="1" applyFont="1" applyFill="1" applyBorder="1"/>
    <xf numFmtId="164" fontId="36" fillId="2" borderId="13" xfId="26" applyFont="1" applyFill="1" applyBorder="1"/>
    <xf numFmtId="0" fontId="36" fillId="2" borderId="13" xfId="0" applyFont="1" applyFill="1" applyBorder="1" applyAlignment="1">
      <alignment wrapText="1"/>
    </xf>
    <xf numFmtId="0" fontId="35" fillId="0" borderId="18" xfId="0" applyFont="1" applyBorder="1"/>
    <xf numFmtId="0" fontId="36" fillId="0" borderId="18" xfId="0" applyFont="1" applyBorder="1"/>
    <xf numFmtId="0" fontId="35" fillId="0" borderId="0" xfId="0" applyFont="1" applyAlignment="1">
      <alignment wrapText="1"/>
    </xf>
    <xf numFmtId="167" fontId="10" fillId="0" borderId="21" xfId="1" applyNumberFormat="1" applyFont="1" applyFill="1" applyBorder="1" applyAlignment="1">
      <alignment horizontal="right" vertical="top"/>
    </xf>
    <xf numFmtId="43" fontId="10" fillId="0" borderId="5" xfId="1" applyFont="1" applyBorder="1" applyAlignment="1">
      <alignment vertical="top"/>
    </xf>
    <xf numFmtId="167" fontId="10" fillId="0" borderId="5" xfId="1" applyNumberFormat="1" applyFont="1" applyBorder="1" applyAlignment="1">
      <alignment vertical="top"/>
    </xf>
    <xf numFmtId="167" fontId="10" fillId="0" borderId="32" xfId="5" applyNumberFormat="1" applyFont="1" applyBorder="1" applyAlignment="1">
      <alignment vertical="top"/>
    </xf>
    <xf numFmtId="167" fontId="10" fillId="0" borderId="5" xfId="5" applyNumberFormat="1" applyFont="1" applyBorder="1" applyAlignment="1">
      <alignment vertical="top"/>
    </xf>
    <xf numFmtId="43" fontId="10" fillId="0" borderId="5" xfId="5" applyNumberFormat="1" applyFont="1" applyBorder="1" applyAlignment="1">
      <alignment vertical="top"/>
    </xf>
    <xf numFmtId="167" fontId="21" fillId="0" borderId="0" xfId="1" applyNumberFormat="1" applyFont="1" applyAlignment="1">
      <alignment vertical="top"/>
    </xf>
    <xf numFmtId="167" fontId="13" fillId="0" borderId="32" xfId="5" applyNumberFormat="1" applyFont="1" applyBorder="1" applyAlignment="1">
      <alignment vertical="top"/>
    </xf>
    <xf numFmtId="167" fontId="13" fillId="0" borderId="5" xfId="1" applyNumberFormat="1" applyFont="1" applyBorder="1" applyAlignment="1">
      <alignment vertical="top"/>
    </xf>
    <xf numFmtId="43" fontId="10" fillId="0" borderId="32" xfId="5" applyNumberFormat="1" applyFont="1" applyBorder="1" applyAlignment="1">
      <alignment vertical="top"/>
    </xf>
    <xf numFmtId="43" fontId="8" fillId="0" borderId="21" xfId="1" applyFont="1" applyBorder="1" applyProtection="1"/>
    <xf numFmtId="167" fontId="11" fillId="0" borderId="0" xfId="1" applyNumberFormat="1" applyFont="1" applyFill="1" applyProtection="1"/>
    <xf numFmtId="0" fontId="10" fillId="0" borderId="19" xfId="0" applyFont="1" applyBorder="1" applyAlignment="1">
      <alignment horizontal="left" vertical="top" wrapText="1" indent="1"/>
    </xf>
    <xf numFmtId="43" fontId="10" fillId="16" borderId="18" xfId="1" applyFont="1" applyFill="1" applyBorder="1" applyAlignment="1">
      <alignment vertical="top"/>
    </xf>
    <xf numFmtId="10" fontId="10" fillId="16" borderId="18" xfId="0" applyNumberFormat="1" applyFont="1" applyFill="1" applyBorder="1" applyAlignment="1">
      <alignment vertical="top"/>
    </xf>
    <xf numFmtId="10" fontId="10" fillId="0" borderId="18" xfId="0" applyNumberFormat="1" applyFont="1" applyBorder="1" applyAlignment="1">
      <alignment vertical="top"/>
    </xf>
    <xf numFmtId="0" fontId="13" fillId="0" borderId="29" xfId="0" applyFont="1" applyBorder="1" applyAlignment="1">
      <alignment vertical="center"/>
    </xf>
    <xf numFmtId="0" fontId="10" fillId="16" borderId="46" xfId="0" applyFont="1" applyFill="1" applyBorder="1" applyAlignment="1">
      <alignment horizontal="left" vertical="top" wrapText="1"/>
    </xf>
    <xf numFmtId="43" fontId="8" fillId="16" borderId="18" xfId="0" applyNumberFormat="1" applyFont="1" applyFill="1" applyBorder="1" applyAlignment="1">
      <alignment horizontal="center" vertical="top"/>
    </xf>
    <xf numFmtId="10" fontId="8" fillId="16" borderId="18" xfId="21" applyNumberFormat="1" applyFont="1" applyFill="1" applyBorder="1" applyAlignment="1">
      <alignment horizontal="center" vertical="top"/>
    </xf>
    <xf numFmtId="43" fontId="8" fillId="16" borderId="18" xfId="1" applyFont="1" applyFill="1" applyBorder="1" applyAlignment="1">
      <alignment horizontal="center" vertical="top"/>
    </xf>
    <xf numFmtId="43" fontId="13" fillId="0" borderId="18" xfId="0" applyNumberFormat="1" applyFont="1" applyBorder="1" applyAlignment="1">
      <alignment horizontal="center" vertical="top" wrapText="1"/>
    </xf>
    <xf numFmtId="43" fontId="10" fillId="16" borderId="16" xfId="1" applyFont="1" applyFill="1" applyBorder="1" applyAlignment="1">
      <alignment horizontal="center"/>
    </xf>
    <xf numFmtId="43" fontId="10" fillId="16" borderId="21" xfId="1" applyFont="1" applyFill="1" applyBorder="1" applyAlignment="1">
      <alignment horizontal="center"/>
    </xf>
    <xf numFmtId="43" fontId="10" fillId="16" borderId="18" xfId="1" applyFont="1" applyFill="1" applyBorder="1" applyAlignment="1">
      <alignment horizontal="center"/>
    </xf>
    <xf numFmtId="41" fontId="10" fillId="4" borderId="22" xfId="20" applyFont="1" applyFill="1" applyBorder="1" applyAlignment="1">
      <alignment horizontal="left" vertical="top" indent="1"/>
    </xf>
    <xf numFmtId="0" fontId="10" fillId="16" borderId="46" xfId="0" applyFont="1" applyFill="1" applyBorder="1" applyAlignment="1">
      <alignment horizontal="left" vertical="top" indent="2"/>
    </xf>
    <xf numFmtId="43" fontId="13" fillId="0" borderId="21" xfId="1" applyFont="1" applyBorder="1" applyAlignment="1">
      <alignment horizontal="right" vertical="top" wrapText="1"/>
    </xf>
    <xf numFmtId="0" fontId="8" fillId="0" borderId="8" xfId="0" applyFont="1" applyBorder="1"/>
    <xf numFmtId="0" fontId="19" fillId="19" borderId="13" xfId="0" applyFont="1" applyFill="1" applyBorder="1" applyAlignment="1">
      <alignment horizontal="left" vertical="top"/>
    </xf>
    <xf numFmtId="41" fontId="10" fillId="19" borderId="13" xfId="20" applyFont="1" applyFill="1" applyBorder="1" applyAlignment="1">
      <alignment vertical="top" wrapText="1"/>
    </xf>
    <xf numFmtId="0" fontId="13" fillId="19" borderId="13" xfId="0" applyFont="1" applyFill="1" applyBorder="1" applyAlignment="1">
      <alignment horizontal="left" vertical="top" indent="2"/>
    </xf>
    <xf numFmtId="0" fontId="19" fillId="0" borderId="0" xfId="5" applyFont="1" applyAlignment="1">
      <alignment horizontal="left" vertical="top"/>
    </xf>
    <xf numFmtId="43" fontId="10" fillId="0" borderId="0" xfId="1" applyFont="1" applyAlignment="1">
      <alignment horizontal="left" vertical="top" indent="2"/>
    </xf>
    <xf numFmtId="43" fontId="10" fillId="0" borderId="0" xfId="1" applyFont="1" applyAlignment="1">
      <alignment horizontal="right" vertical="top" indent="2"/>
    </xf>
    <xf numFmtId="43" fontId="10" fillId="0" borderId="0" xfId="1" applyFont="1" applyAlignment="1">
      <alignment horizontal="right" vertical="top" wrapText="1" indent="2"/>
    </xf>
    <xf numFmtId="164" fontId="38" fillId="0" borderId="0" xfId="0" applyNumberFormat="1" applyFont="1" applyAlignment="1">
      <alignment vertical="top"/>
    </xf>
    <xf numFmtId="0" fontId="10" fillId="4" borderId="20" xfId="0" applyFont="1" applyFill="1" applyBorder="1" applyAlignment="1">
      <alignment horizontal="left" vertical="top" wrapText="1"/>
    </xf>
    <xf numFmtId="0" fontId="10" fillId="4" borderId="29" xfId="0" applyFont="1" applyFill="1" applyBorder="1" applyAlignment="1">
      <alignment horizontal="left" vertical="top" wrapText="1" indent="2"/>
    </xf>
    <xf numFmtId="164" fontId="8" fillId="0" borderId="0" xfId="0" applyNumberFormat="1" applyFont="1"/>
    <xf numFmtId="0" fontId="10" fillId="0" borderId="46" xfId="0" applyFont="1" applyBorder="1" applyAlignment="1">
      <alignment horizontal="left" vertical="top" wrapText="1"/>
    </xf>
    <xf numFmtId="41" fontId="8" fillId="16" borderId="18" xfId="20" applyFont="1" applyFill="1" applyBorder="1" applyAlignment="1" applyProtection="1"/>
    <xf numFmtId="41" fontId="8" fillId="16" borderId="18" xfId="20" applyFont="1" applyFill="1" applyBorder="1" applyProtection="1"/>
    <xf numFmtId="167" fontId="8" fillId="0" borderId="18" xfId="1" applyNumberFormat="1" applyFont="1" applyFill="1" applyBorder="1" applyProtection="1"/>
    <xf numFmtId="167" fontId="8" fillId="16" borderId="23" xfId="1" applyNumberFormat="1" applyFont="1" applyFill="1" applyBorder="1" applyProtection="1"/>
    <xf numFmtId="41" fontId="8" fillId="16" borderId="23" xfId="20" applyFont="1" applyFill="1" applyBorder="1" applyAlignment="1" applyProtection="1"/>
    <xf numFmtId="167" fontId="8" fillId="0" borderId="15" xfId="1" applyNumberFormat="1" applyFont="1" applyBorder="1" applyProtection="1"/>
    <xf numFmtId="167" fontId="8" fillId="0" borderId="20" xfId="1" applyNumberFormat="1" applyFont="1" applyBorder="1" applyProtection="1"/>
    <xf numFmtId="43" fontId="13" fillId="21" borderId="13" xfId="1" applyFont="1" applyFill="1" applyBorder="1" applyAlignment="1">
      <alignment vertical="top"/>
    </xf>
    <xf numFmtId="0" fontId="13" fillId="21" borderId="23" xfId="0" applyFont="1" applyFill="1" applyBorder="1" applyAlignment="1">
      <alignment vertical="top"/>
    </xf>
    <xf numFmtId="0" fontId="13" fillId="21" borderId="7" xfId="0" applyFont="1" applyFill="1" applyBorder="1" applyAlignment="1">
      <alignment vertical="center"/>
    </xf>
    <xf numFmtId="0" fontId="13" fillId="21" borderId="13" xfId="0" applyFont="1" applyFill="1" applyBorder="1" applyAlignment="1">
      <alignment horizontal="center" vertical="top" wrapText="1"/>
    </xf>
    <xf numFmtId="0" fontId="13" fillId="21" borderId="13" xfId="0" applyFont="1" applyFill="1" applyBorder="1" applyAlignment="1">
      <alignment horizontal="center" vertical="top"/>
    </xf>
    <xf numFmtId="41" fontId="10" fillId="21" borderId="13" xfId="20" applyFont="1" applyFill="1" applyBorder="1" applyAlignment="1">
      <alignment vertical="top"/>
    </xf>
    <xf numFmtId="43" fontId="10" fillId="21" borderId="13" xfId="1" applyFont="1" applyFill="1" applyBorder="1" applyAlignment="1">
      <alignment vertical="top"/>
    </xf>
    <xf numFmtId="0" fontId="13" fillId="21" borderId="7" xfId="0" applyFont="1" applyFill="1" applyBorder="1" applyAlignment="1">
      <alignment horizontal="center" vertical="center"/>
    </xf>
    <xf numFmtId="0" fontId="13" fillId="21" borderId="23" xfId="0" applyFont="1" applyFill="1" applyBorder="1" applyAlignment="1">
      <alignment horizontal="center" vertical="top" wrapText="1"/>
    </xf>
    <xf numFmtId="0" fontId="13" fillId="21" borderId="13" xfId="0" applyFont="1" applyFill="1" applyBorder="1" applyAlignment="1">
      <alignment horizontal="center" vertical="center" wrapText="1"/>
    </xf>
    <xf numFmtId="43" fontId="13" fillId="21" borderId="13" xfId="1" applyFont="1" applyFill="1" applyBorder="1" applyAlignment="1">
      <alignment horizontal="center" vertical="center" wrapText="1"/>
    </xf>
    <xf numFmtId="167" fontId="13" fillId="21" borderId="13" xfId="0" applyNumberFormat="1" applyFont="1" applyFill="1" applyBorder="1" applyAlignment="1">
      <alignment horizontal="right" vertical="top" wrapText="1"/>
    </xf>
    <xf numFmtId="43" fontId="13" fillId="21" borderId="13" xfId="1" applyFont="1" applyFill="1" applyBorder="1" applyAlignment="1">
      <alignment horizontal="center" vertical="top" wrapText="1"/>
    </xf>
    <xf numFmtId="43" fontId="8" fillId="0" borderId="13" xfId="1" applyFont="1" applyFill="1" applyBorder="1"/>
    <xf numFmtId="43" fontId="13" fillId="21" borderId="20" xfId="3" applyFont="1" applyFill="1" applyBorder="1" applyAlignment="1" applyProtection="1">
      <alignment horizontal="right" vertical="top" wrapText="1"/>
    </xf>
    <xf numFmtId="43" fontId="13" fillId="21" borderId="20" xfId="1" applyFont="1" applyFill="1" applyBorder="1" applyAlignment="1" applyProtection="1">
      <alignment horizontal="right" vertical="top" wrapText="1"/>
    </xf>
    <xf numFmtId="0" fontId="13" fillId="21" borderId="8" xfId="0" applyFont="1" applyFill="1" applyBorder="1" applyAlignment="1">
      <alignment horizontal="center" vertical="top" wrapText="1"/>
    </xf>
    <xf numFmtId="167" fontId="13" fillId="21" borderId="13" xfId="0" applyNumberFormat="1" applyFont="1" applyFill="1" applyBorder="1" applyAlignment="1">
      <alignment horizontal="center" vertical="top" wrapText="1"/>
    </xf>
    <xf numFmtId="41" fontId="13" fillId="0" borderId="16" xfId="20" applyFont="1" applyFill="1" applyBorder="1" applyAlignment="1">
      <alignment horizontal="right"/>
    </xf>
    <xf numFmtId="43" fontId="13" fillId="0" borderId="13" xfId="0" applyNumberFormat="1" applyFont="1" applyBorder="1"/>
    <xf numFmtId="43" fontId="13" fillId="21" borderId="13" xfId="1" applyFont="1" applyFill="1" applyBorder="1" applyAlignment="1" applyProtection="1">
      <alignment horizontal="right" vertical="top" wrapText="1"/>
    </xf>
    <xf numFmtId="167" fontId="13" fillId="0" borderId="5" xfId="5" applyNumberFormat="1" applyFont="1" applyBorder="1" applyAlignment="1">
      <alignment vertical="top"/>
    </xf>
    <xf numFmtId="167" fontId="13" fillId="21" borderId="13" xfId="1" applyNumberFormat="1" applyFont="1" applyFill="1" applyBorder="1" applyAlignment="1">
      <alignment horizontal="center" vertical="top"/>
    </xf>
    <xf numFmtId="167" fontId="13" fillId="21" borderId="7" xfId="1" applyNumberFormat="1" applyFont="1" applyFill="1" applyBorder="1" applyAlignment="1">
      <alignment horizontal="center" vertical="top"/>
    </xf>
    <xf numFmtId="167" fontId="13" fillId="21" borderId="23" xfId="1" applyNumberFormat="1" applyFont="1" applyFill="1" applyBorder="1" applyAlignment="1">
      <alignment horizontal="center" vertical="top"/>
    </xf>
    <xf numFmtId="167" fontId="13" fillId="21" borderId="13" xfId="1" applyNumberFormat="1" applyFont="1" applyFill="1" applyBorder="1" applyAlignment="1">
      <alignment horizontal="center" vertical="top" wrapText="1"/>
    </xf>
    <xf numFmtId="167" fontId="13" fillId="21" borderId="13" xfId="1" applyNumberFormat="1" applyFont="1" applyFill="1" applyBorder="1" applyAlignment="1">
      <alignment horizontal="center" vertical="center"/>
    </xf>
    <xf numFmtId="167" fontId="10" fillId="0" borderId="18" xfId="1" applyNumberFormat="1" applyFont="1" applyFill="1" applyBorder="1" applyAlignment="1">
      <alignment vertical="top"/>
    </xf>
    <xf numFmtId="43" fontId="10" fillId="0" borderId="46" xfId="1" applyFont="1" applyFill="1" applyBorder="1" applyAlignment="1">
      <alignment vertical="top"/>
    </xf>
    <xf numFmtId="0" fontId="13" fillId="21" borderId="13" xfId="0" applyFont="1" applyFill="1" applyBorder="1" applyAlignment="1">
      <alignment horizontal="right" vertical="top" wrapText="1"/>
    </xf>
    <xf numFmtId="167" fontId="13" fillId="21" borderId="13" xfId="1" applyNumberFormat="1" applyFont="1" applyFill="1" applyBorder="1" applyAlignment="1">
      <alignment horizontal="left" vertical="center"/>
    </xf>
    <xf numFmtId="0" fontId="13" fillId="21" borderId="18" xfId="0" applyFont="1" applyFill="1" applyBorder="1" applyAlignment="1">
      <alignment horizontal="right" vertical="top" wrapText="1"/>
    </xf>
    <xf numFmtId="167" fontId="13" fillId="21" borderId="13" xfId="1" applyNumberFormat="1" applyFont="1" applyFill="1" applyBorder="1" applyAlignment="1">
      <alignment vertical="top"/>
    </xf>
    <xf numFmtId="167" fontId="13" fillId="21" borderId="8" xfId="1" applyNumberFormat="1" applyFont="1" applyFill="1" applyBorder="1" applyAlignment="1">
      <alignment horizontal="center" vertical="top"/>
    </xf>
    <xf numFmtId="167" fontId="13" fillId="21" borderId="7" xfId="1" applyNumberFormat="1" applyFont="1" applyFill="1" applyBorder="1" applyAlignment="1">
      <alignment horizontal="center" vertical="top" wrapText="1"/>
    </xf>
    <xf numFmtId="0" fontId="13" fillId="21" borderId="18" xfId="0" applyFont="1" applyFill="1" applyBorder="1" applyAlignment="1">
      <alignment horizontal="right" vertical="top"/>
    </xf>
    <xf numFmtId="0" fontId="13" fillId="21" borderId="46" xfId="0" applyFont="1" applyFill="1" applyBorder="1" applyAlignment="1">
      <alignment horizontal="right" vertical="top" wrapText="1" indent="2"/>
    </xf>
    <xf numFmtId="0" fontId="13" fillId="21" borderId="18" xfId="0" applyFont="1" applyFill="1" applyBorder="1" applyAlignment="1">
      <alignment horizontal="left" vertical="top" wrapText="1"/>
    </xf>
    <xf numFmtId="167" fontId="13" fillId="21" borderId="13" xfId="1" applyNumberFormat="1" applyFont="1" applyFill="1" applyBorder="1" applyAlignment="1">
      <alignment horizontal="center" vertical="center" wrapText="1"/>
    </xf>
    <xf numFmtId="0" fontId="13" fillId="21" borderId="7" xfId="0" applyFont="1" applyFill="1" applyBorder="1" applyAlignment="1">
      <alignment horizontal="right" vertical="top"/>
    </xf>
    <xf numFmtId="0" fontId="13" fillId="21" borderId="23" xfId="0" applyFont="1" applyFill="1" applyBorder="1" applyAlignment="1">
      <alignment horizontal="right" vertical="top"/>
    </xf>
    <xf numFmtId="167" fontId="13" fillId="21" borderId="23" xfId="1" applyNumberFormat="1" applyFont="1" applyFill="1" applyBorder="1" applyAlignment="1">
      <alignment horizontal="center" vertical="top" wrapText="1"/>
    </xf>
    <xf numFmtId="0" fontId="13" fillId="21" borderId="23" xfId="0" applyFont="1" applyFill="1" applyBorder="1" applyAlignment="1">
      <alignment horizontal="right"/>
    </xf>
    <xf numFmtId="167" fontId="10" fillId="0" borderId="13" xfId="5" applyNumberFormat="1" applyFont="1" applyBorder="1" applyAlignment="1">
      <alignment vertical="top"/>
    </xf>
    <xf numFmtId="0" fontId="10" fillId="4" borderId="46" xfId="0" applyFont="1" applyFill="1" applyBorder="1" applyAlignment="1">
      <alignment horizontal="left" vertical="top" wrapText="1" indent="2"/>
    </xf>
    <xf numFmtId="43" fontId="10" fillId="0" borderId="0" xfId="1" applyFont="1" applyBorder="1" applyAlignment="1">
      <alignment horizontal="center" vertical="top"/>
    </xf>
    <xf numFmtId="0" fontId="11" fillId="21" borderId="13" xfId="0" applyFont="1" applyFill="1" applyBorder="1" applyAlignment="1">
      <alignment horizontal="center" vertical="center" wrapText="1"/>
    </xf>
    <xf numFmtId="167" fontId="13" fillId="21" borderId="13" xfId="1" applyNumberFormat="1" applyFont="1" applyFill="1" applyBorder="1" applyAlignment="1"/>
    <xf numFmtId="0" fontId="39" fillId="0" borderId="66" xfId="0" applyFont="1" applyBorder="1" applyAlignment="1">
      <alignment vertical="top"/>
    </xf>
    <xf numFmtId="0" fontId="41" fillId="0" borderId="0" xfId="0" applyFont="1"/>
    <xf numFmtId="0" fontId="39" fillId="0" borderId="0" xfId="0" applyFont="1"/>
    <xf numFmtId="0" fontId="39" fillId="0" borderId="70" xfId="0" applyFont="1" applyBorder="1" applyAlignment="1">
      <alignment vertical="top"/>
    </xf>
    <xf numFmtId="0" fontId="44" fillId="0" borderId="70" xfId="31" applyFont="1" applyBorder="1" applyAlignment="1">
      <alignment horizontal="center" vertical="top"/>
    </xf>
    <xf numFmtId="0" fontId="44" fillId="0" borderId="46" xfId="32" applyFont="1" applyBorder="1"/>
    <xf numFmtId="0" fontId="39" fillId="0" borderId="72" xfId="5" applyFont="1" applyBorder="1"/>
    <xf numFmtId="167" fontId="39" fillId="0" borderId="0" xfId="33" applyNumberFormat="1" applyFont="1" applyFill="1" applyBorder="1" applyAlignment="1">
      <alignment vertical="top"/>
    </xf>
    <xf numFmtId="0" fontId="39" fillId="0" borderId="0" xfId="5" applyFont="1"/>
    <xf numFmtId="0" fontId="44" fillId="0" borderId="70" xfId="5" applyFont="1" applyBorder="1" applyAlignment="1">
      <alignment horizontal="center" vertical="top"/>
    </xf>
    <xf numFmtId="0" fontId="44" fillId="0" borderId="29" xfId="5" applyFont="1" applyBorder="1" applyAlignment="1">
      <alignment horizontal="center"/>
    </xf>
    <xf numFmtId="0" fontId="44" fillId="0" borderId="0" xfId="5" applyFont="1" applyAlignment="1">
      <alignment horizontal="center"/>
    </xf>
    <xf numFmtId="0" fontId="44" fillId="0" borderId="0" xfId="5" applyFont="1" applyAlignment="1">
      <alignment horizontal="right"/>
    </xf>
    <xf numFmtId="0" fontId="45" fillId="0" borderId="71" xfId="32" applyFont="1" applyBorder="1"/>
    <xf numFmtId="0" fontId="44" fillId="0" borderId="29" xfId="5" applyFont="1" applyBorder="1"/>
    <xf numFmtId="0" fontId="44" fillId="0" borderId="0" xfId="5" applyFont="1"/>
    <xf numFmtId="0" fontId="46" fillId="0" borderId="71" xfId="5" applyFont="1" applyBorder="1"/>
    <xf numFmtId="0" fontId="45" fillId="0" borderId="0" xfId="5" applyFont="1"/>
    <xf numFmtId="0" fontId="39" fillId="0" borderId="68" xfId="5" applyFont="1" applyBorder="1"/>
    <xf numFmtId="0" fontId="46" fillId="0" borderId="29" xfId="5" applyFont="1" applyBorder="1"/>
    <xf numFmtId="0" fontId="46" fillId="0" borderId="0" xfId="5" applyFont="1"/>
    <xf numFmtId="0" fontId="46" fillId="0" borderId="0" xfId="5" applyFont="1" applyAlignment="1">
      <alignment horizontal="right"/>
    </xf>
    <xf numFmtId="0" fontId="44" fillId="0" borderId="73" xfId="34" applyFont="1" applyBorder="1" applyAlignment="1">
      <alignment horizontal="justify" vertical="top" wrapText="1"/>
    </xf>
    <xf numFmtId="0" fontId="47" fillId="0" borderId="74" xfId="34" applyFont="1" applyBorder="1" applyAlignment="1">
      <alignment horizontal="justify" vertical="top" wrapText="1"/>
    </xf>
    <xf numFmtId="0" fontId="47" fillId="0" borderId="75" xfId="34" applyFont="1" applyBorder="1" applyAlignment="1">
      <alignment horizontal="justify" vertical="top" wrapText="1"/>
    </xf>
    <xf numFmtId="15" fontId="44" fillId="0" borderId="76" xfId="34" applyNumberFormat="1" applyFont="1" applyBorder="1" applyAlignment="1">
      <alignment horizontal="right"/>
    </xf>
    <xf numFmtId="15" fontId="44" fillId="0" borderId="77" xfId="34" applyNumberFormat="1" applyFont="1" applyBorder="1" applyAlignment="1">
      <alignment horizontal="right"/>
    </xf>
    <xf numFmtId="0" fontId="45" fillId="0" borderId="68" xfId="5" applyFont="1" applyBorder="1"/>
    <xf numFmtId="0" fontId="46" fillId="0" borderId="29" xfId="34" applyFont="1" applyBorder="1"/>
    <xf numFmtId="0" fontId="46" fillId="0" borderId="0" xfId="34" applyFont="1"/>
    <xf numFmtId="0" fontId="46" fillId="0" borderId="22" xfId="34" applyFont="1" applyBorder="1"/>
    <xf numFmtId="171" fontId="46" fillId="0" borderId="21" xfId="28" applyNumberFormat="1" applyFont="1" applyFill="1" applyBorder="1" applyAlignment="1">
      <alignment horizontal="right"/>
    </xf>
    <xf numFmtId="171" fontId="46" fillId="0" borderId="71" xfId="28" applyNumberFormat="1" applyFont="1" applyFill="1" applyBorder="1" applyAlignment="1">
      <alignment horizontal="right"/>
    </xf>
    <xf numFmtId="0" fontId="46" fillId="0" borderId="73" xfId="34" applyFont="1" applyBorder="1"/>
    <xf numFmtId="0" fontId="46" fillId="0" borderId="74" xfId="34" applyFont="1" applyBorder="1"/>
    <xf numFmtId="0" fontId="46" fillId="0" borderId="75" xfId="34" applyFont="1" applyBorder="1"/>
    <xf numFmtId="171" fontId="44" fillId="0" borderId="76" xfId="28" applyNumberFormat="1" applyFont="1" applyFill="1" applyBorder="1" applyAlignment="1">
      <alignment horizontal="right"/>
    </xf>
    <xf numFmtId="171" fontId="44" fillId="0" borderId="77" xfId="28" applyNumberFormat="1" applyFont="1" applyFill="1" applyBorder="1" applyAlignment="1">
      <alignment horizontal="right"/>
    </xf>
    <xf numFmtId="0" fontId="39" fillId="0" borderId="71" xfId="5" applyFont="1" applyBorder="1"/>
    <xf numFmtId="0" fontId="46" fillId="0" borderId="70" xfId="34" applyFont="1" applyBorder="1" applyAlignment="1">
      <alignment vertical="top"/>
    </xf>
    <xf numFmtId="0" fontId="39" fillId="0" borderId="0" xfId="34" applyFont="1"/>
    <xf numFmtId="37" fontId="48" fillId="0" borderId="21" xfId="35" applyNumberFormat="1" applyFont="1" applyBorder="1" applyAlignment="1">
      <alignment horizontal="right"/>
    </xf>
    <xf numFmtId="37" fontId="48" fillId="0" borderId="78" xfId="35" applyNumberFormat="1" applyFont="1" applyBorder="1" applyAlignment="1">
      <alignment horizontal="right"/>
    </xf>
    <xf numFmtId="0" fontId="39" fillId="0" borderId="70" xfId="34" applyFont="1" applyBorder="1" applyAlignment="1">
      <alignment vertical="top"/>
    </xf>
    <xf numFmtId="0" fontId="39" fillId="0" borderId="29" xfId="34" applyFont="1" applyBorder="1"/>
    <xf numFmtId="0" fontId="39" fillId="0" borderId="0" xfId="34" applyFont="1" applyAlignment="1">
      <alignment horizontal="right"/>
    </xf>
    <xf numFmtId="0" fontId="39" fillId="0" borderId="71" xfId="34" applyFont="1" applyBorder="1"/>
    <xf numFmtId="0" fontId="44" fillId="0" borderId="70" xfId="34" applyFont="1" applyBorder="1" applyAlignment="1">
      <alignment horizontal="center" vertical="top"/>
    </xf>
    <xf numFmtId="0" fontId="47" fillId="0" borderId="29" xfId="32" applyFont="1" applyBorder="1"/>
    <xf numFmtId="0" fontId="47" fillId="0" borderId="0" xfId="32" applyFont="1"/>
    <xf numFmtId="15" fontId="47" fillId="0" borderId="0" xfId="33" applyNumberFormat="1" applyFont="1" applyFill="1" applyBorder="1" applyAlignment="1">
      <alignment horizontal="right" vertical="top"/>
    </xf>
    <xf numFmtId="15" fontId="47" fillId="0" borderId="71" xfId="33" applyNumberFormat="1" applyFont="1" applyFill="1" applyBorder="1" applyAlignment="1">
      <alignment horizontal="center" vertical="top"/>
    </xf>
    <xf numFmtId="0" fontId="44" fillId="0" borderId="29" xfId="32" applyFont="1" applyBorder="1"/>
    <xf numFmtId="15" fontId="47" fillId="0" borderId="71" xfId="33" applyNumberFormat="1" applyFont="1" applyFill="1" applyBorder="1" applyAlignment="1">
      <alignment vertical="top"/>
    </xf>
    <xf numFmtId="43" fontId="46" fillId="0" borderId="29" xfId="36" applyNumberFormat="1" applyFont="1" applyFill="1" applyBorder="1"/>
    <xf numFmtId="43" fontId="46" fillId="0" borderId="0" xfId="36" applyNumberFormat="1" applyFont="1" applyFill="1" applyBorder="1"/>
    <xf numFmtId="43" fontId="46" fillId="0" borderId="0" xfId="36" applyNumberFormat="1" applyFont="1" applyFill="1" applyBorder="1" applyAlignment="1">
      <alignment horizontal="right"/>
    </xf>
    <xf numFmtId="43" fontId="46" fillId="0" borderId="71" xfId="36" applyNumberFormat="1" applyFont="1" applyFill="1" applyBorder="1"/>
    <xf numFmtId="167" fontId="39" fillId="0" borderId="0" xfId="33" applyNumberFormat="1" applyFont="1" applyFill="1" applyAlignment="1">
      <alignment vertical="top"/>
    </xf>
    <xf numFmtId="0" fontId="39" fillId="0" borderId="0" xfId="37" applyFont="1"/>
    <xf numFmtId="43" fontId="44" fillId="0" borderId="29" xfId="36" applyNumberFormat="1" applyFont="1" applyFill="1" applyBorder="1"/>
    <xf numFmtId="0" fontId="44" fillId="0" borderId="0" xfId="32" applyFont="1"/>
    <xf numFmtId="164" fontId="46" fillId="0" borderId="29" xfId="28" applyFont="1" applyFill="1" applyBorder="1"/>
    <xf numFmtId="43" fontId="44" fillId="0" borderId="0" xfId="36" applyNumberFormat="1" applyFont="1" applyFill="1" applyBorder="1"/>
    <xf numFmtId="164" fontId="46" fillId="0" borderId="29" xfId="28" applyFont="1" applyFill="1" applyBorder="1" applyAlignment="1">
      <alignment vertical="top"/>
    </xf>
    <xf numFmtId="0" fontId="45" fillId="0" borderId="70" xfId="34" applyFont="1" applyBorder="1" applyAlignment="1">
      <alignment horizontal="center" vertical="top"/>
    </xf>
    <xf numFmtId="43" fontId="39" fillId="0" borderId="29" xfId="36" applyNumberFormat="1" applyFont="1" applyFill="1" applyBorder="1"/>
    <xf numFmtId="43" fontId="39" fillId="0" borderId="0" xfId="36" applyNumberFormat="1" applyFont="1" applyFill="1" applyBorder="1"/>
    <xf numFmtId="43" fontId="39" fillId="0" borderId="0" xfId="36" applyNumberFormat="1" applyFont="1" applyFill="1" applyBorder="1" applyAlignment="1">
      <alignment horizontal="right"/>
    </xf>
    <xf numFmtId="43" fontId="39" fillId="0" borderId="71" xfId="36" applyNumberFormat="1" applyFont="1" applyFill="1" applyBorder="1"/>
    <xf numFmtId="0" fontId="45" fillId="0" borderId="0" xfId="32" applyFont="1"/>
    <xf numFmtId="167" fontId="39" fillId="0" borderId="0" xfId="33" applyNumberFormat="1" applyFont="1" applyFill="1" applyBorder="1" applyAlignment="1">
      <alignment horizontal="right" vertical="top"/>
    </xf>
    <xf numFmtId="167" fontId="39" fillId="0" borderId="71" xfId="33" applyNumberFormat="1" applyFont="1" applyFill="1" applyBorder="1" applyAlignment="1">
      <alignment vertical="top"/>
    </xf>
    <xf numFmtId="43" fontId="46" fillId="0" borderId="29" xfId="38" applyFont="1" applyFill="1" applyBorder="1" applyAlignment="1">
      <alignment vertical="top"/>
    </xf>
    <xf numFmtId="0" fontId="39" fillId="0" borderId="0" xfId="32" applyFont="1"/>
    <xf numFmtId="0" fontId="39" fillId="0" borderId="29" xfId="32" applyFont="1" applyBorder="1"/>
    <xf numFmtId="0" fontId="46" fillId="0" borderId="0" xfId="32" applyFont="1"/>
    <xf numFmtId="167" fontId="46" fillId="0" borderId="0" xfId="33" applyNumberFormat="1" applyFont="1" applyFill="1" applyBorder="1" applyAlignment="1">
      <alignment horizontal="right" vertical="top"/>
    </xf>
    <xf numFmtId="167" fontId="46" fillId="0" borderId="71" xfId="33" applyNumberFormat="1" applyFont="1" applyFill="1" applyBorder="1" applyAlignment="1">
      <alignment vertical="top"/>
    </xf>
    <xf numFmtId="167" fontId="46" fillId="0" borderId="29" xfId="39" applyNumberFormat="1" applyFont="1" applyFill="1" applyBorder="1"/>
    <xf numFmtId="167" fontId="46" fillId="0" borderId="0" xfId="39" applyNumberFormat="1" applyFont="1" applyFill="1" applyBorder="1"/>
    <xf numFmtId="0" fontId="44" fillId="0" borderId="73" xfId="34" applyFont="1" applyBorder="1" applyAlignment="1">
      <alignment horizontal="left" vertical="top"/>
    </xf>
    <xf numFmtId="0" fontId="44" fillId="0" borderId="75" xfId="34" applyFont="1" applyBorder="1" applyAlignment="1">
      <alignment horizontal="center" vertical="top"/>
    </xf>
    <xf numFmtId="0" fontId="44" fillId="0" borderId="75" xfId="34" applyFont="1" applyBorder="1" applyAlignment="1">
      <alignment horizontal="center" wrapText="1"/>
    </xf>
    <xf numFmtId="15" fontId="44" fillId="0" borderId="75" xfId="33" applyNumberFormat="1" applyFont="1" applyFill="1" applyBorder="1" applyAlignment="1">
      <alignment horizontal="right" vertical="top"/>
    </xf>
    <xf numFmtId="15" fontId="44" fillId="0" borderId="77" xfId="33" applyNumberFormat="1" applyFont="1" applyFill="1" applyBorder="1" applyAlignment="1">
      <alignment horizontal="right" vertical="top"/>
    </xf>
    <xf numFmtId="43" fontId="45" fillId="0" borderId="0" xfId="36" applyNumberFormat="1" applyFont="1" applyFill="1"/>
    <xf numFmtId="0" fontId="47" fillId="0" borderId="29" xfId="40" applyFont="1" applyBorder="1"/>
    <xf numFmtId="0" fontId="47" fillId="0" borderId="22" xfId="40" applyFont="1" applyBorder="1"/>
    <xf numFmtId="0" fontId="47" fillId="0" borderId="22" xfId="40" applyFont="1" applyBorder="1" applyAlignment="1">
      <alignment horizontal="right"/>
    </xf>
    <xf numFmtId="0" fontId="47" fillId="0" borderId="71" xfId="40" applyFont="1" applyBorder="1"/>
    <xf numFmtId="0" fontId="44" fillId="0" borderId="29" xfId="40" applyFont="1" applyBorder="1"/>
    <xf numFmtId="0" fontId="44" fillId="0" borderId="22" xfId="40" applyFont="1" applyBorder="1"/>
    <xf numFmtId="164" fontId="46" fillId="0" borderId="22" xfId="28" applyFont="1" applyBorder="1" applyAlignment="1">
      <alignment horizontal="right"/>
    </xf>
    <xf numFmtId="164" fontId="44" fillId="0" borderId="71" xfId="28" applyFont="1" applyBorder="1" applyAlignment="1"/>
    <xf numFmtId="164" fontId="46" fillId="0" borderId="29" xfId="28" applyFont="1" applyFill="1" applyBorder="1" applyAlignment="1"/>
    <xf numFmtId="0" fontId="46" fillId="0" borderId="22" xfId="40" applyFont="1" applyBorder="1"/>
    <xf numFmtId="0" fontId="46" fillId="0" borderId="22" xfId="34" applyFont="1" applyBorder="1" applyAlignment="1">
      <alignment horizontal="center"/>
    </xf>
    <xf numFmtId="171" fontId="46" fillId="0" borderId="22" xfId="28" applyNumberFormat="1" applyFont="1" applyFill="1" applyBorder="1" applyAlignment="1">
      <alignment horizontal="right"/>
    </xf>
    <xf numFmtId="171" fontId="46" fillId="0" borderId="71" xfId="28" applyNumberFormat="1" applyFont="1" applyBorder="1" applyAlignment="1"/>
    <xf numFmtId="0" fontId="46" fillId="0" borderId="29" xfId="40" applyFont="1" applyBorder="1"/>
    <xf numFmtId="167" fontId="46" fillId="0" borderId="29" xfId="33" applyNumberFormat="1" applyFont="1" applyFill="1" applyBorder="1" applyAlignment="1"/>
    <xf numFmtId="167" fontId="46" fillId="0" borderId="22" xfId="33" applyNumberFormat="1" applyFont="1" applyFill="1" applyBorder="1" applyAlignment="1"/>
    <xf numFmtId="171" fontId="46" fillId="0" borderId="71" xfId="28" applyNumberFormat="1" applyFont="1" applyFill="1" applyBorder="1"/>
    <xf numFmtId="167" fontId="39" fillId="0" borderId="29" xfId="33" applyNumberFormat="1" applyFont="1" applyFill="1" applyBorder="1" applyAlignment="1"/>
    <xf numFmtId="167" fontId="39" fillId="0" borderId="22" xfId="33" applyNumberFormat="1" applyFont="1" applyFill="1" applyBorder="1" applyAlignment="1"/>
    <xf numFmtId="0" fontId="39" fillId="0" borderId="22" xfId="34" applyFont="1" applyBorder="1" applyAlignment="1">
      <alignment horizontal="center"/>
    </xf>
    <xf numFmtId="171" fontId="39" fillId="0" borderId="22" xfId="28" applyNumberFormat="1" applyFont="1" applyFill="1" applyBorder="1" applyAlignment="1">
      <alignment horizontal="right"/>
    </xf>
    <xf numFmtId="43" fontId="46" fillId="0" borderId="22" xfId="36" applyNumberFormat="1" applyFont="1" applyFill="1" applyBorder="1"/>
    <xf numFmtId="164" fontId="44" fillId="0" borderId="29" xfId="28" applyFont="1" applyFill="1" applyBorder="1" applyAlignment="1"/>
    <xf numFmtId="167" fontId="44" fillId="0" borderId="22" xfId="33" applyNumberFormat="1" applyFont="1" applyFill="1" applyBorder="1" applyAlignment="1"/>
    <xf numFmtId="43" fontId="44" fillId="0" borderId="0" xfId="36" applyNumberFormat="1" applyFont="1" applyFill="1"/>
    <xf numFmtId="164" fontId="44" fillId="0" borderId="29" xfId="28" applyFont="1" applyFill="1" applyBorder="1" applyAlignment="1">
      <alignment vertical="top"/>
    </xf>
    <xf numFmtId="167" fontId="44" fillId="0" borderId="22" xfId="33" applyNumberFormat="1" applyFont="1" applyFill="1" applyBorder="1" applyAlignment="1">
      <alignment vertical="top"/>
    </xf>
    <xf numFmtId="171" fontId="46" fillId="0" borderId="22" xfId="28" applyNumberFormat="1" applyFont="1" applyBorder="1" applyAlignment="1">
      <alignment horizontal="right"/>
    </xf>
    <xf numFmtId="164" fontId="44" fillId="0" borderId="29" xfId="28" applyFont="1" applyFill="1" applyBorder="1"/>
    <xf numFmtId="0" fontId="44" fillId="0" borderId="79" xfId="34" applyFont="1" applyBorder="1" applyAlignment="1">
      <alignment horizontal="center" vertical="top"/>
    </xf>
    <xf numFmtId="167" fontId="46" fillId="0" borderId="80" xfId="33" applyNumberFormat="1" applyFont="1" applyFill="1" applyBorder="1" applyAlignment="1">
      <alignment vertical="top"/>
    </xf>
    <xf numFmtId="167" fontId="46" fillId="0" borderId="81" xfId="33" applyNumberFormat="1" applyFont="1" applyFill="1" applyBorder="1" applyAlignment="1">
      <alignment vertical="top"/>
    </xf>
    <xf numFmtId="0" fontId="46" fillId="0" borderId="81" xfId="34" applyFont="1" applyBorder="1" applyAlignment="1">
      <alignment horizontal="center"/>
    </xf>
    <xf numFmtId="164" fontId="46" fillId="0" borderId="81" xfId="28" applyFont="1" applyBorder="1" applyAlignment="1">
      <alignment horizontal="right"/>
    </xf>
    <xf numFmtId="164" fontId="46" fillId="0" borderId="82" xfId="28" applyFont="1" applyFill="1" applyBorder="1"/>
    <xf numFmtId="0" fontId="44" fillId="0" borderId="83" xfId="34" applyFont="1" applyBorder="1" applyAlignment="1">
      <alignment horizontal="center" vertical="top"/>
    </xf>
    <xf numFmtId="167" fontId="46" fillId="0" borderId="67" xfId="33" applyNumberFormat="1" applyFont="1" applyFill="1" applyBorder="1" applyAlignment="1">
      <alignment vertical="top"/>
    </xf>
    <xf numFmtId="167" fontId="46" fillId="0" borderId="68" xfId="33" applyNumberFormat="1" applyFont="1" applyFill="1" applyBorder="1" applyAlignment="1">
      <alignment vertical="top"/>
    </xf>
    <xf numFmtId="0" fontId="46" fillId="0" borderId="68" xfId="34" applyFont="1" applyBorder="1" applyAlignment="1">
      <alignment horizontal="center"/>
    </xf>
    <xf numFmtId="164" fontId="46" fillId="0" borderId="68" xfId="28" applyFont="1" applyBorder="1" applyAlignment="1">
      <alignment horizontal="right"/>
    </xf>
    <xf numFmtId="164" fontId="46" fillId="0" borderId="69" xfId="28" applyFont="1" applyFill="1" applyBorder="1"/>
    <xf numFmtId="0" fontId="44" fillId="0" borderId="29" xfId="5" applyFont="1" applyBorder="1" applyAlignment="1">
      <alignment horizontal="left"/>
    </xf>
    <xf numFmtId="15" fontId="44" fillId="0" borderId="75" xfId="5" applyNumberFormat="1" applyFont="1" applyBorder="1" applyAlignment="1">
      <alignment vertical="justify" wrapText="1"/>
    </xf>
    <xf numFmtId="15" fontId="44" fillId="0" borderId="77" xfId="5" applyNumberFormat="1" applyFont="1" applyBorder="1" applyAlignment="1">
      <alignment vertical="justify" wrapText="1"/>
    </xf>
    <xf numFmtId="0" fontId="46" fillId="0" borderId="22" xfId="5" applyFont="1" applyBorder="1" applyAlignment="1">
      <alignment horizontal="justify" vertical="justify" wrapText="1"/>
    </xf>
    <xf numFmtId="0" fontId="46" fillId="0" borderId="22" xfId="5" applyFont="1" applyBorder="1" applyAlignment="1">
      <alignment horizontal="right" vertical="justify" wrapText="1"/>
    </xf>
    <xf numFmtId="0" fontId="46" fillId="0" borderId="29" xfId="5" applyFont="1" applyBorder="1" applyAlignment="1">
      <alignment horizontal="left" vertical="top" wrapText="1"/>
    </xf>
    <xf numFmtId="0" fontId="46" fillId="0" borderId="0" xfId="5" applyFont="1" applyAlignment="1">
      <alignment horizontal="left" vertical="top" wrapText="1"/>
    </xf>
    <xf numFmtId="171" fontId="46" fillId="0" borderId="22" xfId="28" applyNumberFormat="1" applyFont="1" applyFill="1" applyBorder="1" applyAlignment="1">
      <alignment horizontal="right" vertical="justify" wrapText="1"/>
    </xf>
    <xf numFmtId="171" fontId="46" fillId="0" borderId="71" xfId="28" applyNumberFormat="1" applyFont="1" applyBorder="1"/>
    <xf numFmtId="0" fontId="46" fillId="0" borderId="20" xfId="5" applyFont="1" applyBorder="1" applyAlignment="1">
      <alignment horizontal="justify" vertical="justify" wrapText="1"/>
    </xf>
    <xf numFmtId="171" fontId="46" fillId="0" borderId="20" xfId="28" applyNumberFormat="1" applyFont="1" applyFill="1" applyBorder="1" applyAlignment="1">
      <alignment horizontal="right" vertical="justify" wrapText="1"/>
    </xf>
    <xf numFmtId="171" fontId="46" fillId="0" borderId="72" xfId="28" applyNumberFormat="1" applyFont="1" applyBorder="1"/>
    <xf numFmtId="0" fontId="45" fillId="0" borderId="70" xfId="5" applyFont="1" applyBorder="1" applyAlignment="1">
      <alignment horizontal="center" vertical="top"/>
    </xf>
    <xf numFmtId="0" fontId="45" fillId="0" borderId="29" xfId="5" applyFont="1" applyBorder="1" applyAlignment="1">
      <alignment horizontal="center"/>
    </xf>
    <xf numFmtId="0" fontId="45" fillId="0" borderId="0" xfId="5" applyFont="1" applyAlignment="1">
      <alignment horizontal="center"/>
    </xf>
    <xf numFmtId="0" fontId="45" fillId="0" borderId="0" xfId="5" applyFont="1" applyAlignment="1">
      <alignment horizontal="right"/>
    </xf>
    <xf numFmtId="0" fontId="44" fillId="0" borderId="71" xfId="5" applyFont="1" applyBorder="1" applyAlignment="1">
      <alignment horizontal="center"/>
    </xf>
    <xf numFmtId="0" fontId="44" fillId="0" borderId="0" xfId="5" applyFont="1" applyAlignment="1">
      <alignment horizontal="left"/>
    </xf>
    <xf numFmtId="0" fontId="44" fillId="0" borderId="74" xfId="34" applyFont="1" applyBorder="1" applyAlignment="1">
      <alignment horizontal="left" vertical="top"/>
    </xf>
    <xf numFmtId="0" fontId="44" fillId="0" borderId="75" xfId="34" applyFont="1" applyBorder="1" applyAlignment="1">
      <alignment horizontal="left" vertical="top"/>
    </xf>
    <xf numFmtId="15" fontId="44" fillId="0" borderId="75" xfId="34" applyNumberFormat="1" applyFont="1" applyBorder="1" applyAlignment="1">
      <alignment vertical="center"/>
    </xf>
    <xf numFmtId="15" fontId="44" fillId="0" borderId="77" xfId="34" applyNumberFormat="1" applyFont="1" applyBorder="1" applyAlignment="1">
      <alignment vertical="center"/>
    </xf>
    <xf numFmtId="171" fontId="46" fillId="0" borderId="71" xfId="28" applyNumberFormat="1" applyFont="1" applyBorder="1" applyAlignment="1">
      <alignment horizontal="right"/>
    </xf>
    <xf numFmtId="0" fontId="44" fillId="0" borderId="70" xfId="31" applyFont="1" applyBorder="1" applyAlignment="1">
      <alignment vertical="top"/>
    </xf>
    <xf numFmtId="0" fontId="46" fillId="0" borderId="29" xfId="34" applyFont="1" applyBorder="1" applyAlignment="1">
      <alignment horizontal="left" wrapText="1"/>
    </xf>
    <xf numFmtId="0" fontId="46" fillId="0" borderId="0" xfId="34" applyFont="1" applyAlignment="1">
      <alignment horizontal="left" wrapText="1"/>
    </xf>
    <xf numFmtId="0" fontId="46" fillId="0" borderId="22" xfId="34" applyFont="1" applyBorder="1" applyAlignment="1">
      <alignment horizontal="left" wrapText="1"/>
    </xf>
    <xf numFmtId="0" fontId="46" fillId="0" borderId="29" xfId="32" applyFont="1" applyBorder="1"/>
    <xf numFmtId="0" fontId="46" fillId="0" borderId="22" xfId="32" applyFont="1" applyBorder="1"/>
    <xf numFmtId="0" fontId="44" fillId="0" borderId="46" xfId="34" applyFont="1" applyBorder="1" applyAlignment="1">
      <alignment horizontal="left"/>
    </xf>
    <xf numFmtId="0" fontId="44" fillId="0" borderId="19" xfId="34" applyFont="1" applyBorder="1" applyAlignment="1">
      <alignment horizontal="left"/>
    </xf>
    <xf numFmtId="0" fontId="44" fillId="0" borderId="20" xfId="34" applyFont="1" applyBorder="1" applyAlignment="1">
      <alignment horizontal="left"/>
    </xf>
    <xf numFmtId="164" fontId="44" fillId="0" borderId="20" xfId="28" applyFont="1" applyFill="1" applyBorder="1" applyAlignment="1">
      <alignment horizontal="right"/>
    </xf>
    <xf numFmtId="164" fontId="44" fillId="0" borderId="72" xfId="28" applyFont="1" applyFill="1" applyBorder="1" applyAlignment="1">
      <alignment horizontal="right"/>
    </xf>
    <xf numFmtId="0" fontId="46" fillId="0" borderId="0" xfId="0" applyFont="1"/>
    <xf numFmtId="0" fontId="44" fillId="0" borderId="14" xfId="34" applyFont="1" applyBorder="1"/>
    <xf numFmtId="0" fontId="44" fillId="0" borderId="17" xfId="34" applyFont="1" applyBorder="1"/>
    <xf numFmtId="0" fontId="46" fillId="0" borderId="17" xfId="34" applyFont="1" applyBorder="1" applyAlignment="1">
      <alignment horizontal="right"/>
    </xf>
    <xf numFmtId="0" fontId="46" fillId="0" borderId="71" xfId="34" applyFont="1" applyBorder="1"/>
    <xf numFmtId="39" fontId="44" fillId="0" borderId="29" xfId="34" applyNumberFormat="1" applyFont="1" applyBorder="1"/>
    <xf numFmtId="39" fontId="47" fillId="0" borderId="0" xfId="34" applyNumberFormat="1" applyFont="1"/>
    <xf numFmtId="0" fontId="46" fillId="0" borderId="0" xfId="34" applyFont="1" applyAlignment="1">
      <alignment horizontal="right"/>
    </xf>
    <xf numFmtId="0" fontId="46" fillId="0" borderId="70" xfId="0" applyFont="1" applyBorder="1"/>
    <xf numFmtId="0" fontId="46" fillId="0" borderId="46" xfId="0" applyFont="1" applyBorder="1"/>
    <xf numFmtId="0" fontId="46" fillId="0" borderId="19" xfId="0" applyFont="1" applyBorder="1"/>
    <xf numFmtId="0" fontId="46" fillId="0" borderId="72" xfId="0" applyFont="1" applyBorder="1"/>
    <xf numFmtId="0" fontId="44" fillId="0" borderId="74" xfId="34" applyFont="1" applyBorder="1" applyAlignment="1">
      <alignment horizontal="center" vertical="top"/>
    </xf>
    <xf numFmtId="167" fontId="46" fillId="0" borderId="22" xfId="39" applyNumberFormat="1" applyFont="1" applyFill="1" applyBorder="1"/>
    <xf numFmtId="167" fontId="46" fillId="0" borderId="46" xfId="39" applyNumberFormat="1" applyFont="1" applyFill="1" applyBorder="1"/>
    <xf numFmtId="167" fontId="46" fillId="0" borderId="19" xfId="39" applyNumberFormat="1" applyFont="1" applyFill="1" applyBorder="1"/>
    <xf numFmtId="167" fontId="46" fillId="0" borderId="20" xfId="39" applyNumberFormat="1" applyFont="1" applyFill="1" applyBorder="1"/>
    <xf numFmtId="171" fontId="46" fillId="0" borderId="20" xfId="28" applyNumberFormat="1" applyFont="1" applyFill="1" applyBorder="1" applyAlignment="1">
      <alignment horizontal="right"/>
    </xf>
    <xf numFmtId="171" fontId="46" fillId="0" borderId="72" xfId="28" applyNumberFormat="1" applyFont="1" applyFill="1" applyBorder="1"/>
    <xf numFmtId="0" fontId="44" fillId="0" borderId="7" xfId="34" applyFont="1" applyBorder="1" applyAlignment="1">
      <alignment horizontal="left"/>
    </xf>
    <xf numFmtId="0" fontId="44" fillId="0" borderId="8" xfId="34" applyFont="1" applyBorder="1" applyAlignment="1">
      <alignment horizontal="right"/>
    </xf>
    <xf numFmtId="0" fontId="44" fillId="0" borderId="23" xfId="34" applyFont="1" applyBorder="1" applyAlignment="1">
      <alignment horizontal="center"/>
    </xf>
    <xf numFmtId="171" fontId="44" fillId="0" borderId="23" xfId="28" applyNumberFormat="1" applyFont="1" applyFill="1" applyBorder="1" applyAlignment="1">
      <alignment horizontal="right"/>
    </xf>
    <xf numFmtId="171" fontId="44" fillId="0" borderId="84" xfId="28" applyNumberFormat="1" applyFont="1" applyFill="1" applyBorder="1"/>
    <xf numFmtId="0" fontId="44" fillId="0" borderId="85" xfId="34" applyFont="1" applyBorder="1" applyAlignment="1">
      <alignment horizontal="center" vertical="top"/>
    </xf>
    <xf numFmtId="0" fontId="46" fillId="0" borderId="71" xfId="5" applyFont="1" applyBorder="1" applyAlignment="1">
      <alignment horizontal="justify" vertical="justify" wrapText="1"/>
    </xf>
    <xf numFmtId="0" fontId="46" fillId="0" borderId="29" xfId="34" applyFont="1" applyBorder="1" applyAlignment="1">
      <alignment horizontal="justify" vertical="justify"/>
    </xf>
    <xf numFmtId="0" fontId="46" fillId="0" borderId="0" xfId="34" applyFont="1" applyAlignment="1">
      <alignment horizontal="justify" vertical="justify"/>
    </xf>
    <xf numFmtId="0" fontId="46" fillId="0" borderId="0" xfId="34" applyFont="1" applyAlignment="1">
      <alignment horizontal="right" vertical="justify"/>
    </xf>
    <xf numFmtId="0" fontId="46" fillId="0" borderId="71" xfId="34" applyFont="1" applyBorder="1" applyAlignment="1">
      <alignment horizontal="justify" vertical="justify"/>
    </xf>
    <xf numFmtId="0" fontId="39" fillId="0" borderId="17" xfId="34" applyFont="1" applyBorder="1"/>
    <xf numFmtId="0" fontId="46" fillId="0" borderId="29" xfId="34" applyFont="1" applyBorder="1" applyAlignment="1">
      <alignment horizontal="left" vertical="justify"/>
    </xf>
    <xf numFmtId="0" fontId="46" fillId="0" borderId="0" xfId="34" applyFont="1" applyAlignment="1">
      <alignment horizontal="left" vertical="justify"/>
    </xf>
    <xf numFmtId="0" fontId="46" fillId="0" borderId="71" xfId="34" applyFont="1" applyBorder="1" applyAlignment="1">
      <alignment horizontal="left" vertical="justify"/>
    </xf>
    <xf numFmtId="0" fontId="46" fillId="0" borderId="16" xfId="34" applyFont="1" applyBorder="1" applyAlignment="1">
      <alignment horizontal="right" vertical="justify"/>
    </xf>
    <xf numFmtId="0" fontId="46" fillId="0" borderId="87" xfId="34" applyFont="1" applyBorder="1" applyAlignment="1">
      <alignment vertical="justify"/>
    </xf>
    <xf numFmtId="0" fontId="46" fillId="0" borderId="21" xfId="34" applyFont="1" applyBorder="1" applyAlignment="1">
      <alignment horizontal="right" vertical="justify"/>
    </xf>
    <xf numFmtId="0" fontId="46" fillId="0" borderId="29" xfId="41" applyFont="1" applyBorder="1" applyAlignment="1">
      <alignment vertical="top"/>
    </xf>
    <xf numFmtId="171" fontId="46" fillId="0" borderId="21" xfId="28" applyNumberFormat="1" applyFont="1" applyBorder="1" applyAlignment="1">
      <alignment horizontal="right"/>
    </xf>
    <xf numFmtId="164" fontId="46" fillId="0" borderId="21" xfId="28" applyFont="1" applyBorder="1" applyAlignment="1">
      <alignment horizontal="right"/>
    </xf>
    <xf numFmtId="164" fontId="46" fillId="0" borderId="71" xfId="28" applyFont="1" applyBorder="1" applyAlignment="1">
      <alignment horizontal="right"/>
    </xf>
    <xf numFmtId="41" fontId="46" fillId="0" borderId="88" xfId="35" applyNumberFormat="1" applyFont="1" applyBorder="1" applyAlignment="1">
      <alignment horizontal="right"/>
    </xf>
    <xf numFmtId="41" fontId="46" fillId="0" borderId="21" xfId="35" applyNumberFormat="1" applyFont="1" applyBorder="1" applyAlignment="1">
      <alignment horizontal="right"/>
    </xf>
    <xf numFmtId="0" fontId="44" fillId="0" borderId="29" xfId="41" applyFont="1" applyBorder="1" applyAlignment="1">
      <alignment vertical="top"/>
    </xf>
    <xf numFmtId="171" fontId="44" fillId="0" borderId="21" xfId="28" applyNumberFormat="1" applyFont="1" applyBorder="1" applyAlignment="1">
      <alignment horizontal="right"/>
    </xf>
    <xf numFmtId="171" fontId="44" fillId="0" borderId="71" xfId="28" applyNumberFormat="1" applyFont="1" applyBorder="1" applyAlignment="1">
      <alignment horizontal="right"/>
    </xf>
    <xf numFmtId="0" fontId="39" fillId="0" borderId="29" xfId="34" applyFont="1" applyBorder="1" applyAlignment="1">
      <alignment horizontal="justify" vertical="justify"/>
    </xf>
    <xf numFmtId="0" fontId="39" fillId="0" borderId="0" xfId="34" applyFont="1" applyAlignment="1">
      <alignment horizontal="justify" vertical="justify"/>
    </xf>
    <xf numFmtId="0" fontId="39" fillId="0" borderId="21" xfId="34" applyFont="1" applyBorder="1" applyAlignment="1">
      <alignment horizontal="right" vertical="justify"/>
    </xf>
    <xf numFmtId="0" fontId="46" fillId="0" borderId="71" xfId="34" applyFont="1" applyBorder="1" applyAlignment="1">
      <alignment horizontal="right" vertical="justify"/>
    </xf>
    <xf numFmtId="171" fontId="46" fillId="0" borderId="21" xfId="35" applyNumberFormat="1" applyFont="1" applyBorder="1" applyAlignment="1">
      <alignment horizontal="right"/>
    </xf>
    <xf numFmtId="37" fontId="46" fillId="0" borderId="88" xfId="35" applyNumberFormat="1" applyFont="1" applyBorder="1" applyAlignment="1">
      <alignment horizontal="right"/>
    </xf>
    <xf numFmtId="171" fontId="44" fillId="0" borderId="88" xfId="28" applyNumberFormat="1" applyFont="1" applyBorder="1" applyAlignment="1">
      <alignment horizontal="right"/>
    </xf>
    <xf numFmtId="0" fontId="39" fillId="0" borderId="29" xfId="41" applyFont="1" applyBorder="1" applyAlignment="1">
      <alignment vertical="top"/>
    </xf>
    <xf numFmtId="164" fontId="39" fillId="0" borderId="21" xfId="28" applyFont="1" applyBorder="1" applyAlignment="1">
      <alignment horizontal="right" vertical="justify"/>
    </xf>
    <xf numFmtId="171" fontId="46" fillId="0" borderId="21" xfId="28" applyNumberFormat="1" applyFont="1" applyFill="1" applyBorder="1" applyAlignment="1" applyProtection="1">
      <alignment horizontal="right"/>
    </xf>
    <xf numFmtId="37" fontId="46" fillId="0" borderId="21" xfId="35" applyNumberFormat="1" applyFont="1" applyBorder="1" applyAlignment="1">
      <alignment horizontal="right"/>
    </xf>
    <xf numFmtId="0" fontId="45" fillId="0" borderId="79" xfId="34" applyFont="1" applyBorder="1" applyAlignment="1">
      <alignment horizontal="center" vertical="top"/>
    </xf>
    <xf numFmtId="0" fontId="44" fillId="0" borderId="80" xfId="41" applyFont="1" applyBorder="1" applyAlignment="1">
      <alignment vertical="top"/>
    </xf>
    <xf numFmtId="0" fontId="46" fillId="0" borderId="89" xfId="34" applyFont="1" applyBorder="1" applyAlignment="1">
      <alignment horizontal="justify" vertical="justify"/>
    </xf>
    <xf numFmtId="37" fontId="46" fillId="0" borderId="90" xfId="35" applyNumberFormat="1" applyFont="1" applyBorder="1" applyAlignment="1">
      <alignment horizontal="right"/>
    </xf>
    <xf numFmtId="37" fontId="46" fillId="0" borderId="91" xfId="35" applyNumberFormat="1" applyFont="1" applyBorder="1" applyAlignment="1">
      <alignment horizontal="right"/>
    </xf>
    <xf numFmtId="0" fontId="39" fillId="0" borderId="2" xfId="34" applyFont="1" applyBorder="1"/>
    <xf numFmtId="0" fontId="45" fillId="0" borderId="28" xfId="34" applyFont="1" applyBorder="1" applyAlignment="1">
      <alignment horizontal="center" vertical="top"/>
    </xf>
    <xf numFmtId="0" fontId="51" fillId="0" borderId="29" xfId="41" applyFont="1" applyBorder="1" applyAlignment="1">
      <alignment vertical="top"/>
    </xf>
    <xf numFmtId="0" fontId="39" fillId="0" borderId="0" xfId="34" applyFont="1" applyAlignment="1">
      <alignment horizontal="right" vertical="justify"/>
    </xf>
    <xf numFmtId="0" fontId="46" fillId="0" borderId="5" xfId="34" applyFont="1" applyBorder="1" applyAlignment="1">
      <alignment horizontal="justify" vertical="justify"/>
    </xf>
    <xf numFmtId="0" fontId="45" fillId="0" borderId="66" xfId="34" applyFont="1" applyBorder="1" applyAlignment="1">
      <alignment horizontal="center" vertical="top"/>
    </xf>
    <xf numFmtId="0" fontId="44" fillId="0" borderId="67" xfId="41" applyFont="1" applyBorder="1" applyAlignment="1">
      <alignment vertical="top"/>
    </xf>
    <xf numFmtId="0" fontId="46" fillId="0" borderId="68" xfId="34" applyFont="1" applyBorder="1" applyAlignment="1">
      <alignment horizontal="justify" vertical="justify"/>
    </xf>
    <xf numFmtId="0" fontId="46" fillId="0" borderId="92" xfId="34" applyFont="1" applyBorder="1" applyAlignment="1">
      <alignment horizontal="right" vertical="justify"/>
    </xf>
    <xf numFmtId="0" fontId="46" fillId="0" borderId="69" xfId="34" applyFont="1" applyBorder="1" applyAlignment="1">
      <alignment horizontal="justify" vertical="justify"/>
    </xf>
    <xf numFmtId="0" fontId="52" fillId="0" borderId="29" xfId="41" applyFont="1" applyBorder="1" applyAlignment="1">
      <alignment vertical="top"/>
    </xf>
    <xf numFmtId="0" fontId="46" fillId="0" borderId="29" xfId="42" applyFont="1" applyBorder="1" applyAlignment="1">
      <alignment vertical="top"/>
    </xf>
    <xf numFmtId="164" fontId="46" fillId="0" borderId="71" xfId="28" applyFont="1" applyBorder="1" applyAlignment="1">
      <alignment horizontal="right" vertical="justify"/>
    </xf>
    <xf numFmtId="37" fontId="48" fillId="0" borderId="88" xfId="35" applyNumberFormat="1" applyFont="1" applyBorder="1" applyAlignment="1">
      <alignment horizontal="right"/>
    </xf>
    <xf numFmtId="10" fontId="46" fillId="0" borderId="21" xfId="34" applyNumberFormat="1" applyFont="1" applyBorder="1" applyAlignment="1">
      <alignment horizontal="right" vertical="justify"/>
    </xf>
    <xf numFmtId="10" fontId="46" fillId="0" borderId="71" xfId="43" applyNumberFormat="1" applyFont="1" applyBorder="1" applyAlignment="1">
      <alignment horizontal="right"/>
    </xf>
    <xf numFmtId="0" fontId="46" fillId="0" borderId="29" xfId="41" applyFont="1" applyBorder="1" applyAlignment="1">
      <alignment vertical="top" wrapText="1"/>
    </xf>
    <xf numFmtId="9" fontId="46" fillId="0" borderId="21" xfId="34" applyNumberFormat="1" applyFont="1" applyBorder="1" applyAlignment="1">
      <alignment horizontal="right" vertical="justify"/>
    </xf>
    <xf numFmtId="9" fontId="46" fillId="0" borderId="71" xfId="43" applyFont="1" applyBorder="1" applyAlignment="1">
      <alignment horizontal="right"/>
    </xf>
    <xf numFmtId="0" fontId="46" fillId="0" borderId="46" xfId="34" applyFont="1" applyBorder="1" applyAlignment="1">
      <alignment horizontal="justify" vertical="justify"/>
    </xf>
    <xf numFmtId="0" fontId="46" fillId="0" borderId="19" xfId="34" applyFont="1" applyBorder="1" applyAlignment="1">
      <alignment horizontal="justify" vertical="justify"/>
    </xf>
    <xf numFmtId="0" fontId="46" fillId="0" borderId="18" xfId="34" applyFont="1" applyBorder="1" applyAlignment="1">
      <alignment horizontal="right" vertical="justify"/>
    </xf>
    <xf numFmtId="0" fontId="46" fillId="0" borderId="72" xfId="34" applyFont="1" applyBorder="1" applyAlignment="1">
      <alignment horizontal="justify" vertical="justify"/>
    </xf>
    <xf numFmtId="3" fontId="46" fillId="0" borderId="0" xfId="37" applyNumberFormat="1" applyFont="1" applyAlignment="1">
      <alignment horizontal="right"/>
    </xf>
    <xf numFmtId="3" fontId="46" fillId="0" borderId="71" xfId="37" applyNumberFormat="1" applyFont="1" applyBorder="1"/>
    <xf numFmtId="0" fontId="46" fillId="0" borderId="0" xfId="5" applyFont="1" applyAlignment="1">
      <alignment horizontal="justify" vertical="justify" wrapText="1"/>
    </xf>
    <xf numFmtId="0" fontId="44" fillId="0" borderId="70" xfId="34" applyFont="1" applyBorder="1" applyAlignment="1">
      <alignment horizontal="center" vertical="center"/>
    </xf>
    <xf numFmtId="0" fontId="46" fillId="0" borderId="0" xfId="34" applyFont="1" applyAlignment="1">
      <alignment horizontal="left"/>
    </xf>
    <xf numFmtId="0" fontId="44" fillId="0" borderId="70" xfId="44" applyFont="1" applyBorder="1" applyAlignment="1">
      <alignment horizontal="center" vertical="top"/>
    </xf>
    <xf numFmtId="0" fontId="46" fillId="0" borderId="29" xfId="5" applyFont="1" applyBorder="1" applyAlignment="1">
      <alignment horizontal="justify" vertical="justify" wrapText="1"/>
    </xf>
    <xf numFmtId="0" fontId="46" fillId="0" borderId="0" xfId="5" applyFont="1" applyAlignment="1">
      <alignment horizontal="right" vertical="justify" wrapText="1"/>
    </xf>
    <xf numFmtId="0" fontId="46" fillId="0" borderId="0" xfId="44" applyFont="1"/>
    <xf numFmtId="0" fontId="39" fillId="0" borderId="0" xfId="44" applyFont="1"/>
    <xf numFmtId="0" fontId="44" fillId="0" borderId="70" xfId="44" applyFont="1" applyBorder="1" applyAlignment="1">
      <alignment horizontal="center" vertical="center"/>
    </xf>
    <xf numFmtId="0" fontId="46" fillId="0" borderId="29" xfId="34" applyFont="1" applyBorder="1" applyAlignment="1">
      <alignment horizontal="justify" vertical="center" wrapText="1"/>
    </xf>
    <xf numFmtId="0" fontId="46" fillId="0" borderId="0" xfId="34" applyFont="1" applyAlignment="1">
      <alignment horizontal="justify" vertical="center" wrapText="1"/>
    </xf>
    <xf numFmtId="0" fontId="46" fillId="0" borderId="71" xfId="34" applyFont="1" applyBorder="1" applyAlignment="1">
      <alignment horizontal="justify" vertical="center" wrapText="1"/>
    </xf>
    <xf numFmtId="0" fontId="46" fillId="0" borderId="29" xfId="34" applyFont="1" applyBorder="1" applyAlignment="1">
      <alignment horizontal="justify" vertical="top" wrapText="1"/>
    </xf>
    <xf numFmtId="0" fontId="46" fillId="0" borderId="0" xfId="34" applyFont="1" applyAlignment="1">
      <alignment horizontal="justify" vertical="top" wrapText="1"/>
    </xf>
    <xf numFmtId="0" fontId="46" fillId="0" borderId="0" xfId="34" applyFont="1" applyAlignment="1">
      <alignment horizontal="right" vertical="top" wrapText="1"/>
    </xf>
    <xf numFmtId="0" fontId="46" fillId="0" borderId="71" xfId="34" applyFont="1" applyBorder="1" applyAlignment="1">
      <alignment horizontal="justify" vertical="top" wrapText="1"/>
    </xf>
    <xf numFmtId="0" fontId="46" fillId="0" borderId="0" xfId="34" applyFont="1" applyAlignment="1">
      <alignment horizontal="justify" vertical="justify" wrapText="1"/>
    </xf>
    <xf numFmtId="0" fontId="44" fillId="0" borderId="29" xfId="34" applyFont="1" applyBorder="1" applyAlignment="1">
      <alignment horizontal="center"/>
    </xf>
    <xf numFmtId="0" fontId="44" fillId="0" borderId="0" xfId="34" applyFont="1" applyAlignment="1">
      <alignment horizontal="center"/>
    </xf>
    <xf numFmtId="0" fontId="46" fillId="0" borderId="71" xfId="34" applyFont="1" applyBorder="1" applyAlignment="1">
      <alignment horizontal="left"/>
    </xf>
    <xf numFmtId="0" fontId="46" fillId="0" borderId="29" xfId="34" applyFont="1" applyBorder="1" applyAlignment="1">
      <alignment horizontal="justify" vertical="justify" wrapText="1"/>
    </xf>
    <xf numFmtId="0" fontId="46" fillId="0" borderId="0" xfId="34" applyFont="1" applyAlignment="1">
      <alignment horizontal="right" vertical="justify" wrapText="1"/>
    </xf>
    <xf numFmtId="0" fontId="46" fillId="0" borderId="71" xfId="34" applyFont="1" applyBorder="1" applyAlignment="1">
      <alignment horizontal="justify" vertical="justify" wrapText="1"/>
    </xf>
    <xf numFmtId="0" fontId="44" fillId="0" borderId="70" xfId="34" applyFont="1" applyBorder="1" applyAlignment="1">
      <alignment horizontal="center" vertical="center" wrapText="1"/>
    </xf>
    <xf numFmtId="15" fontId="44" fillId="0" borderId="23" xfId="34" applyNumberFormat="1" applyFont="1" applyBorder="1" applyAlignment="1">
      <alignment horizontal="right" vertical="center"/>
    </xf>
    <xf numFmtId="15" fontId="44" fillId="0" borderId="84" xfId="34" applyNumberFormat="1" applyFont="1" applyBorder="1" applyAlignment="1">
      <alignment horizontal="right" vertical="center"/>
    </xf>
    <xf numFmtId="0" fontId="46" fillId="0" borderId="0" xfId="34" applyFont="1" applyAlignment="1">
      <alignment wrapText="1"/>
    </xf>
    <xf numFmtId="0" fontId="39" fillId="0" borderId="0" xfId="34" applyFont="1" applyAlignment="1">
      <alignment wrapText="1"/>
    </xf>
    <xf numFmtId="164" fontId="46" fillId="0" borderId="16" xfId="28" applyFont="1" applyBorder="1" applyAlignment="1">
      <alignment horizontal="justify" vertical="center" wrapText="1"/>
    </xf>
    <xf numFmtId="164" fontId="46" fillId="0" borderId="87" xfId="28" applyFont="1" applyBorder="1" applyAlignment="1">
      <alignment horizontal="justify" vertical="center" wrapText="1"/>
    </xf>
    <xf numFmtId="0" fontId="46" fillId="0" borderId="46" xfId="5" applyFont="1" applyBorder="1" applyAlignment="1">
      <alignment horizontal="left" vertical="center" wrapText="1"/>
    </xf>
    <xf numFmtId="0" fontId="46" fillId="0" borderId="19" xfId="5" applyFont="1" applyBorder="1" applyAlignment="1">
      <alignment horizontal="left" vertical="center" wrapText="1"/>
    </xf>
    <xf numFmtId="0" fontId="46" fillId="0" borderId="20" xfId="5" applyFont="1" applyBorder="1" applyAlignment="1">
      <alignment horizontal="left" vertical="center" wrapText="1"/>
    </xf>
    <xf numFmtId="164" fontId="46" fillId="0" borderId="20" xfId="28" applyFont="1" applyBorder="1" applyAlignment="1">
      <alignment horizontal="justify" vertical="center" wrapText="1"/>
    </xf>
    <xf numFmtId="164" fontId="46" fillId="0" borderId="78" xfId="28" applyFont="1" applyBorder="1" applyAlignment="1">
      <alignment horizontal="justify" vertical="center" wrapText="1"/>
    </xf>
    <xf numFmtId="164" fontId="46" fillId="0" borderId="22" xfId="28" applyFont="1" applyBorder="1" applyAlignment="1">
      <alignment horizontal="justify" vertical="center" wrapText="1"/>
    </xf>
    <xf numFmtId="164" fontId="46" fillId="0" borderId="71" xfId="28" applyFont="1" applyBorder="1" applyAlignment="1">
      <alignment horizontal="justify" vertical="center" wrapText="1"/>
    </xf>
    <xf numFmtId="0" fontId="46" fillId="0" borderId="72" xfId="34" applyFont="1" applyBorder="1" applyAlignment="1">
      <alignment horizontal="justify" vertical="center" wrapText="1"/>
    </xf>
    <xf numFmtId="0" fontId="46" fillId="0" borderId="20" xfId="34" applyFont="1" applyBorder="1" applyAlignment="1">
      <alignment horizontal="justify" vertical="center" wrapText="1"/>
    </xf>
    <xf numFmtId="164" fontId="46" fillId="0" borderId="72" xfId="28" applyFont="1" applyBorder="1" applyAlignment="1">
      <alignment horizontal="justify" vertical="center" wrapText="1"/>
    </xf>
    <xf numFmtId="0" fontId="46" fillId="0" borderId="14" xfId="34" applyFont="1" applyBorder="1" applyAlignment="1">
      <alignment horizontal="justify" vertical="center" wrapText="1"/>
    </xf>
    <xf numFmtId="0" fontId="46" fillId="0" borderId="17" xfId="34" applyFont="1" applyBorder="1" applyAlignment="1">
      <alignment horizontal="justify" vertical="center" wrapText="1"/>
    </xf>
    <xf numFmtId="0" fontId="46" fillId="0" borderId="87" xfId="34" applyFont="1" applyBorder="1" applyAlignment="1">
      <alignment horizontal="justify" vertical="center" wrapText="1"/>
    </xf>
    <xf numFmtId="0" fontId="44" fillId="0" borderId="93" xfId="5" applyFont="1" applyBorder="1" applyAlignment="1">
      <alignment horizontal="center" vertical="top"/>
    </xf>
    <xf numFmtId="0" fontId="44" fillId="0" borderId="46" xfId="5" applyFont="1" applyBorder="1" applyAlignment="1">
      <alignment horizontal="center"/>
    </xf>
    <xf numFmtId="0" fontId="44" fillId="0" borderId="19" xfId="5" applyFont="1" applyBorder="1" applyAlignment="1">
      <alignment horizontal="center"/>
    </xf>
    <xf numFmtId="0" fontId="44" fillId="0" borderId="19" xfId="5" applyFont="1" applyBorder="1" applyAlignment="1">
      <alignment horizontal="right"/>
    </xf>
    <xf numFmtId="0" fontId="44" fillId="0" borderId="72" xfId="5" applyFont="1" applyBorder="1" applyAlignment="1">
      <alignment horizontal="center"/>
    </xf>
    <xf numFmtId="164" fontId="46" fillId="0" borderId="70" xfId="28" applyFont="1" applyFill="1" applyBorder="1"/>
    <xf numFmtId="0" fontId="46" fillId="0" borderId="0" xfId="30" applyFont="1"/>
    <xf numFmtId="39" fontId="46" fillId="0" borderId="0" xfId="30" applyNumberFormat="1" applyFont="1" applyAlignment="1">
      <alignment horizontal="right"/>
    </xf>
    <xf numFmtId="0" fontId="46" fillId="0" borderId="71" xfId="0" applyFont="1" applyBorder="1"/>
    <xf numFmtId="164" fontId="46" fillId="0" borderId="70" xfId="28" applyFont="1" applyBorder="1" applyAlignment="1">
      <alignment vertical="top"/>
    </xf>
    <xf numFmtId="39" fontId="46" fillId="0" borderId="0" xfId="30" applyNumberFormat="1" applyFont="1" applyAlignment="1">
      <alignment horizontal="left"/>
    </xf>
    <xf numFmtId="0" fontId="46" fillId="0" borderId="71" xfId="30" applyFont="1" applyBorder="1"/>
    <xf numFmtId="164" fontId="46" fillId="0" borderId="70" xfId="28" applyFont="1" applyFill="1" applyBorder="1" applyAlignment="1"/>
    <xf numFmtId="0" fontId="46" fillId="0" borderId="0" xfId="30" applyFont="1" applyAlignment="1">
      <alignment horizontal="left"/>
    </xf>
    <xf numFmtId="164" fontId="46" fillId="0" borderId="79" xfId="28" applyFont="1" applyFill="1" applyBorder="1"/>
    <xf numFmtId="0" fontId="46" fillId="0" borderId="89" xfId="30" applyFont="1" applyBorder="1"/>
    <xf numFmtId="39" fontId="46" fillId="0" borderId="89" xfId="30" applyNumberFormat="1" applyFont="1" applyBorder="1" applyAlignment="1">
      <alignment horizontal="left"/>
    </xf>
    <xf numFmtId="0" fontId="46" fillId="0" borderId="82" xfId="30" applyFont="1" applyBorder="1"/>
    <xf numFmtId="0" fontId="39" fillId="0" borderId="0" xfId="0" applyFont="1" applyAlignment="1">
      <alignment vertical="top"/>
    </xf>
    <xf numFmtId="0" fontId="39" fillId="0" borderId="29" xfId="0" applyFont="1" applyBorder="1"/>
    <xf numFmtId="0" fontId="39" fillId="0" borderId="0" xfId="0" applyFont="1" applyAlignment="1">
      <alignment horizontal="right"/>
    </xf>
    <xf numFmtId="0" fontId="39" fillId="7" borderId="94" xfId="0" applyFont="1" applyFill="1" applyBorder="1" applyAlignment="1">
      <alignment horizontal="left" vertical="top" wrapText="1"/>
    </xf>
    <xf numFmtId="0" fontId="19" fillId="0" borderId="0" xfId="5" applyFont="1" applyAlignment="1">
      <alignment vertical="top"/>
    </xf>
    <xf numFmtId="10" fontId="10" fillId="0" borderId="18" xfId="5" applyNumberFormat="1" applyFont="1" applyBorder="1" applyAlignment="1">
      <alignment horizontal="right" vertical="top" wrapText="1"/>
    </xf>
    <xf numFmtId="10" fontId="10" fillId="0" borderId="21" xfId="1" applyNumberFormat="1" applyFont="1" applyBorder="1" applyAlignment="1">
      <alignment vertical="top"/>
    </xf>
    <xf numFmtId="43" fontId="8" fillId="0" borderId="37" xfId="1" applyFont="1" applyBorder="1"/>
    <xf numFmtId="43" fontId="8" fillId="0" borderId="38" xfId="1" applyFont="1" applyBorder="1"/>
    <xf numFmtId="43" fontId="8" fillId="0" borderId="45" xfId="1" applyFont="1" applyBorder="1"/>
    <xf numFmtId="43" fontId="8" fillId="0" borderId="21" xfId="1" applyFont="1" applyBorder="1" applyAlignment="1">
      <alignment vertical="top"/>
    </xf>
    <xf numFmtId="43" fontId="8" fillId="0" borderId="33" xfId="1" applyFont="1" applyBorder="1" applyAlignment="1">
      <alignment vertical="top"/>
    </xf>
    <xf numFmtId="43" fontId="8" fillId="0" borderId="18" xfId="1" applyFont="1" applyBorder="1"/>
    <xf numFmtId="0" fontId="22" fillId="6" borderId="0" xfId="0" applyFont="1" applyFill="1" applyAlignment="1">
      <alignment vertical="top"/>
    </xf>
    <xf numFmtId="0" fontId="11" fillId="0" borderId="0" xfId="0" applyFont="1" applyAlignment="1">
      <alignment horizontal="justify" vertical="top"/>
    </xf>
    <xf numFmtId="0" fontId="19" fillId="0" borderId="0" xfId="5" quotePrefix="1" applyFont="1" applyAlignment="1">
      <alignment horizontal="justify" vertical="top" wrapText="1"/>
    </xf>
    <xf numFmtId="0" fontId="34" fillId="0" borderId="0" xfId="5" quotePrefix="1" applyFont="1" applyAlignment="1">
      <alignment horizontal="left" vertical="top" wrapText="1"/>
    </xf>
    <xf numFmtId="0" fontId="54" fillId="0" borderId="0" xfId="5" quotePrefix="1" applyFont="1" applyAlignment="1">
      <alignment horizontal="left" vertical="top" wrapText="1"/>
    </xf>
    <xf numFmtId="10" fontId="8" fillId="19" borderId="21" xfId="1" applyNumberFormat="1" applyFont="1" applyFill="1" applyBorder="1" applyAlignment="1">
      <alignment horizontal="center" vertical="top"/>
    </xf>
    <xf numFmtId="9" fontId="8" fillId="16" borderId="21" xfId="21" applyFont="1" applyFill="1" applyBorder="1" applyAlignment="1">
      <alignment horizontal="right" vertical="top"/>
    </xf>
    <xf numFmtId="0" fontId="55" fillId="0" borderId="0" xfId="0" applyFont="1"/>
    <xf numFmtId="0" fontId="11" fillId="23" borderId="13" xfId="0" applyFont="1" applyFill="1" applyBorder="1" applyAlignment="1">
      <alignment horizontal="center" vertical="center" wrapText="1"/>
    </xf>
    <xf numFmtId="0" fontId="11" fillId="23" borderId="18" xfId="0" applyFont="1" applyFill="1" applyBorder="1"/>
    <xf numFmtId="164" fontId="8" fillId="0" borderId="18" xfId="28" applyFont="1" applyBorder="1"/>
    <xf numFmtId="164" fontId="11" fillId="0" borderId="21" xfId="0" applyNumberFormat="1" applyFont="1" applyBorder="1"/>
    <xf numFmtId="10" fontId="10" fillId="0" borderId="21" xfId="5" applyNumberFormat="1" applyFont="1" applyBorder="1" applyAlignment="1">
      <alignment horizontal="right" vertical="top" wrapText="1"/>
    </xf>
    <xf numFmtId="4" fontId="10" fillId="0" borderId="21" xfId="5" applyNumberFormat="1" applyFont="1" applyBorder="1" applyAlignment="1">
      <alignment horizontal="right" vertical="top" wrapText="1"/>
    </xf>
    <xf numFmtId="43" fontId="10" fillId="0" borderId="21" xfId="1" applyFont="1" applyBorder="1" applyAlignment="1">
      <alignment horizontal="right" vertical="top"/>
    </xf>
    <xf numFmtId="10" fontId="10" fillId="0" borderId="21" xfId="5" applyNumberFormat="1" applyFont="1" applyBorder="1" applyAlignment="1">
      <alignment vertical="top"/>
    </xf>
    <xf numFmtId="10" fontId="10" fillId="0" borderId="18" xfId="5" applyNumberFormat="1" applyFont="1" applyBorder="1" applyAlignment="1">
      <alignment vertical="top"/>
    </xf>
    <xf numFmtId="0" fontId="13" fillId="0" borderId="7" xfId="0" applyFont="1" applyBorder="1" applyAlignment="1">
      <alignment vertical="top"/>
    </xf>
    <xf numFmtId="0" fontId="13" fillId="0" borderId="23" xfId="0" applyFont="1" applyBorder="1" applyAlignment="1">
      <alignment horizontal="right" vertical="top"/>
    </xf>
    <xf numFmtId="167" fontId="13" fillId="0" borderId="13" xfId="1" applyNumberFormat="1" applyFont="1" applyFill="1" applyBorder="1" applyAlignment="1">
      <alignment horizontal="right" vertical="top" wrapText="1"/>
    </xf>
    <xf numFmtId="41" fontId="8" fillId="0" borderId="15" xfId="20" applyFont="1" applyBorder="1" applyAlignment="1">
      <alignment horizontal="center"/>
    </xf>
    <xf numFmtId="41" fontId="15" fillId="0" borderId="16" xfId="20" applyFont="1" applyBorder="1" applyAlignment="1">
      <alignment horizontal="left" vertical="center"/>
    </xf>
    <xf numFmtId="41" fontId="8" fillId="0" borderId="16" xfId="0" applyNumberFormat="1" applyFont="1" applyBorder="1" applyAlignment="1">
      <alignment vertical="center"/>
    </xf>
    <xf numFmtId="171" fontId="15" fillId="0" borderId="16" xfId="13" applyNumberFormat="1" applyFont="1" applyFill="1" applyBorder="1" applyAlignment="1">
      <alignment horizontal="left" vertical="center"/>
    </xf>
    <xf numFmtId="171" fontId="8" fillId="0" borderId="16" xfId="13" applyNumberFormat="1" applyFont="1" applyFill="1" applyBorder="1" applyAlignment="1">
      <alignment vertical="center"/>
    </xf>
    <xf numFmtId="14" fontId="8" fillId="0" borderId="16" xfId="0" applyNumberFormat="1" applyFont="1" applyBorder="1" applyAlignment="1">
      <alignment vertical="center"/>
    </xf>
    <xf numFmtId="41" fontId="8" fillId="0" borderId="16" xfId="20" applyFont="1" applyBorder="1"/>
    <xf numFmtId="0" fontId="13" fillId="0" borderId="14" xfId="0" applyFont="1" applyBorder="1"/>
    <xf numFmtId="0" fontId="13" fillId="0" borderId="15" xfId="0" applyFont="1" applyBorder="1"/>
    <xf numFmtId="167" fontId="10" fillId="0" borderId="16" xfId="1" applyNumberFormat="1" applyFont="1" applyFill="1" applyBorder="1"/>
    <xf numFmtId="0" fontId="19" fillId="0" borderId="29" xfId="0" applyFont="1" applyBorder="1"/>
    <xf numFmtId="0" fontId="19" fillId="0" borderId="22" xfId="0" applyFont="1" applyBorder="1"/>
    <xf numFmtId="167" fontId="10" fillId="0" borderId="21" xfId="1" applyNumberFormat="1" applyFont="1" applyFill="1" applyBorder="1"/>
    <xf numFmtId="0" fontId="13" fillId="0" borderId="29" xfId="0" applyFont="1" applyBorder="1" applyAlignment="1">
      <alignment horizontal="left" indent="2"/>
    </xf>
    <xf numFmtId="0" fontId="13" fillId="0" borderId="22" xfId="0" applyFont="1" applyBorder="1" applyAlignment="1">
      <alignment horizontal="left" indent="2"/>
    </xf>
    <xf numFmtId="167" fontId="10" fillId="0" borderId="16" xfId="1" applyNumberFormat="1" applyFont="1" applyFill="1" applyBorder="1" applyAlignment="1">
      <alignment horizontal="right"/>
    </xf>
    <xf numFmtId="167" fontId="13" fillId="0" borderId="13" xfId="1" applyNumberFormat="1" applyFont="1" applyFill="1" applyBorder="1" applyAlignment="1">
      <alignment horizontal="right"/>
    </xf>
    <xf numFmtId="167" fontId="10" fillId="0" borderId="18" xfId="1" applyNumberFormat="1" applyFont="1" applyFill="1" applyBorder="1"/>
    <xf numFmtId="167" fontId="10" fillId="0" borderId="18" xfId="1" applyNumberFormat="1" applyFont="1" applyFill="1" applyBorder="1" applyAlignment="1">
      <alignment horizontal="right"/>
    </xf>
    <xf numFmtId="0" fontId="13" fillId="0" borderId="14" xfId="0" applyFont="1" applyBorder="1" applyAlignment="1">
      <alignment wrapText="1"/>
    </xf>
    <xf numFmtId="167" fontId="13" fillId="0" borderId="16" xfId="1" applyNumberFormat="1" applyFont="1" applyFill="1" applyBorder="1" applyAlignment="1">
      <alignment horizontal="center"/>
    </xf>
    <xf numFmtId="167" fontId="13" fillId="0" borderId="15" xfId="1" applyNumberFormat="1" applyFont="1" applyFill="1" applyBorder="1" applyAlignment="1">
      <alignment horizontal="center"/>
    </xf>
    <xf numFmtId="167" fontId="13" fillId="0" borderId="13" xfId="1" applyNumberFormat="1" applyFont="1" applyFill="1" applyBorder="1"/>
    <xf numFmtId="167" fontId="10" fillId="0" borderId="22" xfId="1" applyNumberFormat="1" applyFont="1" applyFill="1" applyBorder="1" applyAlignment="1" applyProtection="1">
      <alignment horizontal="right" vertical="top" wrapText="1"/>
    </xf>
    <xf numFmtId="167" fontId="10" fillId="0" borderId="21" xfId="1" applyNumberFormat="1" applyFont="1" applyFill="1" applyBorder="1" applyAlignment="1" applyProtection="1">
      <alignment horizontal="right" vertical="top" wrapText="1"/>
    </xf>
    <xf numFmtId="167" fontId="10" fillId="0" borderId="20" xfId="1" applyNumberFormat="1" applyFont="1" applyFill="1" applyBorder="1" applyAlignment="1" applyProtection="1">
      <alignment horizontal="right" vertical="top" wrapText="1"/>
    </xf>
    <xf numFmtId="167" fontId="10" fillId="0" borderId="18" xfId="1" applyNumberFormat="1" applyFont="1" applyFill="1" applyBorder="1" applyAlignment="1" applyProtection="1">
      <alignment horizontal="right" vertical="top" wrapText="1"/>
    </xf>
    <xf numFmtId="0" fontId="13" fillId="0" borderId="7" xfId="6" applyNumberFormat="1" applyFont="1" applyBorder="1" applyAlignment="1">
      <alignment horizontal="right" vertical="top"/>
    </xf>
    <xf numFmtId="0" fontId="13" fillId="0" borderId="23" xfId="6" applyNumberFormat="1" applyFont="1" applyBorder="1" applyAlignment="1">
      <alignment horizontal="right" vertical="top"/>
    </xf>
    <xf numFmtId="167" fontId="34" fillId="0" borderId="0" xfId="0" applyNumberFormat="1" applyFont="1"/>
    <xf numFmtId="0" fontId="8" fillId="3" borderId="0" xfId="0" applyFont="1" applyFill="1"/>
    <xf numFmtId="41" fontId="8" fillId="0" borderId="13" xfId="20" applyFont="1" applyFill="1" applyBorder="1"/>
    <xf numFmtId="167" fontId="13" fillId="0" borderId="13" xfId="1" applyNumberFormat="1" applyFont="1" applyFill="1" applyBorder="1" applyAlignment="1" applyProtection="1">
      <alignment horizontal="right" vertical="top" wrapText="1"/>
    </xf>
    <xf numFmtId="0" fontId="8" fillId="0" borderId="23" xfId="0" applyFont="1" applyBorder="1"/>
    <xf numFmtId="41" fontId="8" fillId="0" borderId="13" xfId="0" applyNumberFormat="1" applyFont="1" applyBorder="1" applyAlignment="1">
      <alignment vertical="center"/>
    </xf>
    <xf numFmtId="171" fontId="8" fillId="0" borderId="15" xfId="0" applyNumberFormat="1" applyFont="1" applyBorder="1"/>
    <xf numFmtId="41" fontId="8" fillId="0" borderId="16" xfId="20" applyFont="1" applyBorder="1" applyAlignment="1">
      <alignment horizontal="left" vertical="center"/>
    </xf>
    <xf numFmtId="167" fontId="10" fillId="0" borderId="16" xfId="1" applyNumberFormat="1" applyFont="1" applyFill="1" applyBorder="1" applyAlignment="1" applyProtection="1">
      <alignment horizontal="right" vertical="top" wrapText="1"/>
    </xf>
    <xf numFmtId="167" fontId="10" fillId="0" borderId="16" xfId="1" applyNumberFormat="1" applyFont="1" applyFill="1" applyBorder="1" applyAlignment="1" applyProtection="1">
      <alignment vertical="top"/>
      <protection locked="0"/>
    </xf>
    <xf numFmtId="167" fontId="10" fillId="0" borderId="13" xfId="1" applyNumberFormat="1" applyFont="1" applyFill="1" applyBorder="1" applyAlignment="1" applyProtection="1">
      <alignment horizontal="right" vertical="top" wrapText="1"/>
    </xf>
    <xf numFmtId="167" fontId="10" fillId="0" borderId="21" xfId="1" applyNumberFormat="1" applyFont="1" applyFill="1" applyBorder="1" applyAlignment="1" applyProtection="1">
      <alignment vertical="top"/>
      <protection locked="0"/>
    </xf>
    <xf numFmtId="167" fontId="10" fillId="0" borderId="18" xfId="1" applyNumberFormat="1" applyFont="1" applyFill="1" applyBorder="1" applyAlignment="1">
      <alignment horizontal="right" vertical="top"/>
    </xf>
    <xf numFmtId="167" fontId="10" fillId="0" borderId="13" xfId="1" applyNumberFormat="1" applyFont="1" applyFill="1" applyBorder="1" applyAlignment="1">
      <alignment horizontal="right" vertical="top"/>
    </xf>
    <xf numFmtId="3" fontId="10" fillId="0" borderId="0" xfId="5" applyNumberFormat="1" applyFont="1" applyAlignment="1">
      <alignment horizontal="center" vertical="top"/>
    </xf>
    <xf numFmtId="3" fontId="8" fillId="0" borderId="0" xfId="0" applyNumberFormat="1" applyFont="1" applyAlignment="1">
      <alignment horizontal="center"/>
    </xf>
    <xf numFmtId="164" fontId="8" fillId="0" borderId="0" xfId="0" applyNumberFormat="1" applyFont="1" applyAlignment="1">
      <alignment horizontal="center"/>
    </xf>
    <xf numFmtId="3" fontId="10" fillId="0" borderId="0" xfId="0" applyNumberFormat="1" applyFont="1"/>
    <xf numFmtId="164" fontId="10" fillId="0" borderId="0" xfId="0" applyNumberFormat="1" applyFont="1"/>
    <xf numFmtId="167" fontId="10" fillId="0" borderId="22" xfId="1" applyNumberFormat="1" applyFont="1" applyFill="1" applyBorder="1" applyAlignment="1">
      <alignment vertical="top" wrapText="1"/>
    </xf>
    <xf numFmtId="43" fontId="10" fillId="3" borderId="0" xfId="1" applyFont="1" applyFill="1"/>
    <xf numFmtId="164" fontId="10" fillId="0" borderId="0" xfId="0" applyNumberFormat="1" applyFont="1" applyAlignment="1">
      <alignment vertical="top" wrapText="1"/>
    </xf>
    <xf numFmtId="43" fontId="10" fillId="13" borderId="0" xfId="1" applyFont="1" applyFill="1"/>
    <xf numFmtId="43" fontId="13" fillId="0" borderId="0" xfId="1" applyFont="1"/>
    <xf numFmtId="43" fontId="13" fillId="0" borderId="0" xfId="1" applyFont="1" applyAlignment="1">
      <alignment vertical="center"/>
    </xf>
    <xf numFmtId="43" fontId="38" fillId="3" borderId="0" xfId="1" applyFont="1" applyFill="1"/>
    <xf numFmtId="43" fontId="8" fillId="0" borderId="16" xfId="1" applyFont="1" applyBorder="1" applyAlignment="1">
      <alignment vertical="center"/>
    </xf>
    <xf numFmtId="164" fontId="10" fillId="3" borderId="0" xfId="0" applyNumberFormat="1" applyFont="1" applyFill="1"/>
    <xf numFmtId="0" fontId="10" fillId="0" borderId="22" xfId="6" applyNumberFormat="1" applyFont="1" applyBorder="1"/>
    <xf numFmtId="0" fontId="8" fillId="0" borderId="22" xfId="6" applyNumberFormat="1" applyFont="1" applyBorder="1"/>
    <xf numFmtId="0" fontId="10" fillId="0" borderId="22" xfId="6" applyNumberFormat="1" applyFont="1" applyBorder="1" applyAlignment="1">
      <alignment wrapText="1"/>
    </xf>
    <xf numFmtId="41" fontId="8" fillId="3" borderId="13" xfId="20" applyFont="1" applyFill="1" applyBorder="1"/>
    <xf numFmtId="3" fontId="10" fillId="0" borderId="0" xfId="0" applyNumberFormat="1" applyFont="1" applyAlignment="1">
      <alignment vertical="top"/>
    </xf>
    <xf numFmtId="171" fontId="46" fillId="0" borderId="0" xfId="28" applyNumberFormat="1" applyFont="1" applyFill="1" applyBorder="1" applyAlignment="1"/>
    <xf numFmtId="41" fontId="10" fillId="0" borderId="0" xfId="20" applyFont="1" applyBorder="1" applyAlignment="1">
      <alignment vertical="top"/>
    </xf>
    <xf numFmtId="41" fontId="8" fillId="0" borderId="0" xfId="20" applyFont="1" applyFill="1" applyBorder="1"/>
    <xf numFmtId="0" fontId="22" fillId="0" borderId="0" xfId="5" applyFont="1" applyAlignment="1">
      <alignment vertical="top"/>
    </xf>
    <xf numFmtId="0" fontId="10" fillId="0" borderId="28" xfId="5" applyFont="1" applyBorder="1" applyAlignment="1">
      <alignment horizontal="center" vertical="top"/>
    </xf>
    <xf numFmtId="0" fontId="10" fillId="0" borderId="4" xfId="5" applyFont="1" applyBorder="1" applyAlignment="1">
      <alignment horizontal="center" vertical="top"/>
    </xf>
    <xf numFmtId="0" fontId="13" fillId="24" borderId="13" xfId="0" applyFont="1" applyFill="1" applyBorder="1" applyAlignment="1">
      <alignment horizontal="center" vertical="top" wrapText="1"/>
    </xf>
    <xf numFmtId="0" fontId="10" fillId="0" borderId="14" xfId="0" applyFont="1" applyBorder="1" applyAlignment="1">
      <alignment vertical="top" wrapText="1"/>
    </xf>
    <xf numFmtId="0" fontId="10" fillId="0" borderId="27" xfId="5" applyFont="1" applyBorder="1" applyAlignment="1">
      <alignment vertical="top"/>
    </xf>
    <xf numFmtId="167" fontId="10" fillId="0" borderId="5" xfId="1" applyNumberFormat="1" applyFont="1" applyFill="1" applyBorder="1" applyAlignment="1">
      <alignment vertical="top"/>
    </xf>
    <xf numFmtId="3" fontId="10" fillId="0" borderId="0" xfId="5" applyNumberFormat="1" applyFont="1" applyAlignment="1">
      <alignment vertical="top"/>
    </xf>
    <xf numFmtId="164" fontId="10" fillId="0" borderId="0" xfId="5" applyNumberFormat="1" applyFont="1" applyAlignment="1">
      <alignment vertical="top"/>
    </xf>
    <xf numFmtId="167" fontId="10" fillId="0" borderId="32" xfId="1" applyNumberFormat="1" applyFont="1" applyFill="1" applyBorder="1" applyAlignment="1">
      <alignment vertical="top"/>
    </xf>
    <xf numFmtId="167" fontId="10" fillId="0" borderId="27" xfId="1" applyNumberFormat="1" applyFont="1" applyFill="1" applyBorder="1" applyAlignment="1">
      <alignment vertical="top"/>
    </xf>
    <xf numFmtId="0" fontId="10" fillId="0" borderId="34" xfId="5" applyFont="1" applyBorder="1" applyAlignment="1">
      <alignment horizontal="center" vertical="top"/>
    </xf>
    <xf numFmtId="0" fontId="10" fillId="0" borderId="11" xfId="0" applyFont="1" applyBorder="1" applyAlignment="1">
      <alignment vertical="top" wrapText="1"/>
    </xf>
    <xf numFmtId="4" fontId="10" fillId="0" borderId="0" xfId="5" applyNumberFormat="1" applyFont="1" applyAlignment="1">
      <alignment vertical="top"/>
    </xf>
    <xf numFmtId="0" fontId="8" fillId="0" borderId="0" xfId="0" applyFont="1" applyAlignment="1">
      <alignment readingOrder="1"/>
    </xf>
    <xf numFmtId="0" fontId="8" fillId="0" borderId="14" xfId="0" applyFont="1" applyBorder="1" applyAlignment="1">
      <alignment wrapText="1"/>
    </xf>
    <xf numFmtId="167" fontId="10" fillId="0" borderId="38" xfId="1" applyNumberFormat="1" applyFont="1" applyFill="1" applyBorder="1"/>
    <xf numFmtId="167" fontId="10" fillId="0" borderId="21" xfId="1" applyNumberFormat="1" applyFont="1" applyFill="1" applyBorder="1" applyAlignment="1"/>
    <xf numFmtId="167" fontId="10" fillId="0" borderId="32" xfId="1" applyNumberFormat="1" applyFont="1" applyBorder="1" applyAlignment="1">
      <alignment vertical="top"/>
    </xf>
    <xf numFmtId="0" fontId="13" fillId="0" borderId="14" xfId="0" applyFont="1" applyBorder="1" applyAlignment="1">
      <alignment vertical="center"/>
    </xf>
    <xf numFmtId="0" fontId="18" fillId="0" borderId="29" xfId="0" applyFont="1" applyBorder="1" applyAlignment="1">
      <alignment horizontal="left" vertical="top"/>
    </xf>
    <xf numFmtId="0" fontId="18" fillId="0" borderId="22" xfId="0" applyFont="1" applyBorder="1" applyAlignment="1">
      <alignment horizontal="left" vertical="top"/>
    </xf>
    <xf numFmtId="167" fontId="10" fillId="0" borderId="15" xfId="1" applyNumberFormat="1" applyFont="1" applyFill="1" applyBorder="1" applyAlignment="1">
      <alignment vertical="top"/>
    </xf>
    <xf numFmtId="167" fontId="13" fillId="24" borderId="13" xfId="1" applyNumberFormat="1" applyFont="1" applyFill="1" applyBorder="1" applyAlignment="1">
      <alignment horizontal="center" vertical="top" wrapText="1"/>
    </xf>
    <xf numFmtId="167" fontId="13" fillId="24" borderId="13" xfId="1" applyNumberFormat="1" applyFont="1" applyFill="1" applyBorder="1" applyAlignment="1">
      <alignment horizontal="center" vertical="center"/>
    </xf>
    <xf numFmtId="43" fontId="10" fillId="16" borderId="16" xfId="1" applyFont="1" applyFill="1" applyBorder="1" applyAlignment="1">
      <alignment vertical="top"/>
    </xf>
    <xf numFmtId="43" fontId="10" fillId="0" borderId="14" xfId="1" applyFont="1" applyBorder="1" applyAlignment="1">
      <alignment vertical="top"/>
    </xf>
    <xf numFmtId="10" fontId="10" fillId="0" borderId="16" xfId="0" applyNumberFormat="1" applyFont="1" applyBorder="1" applyAlignment="1">
      <alignment vertical="top"/>
    </xf>
    <xf numFmtId="43" fontId="8" fillId="16" borderId="21" xfId="21" applyNumberFormat="1" applyFont="1" applyFill="1" applyBorder="1" applyAlignment="1">
      <alignment horizontal="center" vertical="top"/>
    </xf>
    <xf numFmtId="43" fontId="13" fillId="0" borderId="0" xfId="1" applyFont="1" applyAlignment="1">
      <alignment horizontal="justify" vertical="top"/>
    </xf>
    <xf numFmtId="167" fontId="38" fillId="0" borderId="0" xfId="0" applyNumberFormat="1" applyFont="1" applyAlignment="1">
      <alignment vertical="top"/>
    </xf>
    <xf numFmtId="167" fontId="13" fillId="24" borderId="13" xfId="1" applyNumberFormat="1" applyFont="1" applyFill="1" applyBorder="1" applyAlignment="1">
      <alignment vertical="top"/>
    </xf>
    <xf numFmtId="10" fontId="10" fillId="0" borderId="16" xfId="1" applyNumberFormat="1" applyFont="1" applyFill="1" applyBorder="1" applyAlignment="1">
      <alignment vertical="top"/>
    </xf>
    <xf numFmtId="167" fontId="13" fillId="24" borderId="14" xfId="1" applyNumberFormat="1" applyFont="1" applyFill="1" applyBorder="1" applyAlignment="1">
      <alignment horizontal="center" vertical="top" wrapText="1"/>
    </xf>
    <xf numFmtId="167" fontId="13" fillId="24" borderId="16" xfId="1" applyNumberFormat="1" applyFont="1" applyFill="1" applyBorder="1" applyAlignment="1">
      <alignment horizontal="center" vertical="top" wrapText="1"/>
    </xf>
    <xf numFmtId="167" fontId="13" fillId="24" borderId="17" xfId="1" applyNumberFormat="1" applyFont="1" applyFill="1" applyBorder="1" applyAlignment="1">
      <alignment horizontal="center" vertical="top" wrapText="1"/>
    </xf>
    <xf numFmtId="0" fontId="10" fillId="0" borderId="29" xfId="0" applyFont="1" applyBorder="1" applyAlignment="1">
      <alignment horizontal="left" vertical="top" wrapText="1" indent="4"/>
    </xf>
    <xf numFmtId="10" fontId="10" fillId="0" borderId="21" xfId="1" applyNumberFormat="1" applyFont="1" applyFill="1" applyBorder="1" applyAlignment="1">
      <alignment vertical="top"/>
    </xf>
    <xf numFmtId="0" fontId="12" fillId="0" borderId="0" xfId="0" applyFont="1" applyAlignment="1">
      <alignment horizontal="center" vertical="top"/>
    </xf>
    <xf numFmtId="0" fontId="8" fillId="0" borderId="15" xfId="0" applyFont="1" applyBorder="1" applyAlignment="1">
      <alignment horizontal="right" vertical="top"/>
    </xf>
    <xf numFmtId="167" fontId="8" fillId="0" borderId="16" xfId="1" applyNumberFormat="1" applyFont="1" applyFill="1" applyBorder="1" applyAlignment="1">
      <alignment horizontal="center" vertical="top"/>
    </xf>
    <xf numFmtId="10" fontId="8" fillId="0" borderId="16" xfId="1" applyNumberFormat="1" applyFont="1" applyFill="1" applyBorder="1" applyAlignment="1">
      <alignment horizontal="center" vertical="top"/>
    </xf>
    <xf numFmtId="41" fontId="8" fillId="0" borderId="16" xfId="20" applyFont="1" applyFill="1" applyBorder="1" applyAlignment="1">
      <alignment horizontal="center" vertical="top"/>
    </xf>
    <xf numFmtId="0" fontId="12" fillId="0" borderId="8" xfId="0" applyFont="1" applyBorder="1" applyAlignment="1">
      <alignment horizontal="right" vertical="top"/>
    </xf>
    <xf numFmtId="167" fontId="12" fillId="0" borderId="8" xfId="1" applyNumberFormat="1" applyFont="1" applyFill="1" applyBorder="1" applyAlignment="1">
      <alignment horizontal="center" vertical="top"/>
    </xf>
    <xf numFmtId="167" fontId="12" fillId="0" borderId="8" xfId="1" applyNumberFormat="1" applyFont="1" applyFill="1" applyBorder="1" applyAlignment="1">
      <alignment vertical="top"/>
    </xf>
    <xf numFmtId="167" fontId="10" fillId="0" borderId="8" xfId="1" applyNumberFormat="1" applyFont="1" applyFill="1" applyBorder="1" applyAlignment="1">
      <alignment vertical="top"/>
    </xf>
    <xf numFmtId="0" fontId="8" fillId="0" borderId="29" xfId="0" applyFont="1" applyBorder="1" applyAlignment="1">
      <alignment horizontal="left" vertical="center"/>
    </xf>
    <xf numFmtId="167" fontId="8" fillId="0" borderId="21" xfId="1" applyNumberFormat="1" applyFont="1" applyFill="1" applyBorder="1" applyAlignment="1">
      <alignment horizontal="center" vertical="top"/>
    </xf>
    <xf numFmtId="41" fontId="8" fillId="0" borderId="21" xfId="20" applyFont="1" applyFill="1" applyBorder="1" applyAlignment="1">
      <alignment horizontal="center" vertical="top"/>
    </xf>
    <xf numFmtId="0" fontId="8" fillId="0" borderId="46" xfId="0" applyFont="1" applyBorder="1" applyAlignment="1">
      <alignment horizontal="left" vertical="center"/>
    </xf>
    <xf numFmtId="0" fontId="8" fillId="0" borderId="19" xfId="0" applyFont="1" applyBorder="1" applyAlignment="1">
      <alignment horizontal="left" vertical="top"/>
    </xf>
    <xf numFmtId="167" fontId="8" fillId="0" borderId="18" xfId="1" applyNumberFormat="1" applyFont="1" applyFill="1" applyBorder="1" applyAlignment="1">
      <alignment horizontal="center" vertical="top"/>
    </xf>
    <xf numFmtId="10" fontId="8" fillId="0" borderId="18" xfId="1" applyNumberFormat="1" applyFont="1" applyFill="1" applyBorder="1" applyAlignment="1">
      <alignment horizontal="center" vertical="top"/>
    </xf>
    <xf numFmtId="41" fontId="8" fillId="0" borderId="18" xfId="20" applyFont="1" applyFill="1" applyBorder="1" applyAlignment="1">
      <alignment horizontal="center" vertical="top"/>
    </xf>
    <xf numFmtId="0" fontId="8" fillId="0" borderId="17" xfId="0" applyFont="1" applyBorder="1" applyAlignment="1">
      <alignment horizontal="left" vertical="center"/>
    </xf>
    <xf numFmtId="0" fontId="8" fillId="0" borderId="17" xfId="0" applyFont="1" applyBorder="1" applyAlignment="1">
      <alignment horizontal="left" vertical="top"/>
    </xf>
    <xf numFmtId="167" fontId="13" fillId="0" borderId="0" xfId="1" applyNumberFormat="1" applyFont="1" applyFill="1" applyAlignment="1">
      <alignment vertical="top" wrapText="1"/>
    </xf>
    <xf numFmtId="167" fontId="10" fillId="0" borderId="0" xfId="1" applyNumberFormat="1" applyFont="1" applyFill="1" applyAlignment="1">
      <alignment horizontal="left" vertical="top"/>
    </xf>
    <xf numFmtId="167" fontId="13" fillId="0" borderId="15" xfId="1" applyNumberFormat="1" applyFont="1" applyFill="1" applyBorder="1" applyAlignment="1">
      <alignment horizontal="center" vertical="top" wrapText="1"/>
    </xf>
    <xf numFmtId="167" fontId="13" fillId="0" borderId="16" xfId="1" applyNumberFormat="1" applyFont="1" applyFill="1" applyBorder="1" applyAlignment="1">
      <alignment horizontal="center" vertical="top" wrapText="1"/>
    </xf>
    <xf numFmtId="167" fontId="10" fillId="0" borderId="22" xfId="1" applyNumberFormat="1" applyFont="1" applyFill="1" applyBorder="1" applyAlignment="1">
      <alignment horizontal="center" vertical="top" wrapText="1"/>
    </xf>
    <xf numFmtId="167" fontId="13" fillId="0" borderId="22" xfId="1" applyNumberFormat="1" applyFont="1" applyFill="1" applyBorder="1" applyAlignment="1">
      <alignment horizontal="center" vertical="top" wrapText="1"/>
    </xf>
    <xf numFmtId="167" fontId="13" fillId="0" borderId="21" xfId="1" applyNumberFormat="1" applyFont="1" applyFill="1" applyBorder="1" applyAlignment="1">
      <alignment horizontal="center" vertical="top" wrapText="1"/>
    </xf>
    <xf numFmtId="167" fontId="10" fillId="0" borderId="21" xfId="1" applyNumberFormat="1" applyFont="1" applyFill="1" applyBorder="1" applyAlignment="1">
      <alignment horizontal="center" vertical="top" wrapText="1"/>
    </xf>
    <xf numFmtId="167" fontId="10" fillId="0" borderId="18" xfId="1" applyNumberFormat="1" applyFont="1" applyFill="1" applyBorder="1" applyAlignment="1">
      <alignment horizontal="center" vertical="top" wrapText="1"/>
    </xf>
    <xf numFmtId="43" fontId="10" fillId="0" borderId="14" xfId="1" applyFont="1" applyFill="1" applyBorder="1" applyAlignment="1">
      <alignment vertical="top"/>
    </xf>
    <xf numFmtId="167" fontId="10" fillId="0" borderId="0" xfId="1" applyNumberFormat="1" applyFont="1" applyFill="1" applyAlignment="1">
      <alignment horizontal="left" vertical="top" wrapText="1"/>
    </xf>
    <xf numFmtId="167" fontId="13" fillId="0" borderId="13" xfId="1" applyNumberFormat="1" applyFont="1" applyFill="1" applyBorder="1" applyAlignment="1">
      <alignment horizontal="center" vertical="center" wrapText="1"/>
    </xf>
    <xf numFmtId="167" fontId="10" fillId="0" borderId="22" xfId="1" applyNumberFormat="1" applyFont="1" applyFill="1" applyBorder="1" applyAlignment="1">
      <alignment horizontal="center"/>
    </xf>
    <xf numFmtId="167" fontId="10" fillId="0" borderId="21" xfId="1" applyNumberFormat="1" applyFont="1" applyFill="1" applyBorder="1" applyAlignment="1">
      <alignment horizontal="center"/>
    </xf>
    <xf numFmtId="0" fontId="8" fillId="0" borderId="0" xfId="0" applyFont="1" applyAlignment="1">
      <alignment horizontal="left" vertical="center"/>
    </xf>
    <xf numFmtId="167" fontId="13" fillId="0" borderId="0" xfId="1" applyNumberFormat="1" applyFont="1" applyFill="1" applyAlignment="1">
      <alignment horizontal="left" vertical="top" wrapText="1"/>
    </xf>
    <xf numFmtId="167" fontId="10" fillId="0" borderId="0" xfId="1" applyNumberFormat="1" applyFont="1" applyFill="1" applyAlignment="1">
      <alignment horizontal="center" vertical="top"/>
    </xf>
    <xf numFmtId="167" fontId="10" fillId="0" borderId="21" xfId="1" applyNumberFormat="1" applyFont="1" applyFill="1" applyBorder="1" applyAlignment="1">
      <alignment horizontal="right"/>
    </xf>
    <xf numFmtId="0" fontId="10" fillId="0" borderId="29" xfId="0" applyFont="1" applyBorder="1" applyAlignment="1">
      <alignment horizontal="left" vertical="center" wrapText="1" indent="5"/>
    </xf>
    <xf numFmtId="0" fontId="10" fillId="0" borderId="0" xfId="0" applyFont="1" applyAlignment="1">
      <alignment horizontal="left" vertical="top" indent="3"/>
    </xf>
    <xf numFmtId="167" fontId="13" fillId="0" borderId="16" xfId="1" applyNumberFormat="1" applyFont="1" applyFill="1" applyBorder="1" applyAlignment="1">
      <alignment horizontal="right"/>
    </xf>
    <xf numFmtId="0" fontId="10" fillId="0" borderId="0" xfId="0" applyFont="1" applyAlignment="1">
      <alignment horizontal="left" vertical="center" wrapText="1"/>
    </xf>
    <xf numFmtId="0" fontId="10" fillId="0" borderId="29" xfId="0" quotePrefix="1" applyFont="1" applyBorder="1" applyAlignment="1">
      <alignment horizontal="left" vertical="center" wrapText="1" indent="8"/>
    </xf>
    <xf numFmtId="0" fontId="10" fillId="0" borderId="0" xfId="0" applyFont="1" applyAlignment="1">
      <alignment horizontal="left" vertical="center" wrapText="1" indent="6"/>
    </xf>
    <xf numFmtId="0" fontId="10" fillId="0" borderId="0" xfId="0" applyFont="1" applyAlignment="1">
      <alignment horizontal="left" vertical="center" wrapText="1" indent="3"/>
    </xf>
    <xf numFmtId="167" fontId="10" fillId="0" borderId="21" xfId="1" applyNumberFormat="1" applyFont="1" applyFill="1" applyBorder="1" applyAlignment="1" applyProtection="1">
      <alignment horizontal="right"/>
    </xf>
    <xf numFmtId="0" fontId="10" fillId="0" borderId="29" xfId="0" quotePrefix="1" applyFont="1" applyBorder="1" applyAlignment="1">
      <alignment horizontal="left" vertical="center" indent="5"/>
    </xf>
    <xf numFmtId="0" fontId="10" fillId="0" borderId="0" xfId="0" applyFont="1" applyAlignment="1">
      <alignment horizontal="left" vertical="center" indent="6"/>
    </xf>
    <xf numFmtId="0" fontId="10" fillId="0" borderId="29" xfId="0" quotePrefix="1" applyFont="1" applyBorder="1" applyAlignment="1">
      <alignment horizontal="left" vertical="center" indent="6"/>
    </xf>
    <xf numFmtId="0" fontId="10" fillId="0" borderId="29" xfId="0" quotePrefix="1" applyFont="1" applyBorder="1" applyAlignment="1">
      <alignment horizontal="left" indent="6"/>
    </xf>
    <xf numFmtId="0" fontId="10" fillId="0" borderId="0" xfId="0" applyFont="1" applyAlignment="1">
      <alignment horizontal="left" vertical="center" indent="4"/>
    </xf>
    <xf numFmtId="0" fontId="13" fillId="0" borderId="29" xfId="0" applyFont="1" applyBorder="1" applyAlignment="1">
      <alignment horizontal="left" vertical="center" indent="3"/>
    </xf>
    <xf numFmtId="167" fontId="11" fillId="24" borderId="13" xfId="1" applyNumberFormat="1" applyFont="1" applyFill="1" applyBorder="1" applyAlignment="1">
      <alignment horizontal="center" vertical="center" wrapText="1"/>
    </xf>
    <xf numFmtId="0" fontId="11" fillId="24" borderId="13" xfId="0" applyFont="1" applyFill="1" applyBorder="1" applyAlignment="1">
      <alignment horizontal="center" vertical="center" wrapText="1"/>
    </xf>
    <xf numFmtId="167" fontId="11" fillId="24" borderId="23" xfId="1" applyNumberFormat="1" applyFont="1" applyFill="1" applyBorder="1" applyAlignment="1">
      <alignment horizontal="center" vertical="center" wrapText="1"/>
    </xf>
    <xf numFmtId="0" fontId="8" fillId="0" borderId="7" xfId="0" applyFont="1" applyBorder="1" applyAlignment="1">
      <alignment horizontal="left" vertical="center"/>
    </xf>
    <xf numFmtId="0" fontId="8" fillId="0" borderId="8" xfId="0" applyFont="1" applyBorder="1" applyAlignment="1">
      <alignment horizontal="left" vertical="top"/>
    </xf>
    <xf numFmtId="167" fontId="8" fillId="0" borderId="13" xfId="1" applyNumberFormat="1" applyFont="1" applyFill="1" applyBorder="1" applyAlignment="1">
      <alignment horizontal="center" vertical="top"/>
    </xf>
    <xf numFmtId="10" fontId="8" fillId="0" borderId="13" xfId="1" applyNumberFormat="1" applyFont="1" applyFill="1" applyBorder="1" applyAlignment="1">
      <alignment horizontal="center" vertical="top"/>
    </xf>
    <xf numFmtId="41" fontId="8" fillId="0" borderId="13" xfId="20" applyFont="1" applyFill="1" applyBorder="1" applyAlignment="1">
      <alignment horizontal="center" vertical="top"/>
    </xf>
    <xf numFmtId="167" fontId="13" fillId="24" borderId="13" xfId="1" applyNumberFormat="1" applyFont="1" applyFill="1" applyBorder="1" applyAlignment="1">
      <alignment horizontal="right"/>
    </xf>
    <xf numFmtId="0" fontId="13" fillId="24" borderId="7" xfId="0" applyFont="1" applyFill="1" applyBorder="1" applyAlignment="1">
      <alignment horizontal="center" vertical="center" wrapText="1"/>
    </xf>
    <xf numFmtId="0" fontId="13" fillId="0" borderId="13" xfId="0" applyFont="1" applyBorder="1" applyAlignment="1">
      <alignment horizontal="left" vertical="top"/>
    </xf>
    <xf numFmtId="167" fontId="13" fillId="0" borderId="13" xfId="1" applyNumberFormat="1" applyFont="1" applyFill="1" applyBorder="1" applyAlignment="1" applyProtection="1">
      <alignment vertical="top"/>
    </xf>
    <xf numFmtId="167" fontId="13" fillId="21" borderId="20" xfId="1" applyNumberFormat="1" applyFont="1" applyFill="1" applyBorder="1" applyAlignment="1">
      <alignment vertical="top"/>
    </xf>
    <xf numFmtId="167" fontId="13" fillId="21" borderId="18" xfId="1" applyNumberFormat="1" applyFont="1" applyFill="1" applyBorder="1" applyAlignment="1">
      <alignment vertical="top"/>
    </xf>
    <xf numFmtId="167" fontId="10" fillId="0" borderId="29" xfId="1" applyNumberFormat="1" applyFont="1" applyFill="1" applyBorder="1" applyAlignment="1">
      <alignment horizontal="center" vertical="top"/>
    </xf>
    <xf numFmtId="167" fontId="10" fillId="0" borderId="46" xfId="1" applyNumberFormat="1" applyFont="1" applyFill="1" applyBorder="1" applyAlignment="1">
      <alignment vertical="top"/>
    </xf>
    <xf numFmtId="167" fontId="13" fillId="21" borderId="8" xfId="1" applyNumberFormat="1" applyFont="1" applyFill="1" applyBorder="1" applyAlignment="1">
      <alignment horizontal="center" vertical="top" wrapText="1"/>
    </xf>
    <xf numFmtId="167" fontId="13" fillId="4" borderId="14" xfId="1" applyNumberFormat="1" applyFont="1" applyFill="1" applyBorder="1" applyAlignment="1">
      <alignment vertical="top"/>
    </xf>
    <xf numFmtId="167" fontId="13" fillId="4" borderId="16" xfId="1" applyNumberFormat="1" applyFont="1" applyFill="1" applyBorder="1" applyAlignment="1">
      <alignment vertical="top"/>
    </xf>
    <xf numFmtId="43" fontId="10" fillId="0" borderId="0" xfId="5" applyNumberFormat="1" applyFont="1" applyAlignment="1">
      <alignment vertical="top"/>
    </xf>
    <xf numFmtId="167" fontId="10" fillId="0" borderId="0" xfId="5" applyNumberFormat="1" applyFont="1" applyAlignment="1">
      <alignment vertical="top"/>
    </xf>
    <xf numFmtId="0" fontId="13" fillId="21" borderId="13" xfId="5" applyFont="1" applyFill="1" applyBorder="1" applyAlignment="1">
      <alignment horizontal="center" vertical="center" wrapText="1"/>
    </xf>
    <xf numFmtId="10" fontId="10" fillId="0" borderId="21" xfId="1" applyNumberFormat="1" applyFont="1" applyFill="1" applyBorder="1" applyAlignment="1">
      <alignment horizontal="right" vertical="top"/>
    </xf>
    <xf numFmtId="10" fontId="10" fillId="0" borderId="21" xfId="1" applyNumberFormat="1" applyFont="1" applyFill="1" applyBorder="1" applyAlignment="1">
      <alignment horizontal="center" vertical="top" wrapText="1"/>
    </xf>
    <xf numFmtId="41" fontId="10" fillId="0" borderId="16" xfId="20" applyFont="1" applyBorder="1"/>
    <xf numFmtId="10" fontId="10" fillId="0" borderId="18" xfId="1" applyNumberFormat="1" applyFont="1" applyFill="1" applyBorder="1" applyAlignment="1">
      <alignment vertical="top"/>
    </xf>
    <xf numFmtId="10" fontId="10" fillId="0" borderId="18" xfId="1" applyNumberFormat="1" applyFont="1" applyFill="1" applyBorder="1" applyAlignment="1">
      <alignment horizontal="right" vertical="top"/>
    </xf>
    <xf numFmtId="164" fontId="10" fillId="0" borderId="13" xfId="5" applyNumberFormat="1" applyFont="1" applyBorder="1" applyAlignment="1">
      <alignment vertical="top"/>
    </xf>
    <xf numFmtId="0" fontId="8" fillId="2" borderId="0" xfId="0" applyFont="1" applyFill="1" applyAlignment="1">
      <alignment vertical="center"/>
    </xf>
    <xf numFmtId="43" fontId="8" fillId="3" borderId="0" xfId="1" applyFont="1" applyFill="1"/>
    <xf numFmtId="0" fontId="0" fillId="0" borderId="0" xfId="0" pivotButton="1"/>
    <xf numFmtId="0" fontId="0" fillId="0" borderId="0" xfId="0" applyAlignment="1">
      <alignment horizontal="left"/>
    </xf>
    <xf numFmtId="43" fontId="0" fillId="0" borderId="0" xfId="0" applyNumberFormat="1"/>
    <xf numFmtId="43" fontId="0" fillId="0" borderId="0" xfId="1" applyFont="1"/>
    <xf numFmtId="43" fontId="11" fillId="21" borderId="13" xfId="1" applyFont="1" applyFill="1" applyBorder="1"/>
    <xf numFmtId="0" fontId="8" fillId="0" borderId="49" xfId="0" applyFont="1" applyBorder="1"/>
    <xf numFmtId="43" fontId="8" fillId="0" borderId="65" xfId="1" applyFont="1" applyBorder="1"/>
    <xf numFmtId="0" fontId="8" fillId="0" borderId="52" xfId="0" applyFont="1" applyBorder="1"/>
    <xf numFmtId="43" fontId="8" fillId="0" borderId="21" xfId="1" applyFont="1" applyFill="1" applyBorder="1"/>
    <xf numFmtId="43" fontId="8" fillId="0" borderId="0" xfId="1" applyFont="1" applyFill="1" applyBorder="1" applyAlignment="1">
      <alignment vertical="center"/>
    </xf>
    <xf numFmtId="43" fontId="10" fillId="0" borderId="22" xfId="1" applyFont="1" applyBorder="1" applyAlignment="1">
      <alignment horizontal="center" vertical="top"/>
    </xf>
    <xf numFmtId="43" fontId="10" fillId="0" borderId="23" xfId="1" applyFont="1" applyBorder="1" applyAlignment="1">
      <alignment vertical="top"/>
    </xf>
    <xf numFmtId="0" fontId="12" fillId="0" borderId="21" xfId="0" applyFont="1" applyBorder="1"/>
    <xf numFmtId="43" fontId="12" fillId="0" borderId="21" xfId="1" applyFont="1" applyFill="1" applyBorder="1"/>
    <xf numFmtId="0" fontId="8" fillId="3" borderId="21" xfId="0" applyFont="1" applyFill="1" applyBorder="1"/>
    <xf numFmtId="167" fontId="13" fillId="21" borderId="19" xfId="1" applyNumberFormat="1" applyFont="1" applyFill="1" applyBorder="1" applyAlignment="1">
      <alignment vertical="top"/>
    </xf>
    <xf numFmtId="0" fontId="13" fillId="21" borderId="7" xfId="0" applyFont="1" applyFill="1" applyBorder="1" applyAlignment="1">
      <alignment horizontal="center" vertical="center" wrapText="1"/>
    </xf>
    <xf numFmtId="0" fontId="13" fillId="21" borderId="23" xfId="0" applyFont="1" applyFill="1" applyBorder="1" applyAlignment="1">
      <alignment horizontal="center" vertical="center" wrapText="1"/>
    </xf>
    <xf numFmtId="167" fontId="13" fillId="5" borderId="16" xfId="1" applyNumberFormat="1" applyFont="1" applyFill="1" applyBorder="1" applyAlignment="1">
      <alignment horizontal="left" vertical="top"/>
    </xf>
    <xf numFmtId="167" fontId="13" fillId="0" borderId="0" xfId="1" applyNumberFormat="1" applyFont="1" applyFill="1" applyAlignment="1">
      <alignment horizontal="right" vertical="top"/>
    </xf>
    <xf numFmtId="167" fontId="13" fillId="0" borderId="0" xfId="1" applyNumberFormat="1" applyFont="1" applyFill="1" applyAlignment="1">
      <alignment horizontal="right" vertical="center"/>
    </xf>
    <xf numFmtId="167" fontId="13" fillId="0" borderId="0" xfId="1" applyNumberFormat="1" applyFont="1" applyAlignment="1">
      <alignment horizontal="right"/>
    </xf>
    <xf numFmtId="167" fontId="8" fillId="0" borderId="0" xfId="0" applyNumberFormat="1" applyFont="1"/>
    <xf numFmtId="167" fontId="13" fillId="0" borderId="0" xfId="1" applyNumberFormat="1" applyFont="1" applyFill="1" applyAlignment="1">
      <alignment horizontal="left" vertical="top"/>
    </xf>
    <xf numFmtId="0" fontId="13" fillId="0" borderId="0" xfId="5" applyFont="1" applyAlignment="1">
      <alignment horizontal="right" vertical="top"/>
    </xf>
    <xf numFmtId="0" fontId="8" fillId="0" borderId="0" xfId="25" applyFont="1" applyAlignment="1">
      <alignment horizontal="left"/>
    </xf>
    <xf numFmtId="43" fontId="12" fillId="2" borderId="0" xfId="1" applyFont="1" applyFill="1" applyBorder="1" applyAlignment="1">
      <alignment horizontal="left" vertical="top"/>
    </xf>
    <xf numFmtId="43" fontId="12" fillId="2" borderId="21" xfId="1" applyFont="1" applyFill="1" applyBorder="1" applyAlignment="1" applyProtection="1">
      <alignment horizontal="right" vertical="top" wrapText="1"/>
    </xf>
    <xf numFmtId="167" fontId="13" fillId="21" borderId="14" xfId="1" applyNumberFormat="1" applyFont="1" applyFill="1" applyBorder="1" applyAlignment="1">
      <alignment vertical="top" wrapText="1"/>
    </xf>
    <xf numFmtId="167" fontId="13" fillId="21" borderId="16" xfId="1" applyNumberFormat="1" applyFont="1" applyFill="1" applyBorder="1" applyAlignment="1">
      <alignment horizontal="center" vertical="top" wrapText="1"/>
    </xf>
    <xf numFmtId="167" fontId="13" fillId="0" borderId="13" xfId="1" applyNumberFormat="1" applyFont="1" applyFill="1" applyBorder="1" applyAlignment="1">
      <alignment vertical="top"/>
    </xf>
    <xf numFmtId="3" fontId="23" fillId="0" borderId="0" xfId="0" applyNumberFormat="1" applyFont="1"/>
    <xf numFmtId="43" fontId="8" fillId="2" borderId="0" xfId="1" applyFont="1" applyFill="1" applyAlignment="1">
      <alignment vertical="center"/>
    </xf>
    <xf numFmtId="43" fontId="8" fillId="0" borderId="22" xfId="1" applyFont="1" applyFill="1" applyBorder="1"/>
    <xf numFmtId="43" fontId="8" fillId="0" borderId="0" xfId="1" applyFont="1" applyBorder="1"/>
    <xf numFmtId="43" fontId="12" fillId="2" borderId="16" xfId="7" applyFont="1" applyFill="1" applyBorder="1" applyAlignment="1" applyProtection="1">
      <alignment vertical="top"/>
    </xf>
    <xf numFmtId="164" fontId="8" fillId="0" borderId="0" xfId="28" applyFont="1" applyFill="1" applyBorder="1"/>
    <xf numFmtId="0" fontId="56" fillId="0" borderId="0" xfId="0" applyFont="1"/>
    <xf numFmtId="0" fontId="56" fillId="0" borderId="0" xfId="0" applyFont="1" applyAlignment="1">
      <alignment vertical="center"/>
    </xf>
    <xf numFmtId="0" fontId="8" fillId="3" borderId="0" xfId="25" applyFont="1" applyFill="1" applyAlignment="1">
      <alignment horizontal="left"/>
    </xf>
    <xf numFmtId="43" fontId="8" fillId="3" borderId="13" xfId="1" applyFont="1" applyFill="1" applyBorder="1" applyAlignment="1">
      <alignment vertical="center"/>
    </xf>
    <xf numFmtId="0" fontId="8" fillId="3" borderId="0" xfId="0" applyFont="1" applyFill="1" applyAlignment="1">
      <alignment horizontal="left"/>
    </xf>
    <xf numFmtId="43" fontId="8" fillId="3" borderId="0" xfId="1" applyFont="1" applyFill="1" applyAlignment="1">
      <alignment vertical="center"/>
    </xf>
    <xf numFmtId="43" fontId="8" fillId="3" borderId="0" xfId="1" applyFont="1" applyFill="1" applyBorder="1" applyAlignment="1">
      <alignment vertical="center"/>
    </xf>
    <xf numFmtId="0" fontId="8" fillId="3" borderId="0" xfId="0" applyFont="1" applyFill="1" applyAlignment="1">
      <alignment vertical="center"/>
    </xf>
    <xf numFmtId="43" fontId="8" fillId="3" borderId="0" xfId="1" applyFont="1" applyFill="1" applyAlignment="1">
      <alignment horizontal="right" vertical="center"/>
    </xf>
    <xf numFmtId="43" fontId="10" fillId="3" borderId="0" xfId="1" applyFont="1" applyFill="1" applyAlignment="1">
      <alignment vertical="center"/>
    </xf>
    <xf numFmtId="0" fontId="8" fillId="3" borderId="13" xfId="0" applyFont="1" applyFill="1" applyBorder="1" applyAlignment="1">
      <alignment horizontal="left"/>
    </xf>
    <xf numFmtId="43" fontId="8" fillId="3" borderId="0" xfId="1" applyFont="1" applyFill="1" applyAlignment="1">
      <alignment horizontal="left"/>
    </xf>
    <xf numFmtId="43" fontId="8" fillId="3" borderId="13" xfId="1" applyFont="1" applyFill="1" applyBorder="1" applyAlignment="1">
      <alignment horizontal="left"/>
    </xf>
    <xf numFmtId="43" fontId="8" fillId="3" borderId="0" xfId="0" applyNumberFormat="1" applyFont="1" applyFill="1" applyAlignment="1">
      <alignment vertical="center"/>
    </xf>
    <xf numFmtId="41" fontId="8" fillId="2" borderId="0" xfId="20" applyFont="1" applyFill="1" applyBorder="1"/>
    <xf numFmtId="0" fontId="8" fillId="2" borderId="0" xfId="25" applyFont="1" applyFill="1" applyAlignment="1">
      <alignment horizontal="left"/>
    </xf>
    <xf numFmtId="43" fontId="8" fillId="2" borderId="13" xfId="1" applyFont="1" applyFill="1" applyBorder="1" applyAlignment="1">
      <alignment vertical="center"/>
    </xf>
    <xf numFmtId="0" fontId="8" fillId="2" borderId="0" xfId="0" applyFont="1" applyFill="1" applyAlignment="1">
      <alignment horizontal="left"/>
    </xf>
    <xf numFmtId="49" fontId="10" fillId="2" borderId="0" xfId="0" applyNumberFormat="1" applyFont="1" applyFill="1" applyAlignment="1">
      <alignment vertical="top"/>
    </xf>
    <xf numFmtId="41" fontId="8" fillId="0" borderId="15" xfId="0" applyNumberFormat="1" applyFont="1" applyBorder="1" applyAlignment="1">
      <alignment horizontal="center"/>
    </xf>
    <xf numFmtId="43" fontId="8" fillId="0" borderId="16" xfId="0" applyNumberFormat="1" applyFont="1" applyBorder="1" applyAlignment="1">
      <alignment vertical="center"/>
    </xf>
    <xf numFmtId="43" fontId="8" fillId="13" borderId="0" xfId="1" applyFont="1" applyFill="1"/>
    <xf numFmtId="43" fontId="11" fillId="2" borderId="0" xfId="1" applyFont="1" applyFill="1" applyAlignment="1">
      <alignment horizontal="centerContinuous" vertical="center"/>
    </xf>
    <xf numFmtId="43" fontId="16" fillId="8" borderId="18" xfId="1" applyFont="1" applyFill="1" applyBorder="1" applyAlignment="1">
      <alignment horizontal="center" vertical="center" wrapText="1"/>
    </xf>
    <xf numFmtId="43" fontId="15" fillId="0" borderId="13" xfId="1" applyFont="1" applyBorder="1" applyAlignment="1">
      <alignment horizontal="left" vertical="center"/>
    </xf>
    <xf numFmtId="43" fontId="15" fillId="0" borderId="16" xfId="1" applyFont="1" applyBorder="1" applyAlignment="1">
      <alignment horizontal="left" vertical="center"/>
    </xf>
    <xf numFmtId="0" fontId="10" fillId="0" borderId="29" xfId="6" applyNumberFormat="1" applyFont="1" applyBorder="1"/>
    <xf numFmtId="167" fontId="57" fillId="0" borderId="18" xfId="1" applyNumberFormat="1" applyFont="1" applyFill="1" applyBorder="1" applyAlignment="1">
      <alignment vertical="top"/>
    </xf>
    <xf numFmtId="164" fontId="10" fillId="0" borderId="33" xfId="5" applyNumberFormat="1" applyFont="1" applyBorder="1" applyAlignment="1">
      <alignment vertical="top"/>
    </xf>
    <xf numFmtId="167" fontId="10" fillId="0" borderId="64" xfId="1" applyNumberFormat="1" applyFont="1" applyFill="1" applyBorder="1" applyAlignment="1">
      <alignment vertical="top"/>
    </xf>
    <xf numFmtId="167" fontId="8" fillId="0" borderId="0" xfId="0" applyNumberFormat="1" applyFont="1" applyAlignment="1">
      <alignment vertical="top"/>
    </xf>
    <xf numFmtId="167" fontId="13" fillId="0" borderId="13" xfId="0" applyNumberFormat="1" applyFont="1" applyBorder="1" applyAlignment="1">
      <alignment vertical="top"/>
    </xf>
    <xf numFmtId="0" fontId="13" fillId="21" borderId="7" xfId="0" applyFont="1" applyFill="1" applyBorder="1" applyAlignment="1">
      <alignment horizontal="right"/>
    </xf>
    <xf numFmtId="0" fontId="10" fillId="0" borderId="29" xfId="0" applyFont="1" applyBorder="1" applyAlignment="1" applyProtection="1">
      <alignment vertical="top"/>
      <protection locked="0"/>
    </xf>
    <xf numFmtId="0" fontId="10" fillId="0" borderId="22" xfId="0" applyFont="1" applyBorder="1" applyAlignment="1" applyProtection="1">
      <alignment vertical="top"/>
      <protection locked="0"/>
    </xf>
    <xf numFmtId="0" fontId="10" fillId="0" borderId="0" xfId="0" applyFont="1" applyAlignment="1" applyProtection="1">
      <alignment vertical="top"/>
      <protection locked="0"/>
    </xf>
    <xf numFmtId="167" fontId="13" fillId="0" borderId="21" xfId="1" applyNumberFormat="1" applyFont="1" applyFill="1" applyBorder="1" applyAlignment="1">
      <alignment horizontal="left" vertical="top"/>
    </xf>
    <xf numFmtId="0" fontId="13" fillId="21" borderId="7" xfId="0" applyFont="1" applyFill="1" applyBorder="1" applyAlignment="1">
      <alignment horizontal="centerContinuous" vertical="top" wrapText="1"/>
    </xf>
    <xf numFmtId="0" fontId="13" fillId="21" borderId="23" xfId="0" applyFont="1" applyFill="1" applyBorder="1" applyAlignment="1">
      <alignment horizontal="centerContinuous" vertical="top" wrapText="1"/>
    </xf>
    <xf numFmtId="164" fontId="8" fillId="0" borderId="21" xfId="28" applyFont="1" applyBorder="1"/>
    <xf numFmtId="164" fontId="8" fillId="0" borderId="21" xfId="28" applyFont="1" applyBorder="1" applyAlignment="1">
      <alignment horizontal="right" vertical="top"/>
    </xf>
    <xf numFmtId="164" fontId="8" fillId="0" borderId="18" xfId="28" applyFont="1" applyBorder="1" applyAlignment="1">
      <alignment horizontal="right" vertical="top"/>
    </xf>
    <xf numFmtId="43" fontId="8" fillId="0" borderId="16" xfId="0" applyNumberFormat="1" applyFont="1" applyBorder="1" applyAlignment="1">
      <alignment horizontal="center" vertical="center"/>
    </xf>
    <xf numFmtId="167" fontId="38" fillId="25" borderId="0" xfId="0" applyNumberFormat="1" applyFont="1" applyFill="1" applyAlignment="1">
      <alignment vertical="top"/>
    </xf>
    <xf numFmtId="167" fontId="10" fillId="0" borderId="21" xfId="1" applyNumberFormat="1" applyFont="1" applyFill="1" applyBorder="1" applyAlignment="1">
      <alignment horizontal="left" vertical="top" indent="4"/>
    </xf>
    <xf numFmtId="167" fontId="8" fillId="0" borderId="21" xfId="5" applyNumberFormat="1" applyFont="1" applyBorder="1" applyAlignment="1">
      <alignment vertical="top"/>
    </xf>
    <xf numFmtId="167" fontId="13" fillId="0" borderId="23" xfId="1" applyNumberFormat="1" applyFont="1" applyFill="1" applyBorder="1" applyAlignment="1">
      <alignment vertical="top"/>
    </xf>
    <xf numFmtId="0" fontId="58" fillId="21" borderId="0" xfId="0" applyFont="1" applyFill="1" applyAlignment="1">
      <alignment vertical="top"/>
    </xf>
    <xf numFmtId="0" fontId="8" fillId="0" borderId="18" xfId="0" applyFont="1" applyBorder="1" applyAlignment="1">
      <alignment wrapText="1"/>
    </xf>
    <xf numFmtId="164" fontId="8" fillId="0" borderId="18" xfId="0" applyNumberFormat="1" applyFont="1" applyBorder="1"/>
    <xf numFmtId="43" fontId="8" fillId="0" borderId="13" xfId="1" applyFont="1" applyBorder="1"/>
    <xf numFmtId="0" fontId="8" fillId="0" borderId="13" xfId="0" applyFont="1" applyBorder="1" applyAlignment="1">
      <alignment horizontal="center" vertical="center"/>
    </xf>
    <xf numFmtId="0" fontId="33" fillId="0" borderId="0" xfId="0" applyFont="1" applyAlignment="1">
      <alignment horizontal="center" vertical="center"/>
    </xf>
    <xf numFmtId="0" fontId="33" fillId="0" borderId="21" xfId="0" applyFont="1" applyBorder="1"/>
    <xf numFmtId="0" fontId="11" fillId="0" borderId="21" xfId="0" applyFont="1" applyBorder="1" applyAlignment="1">
      <alignment horizontal="center"/>
    </xf>
    <xf numFmtId="0" fontId="11" fillId="0" borderId="18" xfId="0" applyFont="1" applyBorder="1" applyAlignment="1">
      <alignment horizontal="center"/>
    </xf>
    <xf numFmtId="0" fontId="11" fillId="0" borderId="16" xfId="0" applyFont="1" applyBorder="1" applyAlignment="1">
      <alignment horizontal="center"/>
    </xf>
    <xf numFmtId="164" fontId="8" fillId="0" borderId="16" xfId="28" applyFont="1" applyBorder="1"/>
    <xf numFmtId="0" fontId="33" fillId="0" borderId="21" xfId="0" applyFont="1" applyBorder="1" applyAlignment="1">
      <alignment horizontal="center"/>
    </xf>
    <xf numFmtId="0" fontId="11" fillId="21" borderId="13" xfId="0" applyFont="1" applyFill="1" applyBorder="1" applyAlignment="1">
      <alignment horizontal="center"/>
    </xf>
    <xf numFmtId="164" fontId="8" fillId="0" borderId="13" xfId="0" applyNumberFormat="1" applyFont="1" applyBorder="1"/>
    <xf numFmtId="0" fontId="13" fillId="0" borderId="22" xfId="0" applyFont="1" applyBorder="1" applyAlignment="1">
      <alignment horizontal="centerContinuous" vertical="top" wrapText="1"/>
    </xf>
    <xf numFmtId="0" fontId="19" fillId="0" borderId="29" xfId="0" applyFont="1" applyBorder="1" applyAlignment="1">
      <alignment horizontal="left" vertical="top" wrapText="1"/>
    </xf>
    <xf numFmtId="0" fontId="10" fillId="2" borderId="29" xfId="0" applyFont="1" applyFill="1" applyBorder="1" applyAlignment="1">
      <alignment horizontal="left" vertical="top" wrapText="1" indent="2"/>
    </xf>
    <xf numFmtId="43" fontId="8" fillId="0" borderId="19" xfId="1" applyFont="1" applyBorder="1"/>
    <xf numFmtId="0" fontId="10" fillId="0" borderId="0" xfId="9" applyFont="1" applyAlignment="1">
      <alignment vertical="top" wrapText="1"/>
    </xf>
    <xf numFmtId="0" fontId="8" fillId="2" borderId="28" xfId="0" applyFont="1" applyFill="1" applyBorder="1"/>
    <xf numFmtId="0" fontId="13" fillId="21" borderId="13" xfId="9" applyFont="1" applyFill="1" applyBorder="1" applyAlignment="1">
      <alignment horizontal="center" vertical="top"/>
    </xf>
    <xf numFmtId="0" fontId="10" fillId="0" borderId="34" xfId="5" applyFont="1" applyBorder="1" applyAlignment="1">
      <alignment vertical="top" wrapText="1"/>
    </xf>
    <xf numFmtId="43" fontId="10" fillId="0" borderId="36" xfId="1" applyFont="1" applyFill="1" applyBorder="1" applyAlignment="1">
      <alignment horizontal="left" vertical="top" wrapText="1"/>
    </xf>
    <xf numFmtId="41" fontId="12" fillId="2" borderId="13" xfId="20" applyFont="1" applyFill="1" applyBorder="1"/>
    <xf numFmtId="0" fontId="13" fillId="24" borderId="13" xfId="0" applyFont="1" applyFill="1" applyBorder="1" applyAlignment="1">
      <alignment horizontal="center" vertical="center" wrapText="1"/>
    </xf>
    <xf numFmtId="9" fontId="10" fillId="0" borderId="0" xfId="21" applyFont="1" applyBorder="1" applyAlignment="1">
      <alignment horizontal="justify" vertical="top" wrapText="1"/>
    </xf>
    <xf numFmtId="0" fontId="13" fillId="0" borderId="13" xfId="5" applyFont="1" applyBorder="1" applyAlignment="1">
      <alignment horizontal="center" vertical="top"/>
    </xf>
    <xf numFmtId="0" fontId="13" fillId="21" borderId="7" xfId="0" applyFont="1" applyFill="1" applyBorder="1" applyAlignment="1">
      <alignment horizontal="center" vertical="top"/>
    </xf>
    <xf numFmtId="0" fontId="13" fillId="21" borderId="7" xfId="0" applyFont="1" applyFill="1" applyBorder="1" applyAlignment="1">
      <alignment horizontal="center" vertical="top" wrapText="1"/>
    </xf>
    <xf numFmtId="167" fontId="13" fillId="0" borderId="0" xfId="1" applyNumberFormat="1" applyFont="1" applyBorder="1" applyAlignment="1">
      <alignment vertical="top"/>
    </xf>
    <xf numFmtId="167" fontId="8" fillId="0" borderId="0" xfId="1" applyNumberFormat="1" applyFont="1" applyBorder="1"/>
    <xf numFmtId="167" fontId="10" fillId="0" borderId="0" xfId="1" applyNumberFormat="1" applyFont="1" applyBorder="1"/>
    <xf numFmtId="0" fontId="12" fillId="0" borderId="0" xfId="5" quotePrefix="1" applyFont="1" applyAlignment="1">
      <alignment horizontal="justify" vertical="top" wrapText="1"/>
    </xf>
    <xf numFmtId="167" fontId="10" fillId="0" borderId="36" xfId="1" applyNumberFormat="1" applyFont="1" applyBorder="1" applyAlignment="1">
      <alignment vertical="top"/>
    </xf>
    <xf numFmtId="167" fontId="13" fillId="0" borderId="38" xfId="1" applyNumberFormat="1" applyFont="1" applyBorder="1" applyAlignment="1">
      <alignment vertical="top"/>
    </xf>
    <xf numFmtId="0" fontId="13" fillId="0" borderId="36" xfId="5" applyFont="1" applyBorder="1" applyAlignment="1">
      <alignment vertical="top"/>
    </xf>
    <xf numFmtId="167" fontId="13" fillId="0" borderId="45" xfId="5" applyNumberFormat="1" applyFont="1" applyBorder="1" applyAlignment="1">
      <alignment vertical="top"/>
    </xf>
    <xf numFmtId="0" fontId="13" fillId="21" borderId="13" xfId="5" applyFont="1" applyFill="1" applyBorder="1" applyAlignment="1">
      <alignment horizontal="left" vertical="top" wrapText="1"/>
    </xf>
    <xf numFmtId="0" fontId="13" fillId="0" borderId="13" xfId="5" applyFont="1" applyBorder="1" applyAlignment="1">
      <alignment vertical="top"/>
    </xf>
    <xf numFmtId="0" fontId="13" fillId="21" borderId="13" xfId="5" applyFont="1" applyFill="1" applyBorder="1" applyAlignment="1">
      <alignment vertical="top"/>
    </xf>
    <xf numFmtId="10" fontId="10" fillId="0" borderId="18" xfId="1" applyNumberFormat="1" applyFont="1" applyFill="1" applyBorder="1" applyAlignment="1">
      <alignment horizontal="center" vertical="top" wrapText="1"/>
    </xf>
    <xf numFmtId="0" fontId="13" fillId="0" borderId="0" xfId="5" applyFont="1" applyAlignment="1">
      <alignment horizontal="center" vertical="center"/>
    </xf>
    <xf numFmtId="0" fontId="13" fillId="0" borderId="5" xfId="5" applyFont="1" applyBorder="1" applyAlignment="1">
      <alignment horizontal="center" vertical="center"/>
    </xf>
    <xf numFmtId="43" fontId="10" fillId="0" borderId="15" xfId="1" applyFont="1" applyFill="1" applyBorder="1" applyAlignment="1">
      <alignment vertical="top"/>
    </xf>
    <xf numFmtId="0" fontId="13" fillId="21" borderId="13" xfId="5" applyFont="1" applyFill="1" applyBorder="1" applyAlignment="1">
      <alignment horizontal="center" vertical="center"/>
    </xf>
    <xf numFmtId="0" fontId="13" fillId="0" borderId="0" xfId="0" applyFont="1" applyAlignment="1">
      <alignment horizontal="center" vertical="center" wrapText="1"/>
    </xf>
    <xf numFmtId="43" fontId="10" fillId="0" borderId="0" xfId="1" applyFont="1" applyFill="1" applyBorder="1" applyAlignment="1">
      <alignment vertical="top" wrapText="1"/>
    </xf>
    <xf numFmtId="0" fontId="13" fillId="0" borderId="18" xfId="9" applyFont="1" applyBorder="1" applyAlignment="1">
      <alignment vertical="top"/>
    </xf>
    <xf numFmtId="0" fontId="13" fillId="0" borderId="21" xfId="9" applyFont="1" applyBorder="1" applyAlignment="1">
      <alignment vertical="top"/>
    </xf>
    <xf numFmtId="0" fontId="13" fillId="21" borderId="13" xfId="9" applyFont="1" applyFill="1" applyBorder="1" applyAlignment="1">
      <alignment vertical="top"/>
    </xf>
    <xf numFmtId="0" fontId="10" fillId="21" borderId="13" xfId="5" applyFont="1" applyFill="1" applyBorder="1" applyAlignment="1">
      <alignment vertical="top"/>
    </xf>
    <xf numFmtId="0" fontId="13" fillId="21" borderId="13" xfId="0" applyFont="1" applyFill="1" applyBorder="1" applyAlignment="1">
      <alignment horizontal="center" vertical="center"/>
    </xf>
    <xf numFmtId="0" fontId="13" fillId="0" borderId="51" xfId="5" applyFont="1" applyBorder="1" applyAlignment="1">
      <alignment vertical="top"/>
    </xf>
    <xf numFmtId="0" fontId="13" fillId="0" borderId="5" xfId="0" applyFont="1" applyBorder="1" applyAlignment="1">
      <alignment horizontal="right" wrapText="1"/>
    </xf>
    <xf numFmtId="0" fontId="13" fillId="24" borderId="26" xfId="0" applyFont="1" applyFill="1" applyBorder="1" applyAlignment="1">
      <alignment horizontal="center" vertical="top" wrapText="1"/>
    </xf>
    <xf numFmtId="0" fontId="10" fillId="0" borderId="0" xfId="0" applyFont="1" applyAlignment="1">
      <alignment horizontal="left" vertical="top" indent="1"/>
    </xf>
    <xf numFmtId="0" fontId="14" fillId="0" borderId="21" xfId="0" applyFont="1" applyBorder="1" applyAlignment="1">
      <alignment vertical="top"/>
    </xf>
    <xf numFmtId="43" fontId="10" fillId="0" borderId="15" xfId="1" applyFont="1" applyFill="1" applyBorder="1" applyAlignment="1" applyProtection="1">
      <alignment vertical="top"/>
    </xf>
    <xf numFmtId="43" fontId="8" fillId="0" borderId="20" xfId="1" applyFont="1" applyBorder="1"/>
    <xf numFmtId="167" fontId="10" fillId="0" borderId="0" xfId="0" applyNumberFormat="1" applyFont="1"/>
    <xf numFmtId="167" fontId="10" fillId="0" borderId="22" xfId="1" applyNumberFormat="1" applyFont="1" applyBorder="1" applyAlignment="1"/>
    <xf numFmtId="0" fontId="10" fillId="0" borderId="7" xfId="0" applyFont="1" applyBorder="1" applyAlignment="1">
      <alignment vertical="top"/>
    </xf>
    <xf numFmtId="0" fontId="10" fillId="0" borderId="23" xfId="0" applyFont="1" applyBorder="1" applyAlignment="1">
      <alignment vertical="top"/>
    </xf>
    <xf numFmtId="43" fontId="10" fillId="0" borderId="21" xfId="1" applyFont="1" applyFill="1" applyBorder="1" applyAlignment="1">
      <alignment horizontal="center" vertical="center" wrapText="1"/>
    </xf>
    <xf numFmtId="43" fontId="13" fillId="0" borderId="21" xfId="1" applyFont="1" applyFill="1" applyBorder="1" applyAlignment="1">
      <alignment horizontal="left" vertical="center"/>
    </xf>
    <xf numFmtId="43" fontId="13" fillId="0" borderId="21" xfId="1" applyFont="1" applyFill="1" applyBorder="1" applyAlignment="1"/>
    <xf numFmtId="43" fontId="10" fillId="0" borderId="21" xfId="1" applyFont="1" applyFill="1" applyBorder="1" applyAlignment="1">
      <alignment horizontal="center" vertical="center"/>
    </xf>
    <xf numFmtId="43" fontId="10" fillId="0" borderId="22" xfId="1" applyFont="1" applyBorder="1" applyAlignment="1">
      <alignment horizontal="right" vertical="top" wrapText="1"/>
    </xf>
    <xf numFmtId="43" fontId="10" fillId="0" borderId="22" xfId="1" applyFont="1" applyBorder="1" applyAlignment="1">
      <alignment horizontal="right" vertical="top"/>
    </xf>
    <xf numFmtId="43" fontId="10" fillId="0" borderId="22" xfId="1" applyFont="1" applyBorder="1" applyAlignment="1">
      <alignment horizontal="center" vertical="top" wrapText="1"/>
    </xf>
    <xf numFmtId="43" fontId="10" fillId="0" borderId="0" xfId="1" applyFont="1" applyFill="1" applyBorder="1" applyAlignment="1">
      <alignment horizontal="center" vertical="center" wrapText="1"/>
    </xf>
    <xf numFmtId="0" fontId="13" fillId="24" borderId="13" xfId="5" applyFont="1" applyFill="1" applyBorder="1" applyAlignment="1">
      <alignment horizontal="center" vertical="top"/>
    </xf>
    <xf numFmtId="167" fontId="10" fillId="0" borderId="18" xfId="1" applyNumberFormat="1" applyFont="1" applyBorder="1" applyAlignment="1">
      <alignment horizontal="center" vertical="top" wrapText="1"/>
    </xf>
    <xf numFmtId="167" fontId="10" fillId="0" borderId="16" xfId="1" applyNumberFormat="1" applyFont="1" applyFill="1" applyBorder="1" applyAlignment="1">
      <alignment horizontal="center" vertical="top"/>
    </xf>
    <xf numFmtId="167" fontId="10" fillId="0" borderId="18" xfId="1" applyNumberFormat="1" applyFont="1" applyFill="1" applyBorder="1" applyAlignment="1">
      <alignment horizontal="center" vertical="top"/>
    </xf>
    <xf numFmtId="0" fontId="10" fillId="0" borderId="29" xfId="0" quotePrefix="1" applyFont="1" applyBorder="1" applyAlignment="1">
      <alignment horizontal="left" vertical="top" indent="4"/>
    </xf>
    <xf numFmtId="167" fontId="13" fillId="21" borderId="13" xfId="1" applyNumberFormat="1" applyFont="1" applyFill="1" applyBorder="1" applyAlignment="1">
      <alignment vertical="top" wrapText="1"/>
    </xf>
    <xf numFmtId="167" fontId="13" fillId="0" borderId="18" xfId="1" applyNumberFormat="1" applyFont="1" applyFill="1" applyBorder="1" applyAlignment="1">
      <alignment vertical="top"/>
    </xf>
    <xf numFmtId="167" fontId="13" fillId="0" borderId="18" xfId="1" applyNumberFormat="1" applyFont="1" applyFill="1" applyBorder="1" applyAlignment="1">
      <alignment horizontal="right" vertical="top"/>
    </xf>
    <xf numFmtId="167" fontId="10" fillId="0" borderId="13" xfId="1" applyNumberFormat="1" applyFont="1" applyBorder="1" applyAlignment="1">
      <alignment horizontal="center" vertical="top"/>
    </xf>
    <xf numFmtId="167" fontId="10" fillId="0" borderId="13" xfId="5" applyNumberFormat="1" applyFont="1" applyBorder="1" applyAlignment="1">
      <alignment horizontal="center" vertical="top"/>
    </xf>
    <xf numFmtId="167" fontId="13" fillId="0" borderId="13" xfId="5" applyNumberFormat="1" applyFont="1" applyBorder="1" applyAlignment="1">
      <alignment horizontal="center" vertical="top"/>
    </xf>
    <xf numFmtId="167" fontId="13" fillId="0" borderId="13" xfId="5" applyNumberFormat="1" applyFont="1" applyBorder="1" applyAlignment="1">
      <alignment vertical="top"/>
    </xf>
    <xf numFmtId="164" fontId="10" fillId="0" borderId="0" xfId="5" applyNumberFormat="1" applyFont="1" applyAlignment="1">
      <alignment horizontal="center" vertical="top"/>
    </xf>
    <xf numFmtId="167" fontId="11" fillId="0" borderId="0" xfId="1" applyNumberFormat="1" applyFont="1"/>
    <xf numFmtId="167" fontId="13" fillId="24" borderId="13" xfId="1" applyNumberFormat="1" applyFont="1" applyFill="1" applyBorder="1" applyAlignment="1">
      <alignment vertical="top" wrapText="1"/>
    </xf>
    <xf numFmtId="167" fontId="10" fillId="6" borderId="0" xfId="1" applyNumberFormat="1" applyFont="1" applyFill="1" applyBorder="1" applyAlignment="1">
      <alignment vertical="top"/>
    </xf>
    <xf numFmtId="43" fontId="10" fillId="0" borderId="0" xfId="1" applyFont="1" applyFill="1" applyBorder="1" applyAlignment="1">
      <alignment horizontal="left" vertical="top"/>
    </xf>
    <xf numFmtId="0" fontId="10" fillId="6" borderId="0" xfId="5" applyFont="1" applyFill="1" applyAlignment="1">
      <alignment horizontal="left" vertical="top" wrapText="1"/>
    </xf>
    <xf numFmtId="167" fontId="10" fillId="0" borderId="21" xfId="1" applyNumberFormat="1" applyFont="1" applyFill="1" applyBorder="1" applyAlignment="1">
      <alignment horizontal="right" vertical="top" indent="3"/>
    </xf>
    <xf numFmtId="167" fontId="10" fillId="0" borderId="21" xfId="12" applyNumberFormat="1" applyFont="1" applyFill="1" applyBorder="1" applyAlignment="1">
      <alignment horizontal="right" vertical="top"/>
    </xf>
    <xf numFmtId="167" fontId="10" fillId="0" borderId="23" xfId="1" applyNumberFormat="1" applyFont="1" applyFill="1" applyBorder="1" applyAlignment="1">
      <alignment horizontal="center" vertical="top"/>
    </xf>
    <xf numFmtId="167" fontId="10" fillId="0" borderId="13" xfId="1" applyNumberFormat="1" applyFont="1" applyFill="1" applyBorder="1" applyAlignment="1">
      <alignment horizontal="center" vertical="top"/>
    </xf>
    <xf numFmtId="167" fontId="10" fillId="0" borderId="37" xfId="1" applyNumberFormat="1" applyFont="1" applyBorder="1" applyAlignment="1">
      <alignment vertical="top"/>
    </xf>
    <xf numFmtId="167" fontId="10" fillId="0" borderId="0" xfId="0" applyNumberFormat="1" applyFont="1" applyAlignment="1">
      <alignment horizontal="left" vertical="top" indent="2"/>
    </xf>
    <xf numFmtId="171" fontId="46" fillId="0" borderId="71" xfId="28" applyNumberFormat="1" applyFont="1" applyFill="1" applyBorder="1" applyAlignment="1"/>
    <xf numFmtId="167" fontId="13" fillId="0" borderId="36" xfId="1" applyNumberFormat="1" applyFont="1" applyBorder="1" applyAlignment="1">
      <alignment vertical="top"/>
    </xf>
    <xf numFmtId="167" fontId="13" fillId="0" borderId="45" xfId="1" applyNumberFormat="1" applyFont="1" applyBorder="1" applyAlignment="1">
      <alignment vertical="top"/>
    </xf>
    <xf numFmtId="3" fontId="10" fillId="0" borderId="0" xfId="0" applyNumberFormat="1" applyFont="1" applyAlignment="1">
      <alignment horizontal="left" vertical="top" indent="2"/>
    </xf>
    <xf numFmtId="43" fontId="8" fillId="2" borderId="21" xfId="1" applyFont="1" applyFill="1" applyBorder="1"/>
    <xf numFmtId="0" fontId="11" fillId="0" borderId="23" xfId="0" applyFont="1" applyBorder="1" applyAlignment="1">
      <alignment horizontal="center" vertical="top"/>
    </xf>
    <xf numFmtId="43" fontId="8" fillId="0" borderId="22" xfId="1" applyFont="1" applyBorder="1" applyAlignment="1">
      <alignment vertical="top"/>
    </xf>
    <xf numFmtId="9" fontId="8" fillId="0" borderId="21" xfId="21" applyFont="1" applyBorder="1" applyAlignment="1">
      <alignment vertical="top"/>
    </xf>
    <xf numFmtId="0" fontId="8" fillId="0" borderId="21" xfId="0" applyFont="1" applyBorder="1" applyAlignment="1">
      <alignment vertical="top" wrapText="1"/>
    </xf>
    <xf numFmtId="9" fontId="8" fillId="0" borderId="21" xfId="21" applyFont="1" applyBorder="1" applyAlignment="1">
      <alignment horizontal="right" vertical="top"/>
    </xf>
    <xf numFmtId="9" fontId="8" fillId="0" borderId="18" xfId="21" applyFont="1" applyBorder="1" applyAlignment="1">
      <alignment vertical="top"/>
    </xf>
    <xf numFmtId="0" fontId="8" fillId="0" borderId="18" xfId="0" applyFont="1" applyBorder="1" applyAlignment="1">
      <alignment vertical="top" wrapText="1"/>
    </xf>
    <xf numFmtId="0" fontId="10" fillId="0" borderId="29" xfId="0" quotePrefix="1" applyFont="1" applyBorder="1" applyAlignment="1">
      <alignment horizontal="left" vertical="top" wrapText="1"/>
    </xf>
    <xf numFmtId="167" fontId="10" fillId="4" borderId="0" xfId="1" applyNumberFormat="1" applyFont="1" applyFill="1" applyBorder="1" applyAlignment="1">
      <alignment horizontal="left" vertical="center"/>
    </xf>
    <xf numFmtId="167" fontId="10" fillId="4" borderId="29" xfId="1" applyNumberFormat="1" applyFont="1" applyFill="1" applyBorder="1" applyAlignment="1">
      <alignment horizontal="left" vertical="center"/>
    </xf>
    <xf numFmtId="0" fontId="13" fillId="0" borderId="28" xfId="5" applyFont="1" applyBorder="1" applyAlignment="1">
      <alignment horizontal="center" vertical="top"/>
    </xf>
    <xf numFmtId="0" fontId="13" fillId="0" borderId="0" xfId="1" applyNumberFormat="1" applyFont="1" applyAlignment="1">
      <alignment horizontal="center" vertical="top"/>
    </xf>
    <xf numFmtId="43" fontId="8" fillId="0" borderId="0" xfId="1" applyFont="1" applyFill="1"/>
    <xf numFmtId="0" fontId="11" fillId="0" borderId="13" xfId="0" applyFont="1" applyBorder="1" applyAlignment="1">
      <alignment horizontal="center" vertical="top" wrapText="1"/>
    </xf>
    <xf numFmtId="0" fontId="8" fillId="0" borderId="21" xfId="0" applyFont="1" applyBorder="1" applyAlignment="1">
      <alignment horizontal="justify" vertical="top" wrapText="1"/>
    </xf>
    <xf numFmtId="0" fontId="8" fillId="0" borderId="18" xfId="0" applyFont="1" applyBorder="1" applyAlignment="1">
      <alignment horizontal="justify" vertical="top" wrapText="1"/>
    </xf>
    <xf numFmtId="43" fontId="8" fillId="2" borderId="0" xfId="1" applyFont="1" applyFill="1"/>
    <xf numFmtId="14" fontId="10" fillId="0" borderId="0" xfId="20" applyNumberFormat="1" applyFont="1" applyBorder="1" applyAlignment="1">
      <alignment horizontal="left" vertical="top"/>
    </xf>
    <xf numFmtId="14" fontId="10" fillId="0" borderId="0" xfId="0" applyNumberFormat="1" applyFont="1" applyAlignment="1">
      <alignment horizontal="left" vertical="top"/>
    </xf>
    <xf numFmtId="41" fontId="8" fillId="0" borderId="13" xfId="20" applyFont="1" applyBorder="1" applyAlignment="1">
      <alignment wrapText="1"/>
    </xf>
    <xf numFmtId="0" fontId="13" fillId="12" borderId="13" xfId="0" applyFont="1" applyFill="1" applyBorder="1" applyAlignment="1">
      <alignment horizontal="center" vertical="center"/>
    </xf>
    <xf numFmtId="0" fontId="22" fillId="10" borderId="13" xfId="0" applyFont="1" applyFill="1" applyBorder="1" applyAlignment="1">
      <alignment horizontal="center" vertical="center"/>
    </xf>
    <xf numFmtId="41" fontId="10" fillId="12" borderId="8" xfId="20" applyFont="1" applyFill="1" applyBorder="1" applyAlignment="1">
      <alignment horizontal="center" vertical="center"/>
    </xf>
    <xf numFmtId="0" fontId="11" fillId="0" borderId="53" xfId="0" applyFont="1" applyBorder="1" applyAlignment="1">
      <alignment horizontal="center"/>
    </xf>
    <xf numFmtId="0" fontId="11" fillId="0" borderId="62" xfId="0" applyFont="1" applyBorder="1" applyAlignment="1">
      <alignment horizontal="center"/>
    </xf>
    <xf numFmtId="0" fontId="11" fillId="0" borderId="63" xfId="0" applyFont="1" applyBorder="1" applyAlignment="1">
      <alignment horizontal="center"/>
    </xf>
    <xf numFmtId="0" fontId="13" fillId="21" borderId="7" xfId="0" applyFont="1" applyFill="1" applyBorder="1" applyAlignment="1">
      <alignment horizontal="center" vertical="center"/>
    </xf>
    <xf numFmtId="0" fontId="13" fillId="21" borderId="8" xfId="0" applyFont="1" applyFill="1" applyBorder="1" applyAlignment="1">
      <alignment horizontal="center" vertical="center"/>
    </xf>
    <xf numFmtId="41" fontId="13" fillId="0" borderId="29" xfId="20" applyFont="1" applyFill="1" applyBorder="1" applyAlignment="1" applyProtection="1">
      <alignment vertical="top" wrapText="1"/>
    </xf>
    <xf numFmtId="41" fontId="13" fillId="0" borderId="0" xfId="20" applyFont="1" applyFill="1" applyBorder="1" applyAlignment="1" applyProtection="1">
      <alignment vertical="top" wrapText="1"/>
    </xf>
    <xf numFmtId="0" fontId="13" fillId="21" borderId="7" xfId="0" applyFont="1" applyFill="1" applyBorder="1" applyAlignment="1">
      <alignment horizontal="center" vertical="top"/>
    </xf>
    <xf numFmtId="0" fontId="13" fillId="21" borderId="23" xfId="0" applyFont="1" applyFill="1" applyBorder="1" applyAlignment="1">
      <alignment horizontal="center" vertical="top"/>
    </xf>
    <xf numFmtId="0" fontId="13" fillId="0" borderId="42" xfId="0" applyFont="1" applyBorder="1" applyAlignment="1">
      <alignment horizontal="center" vertical="top" wrapText="1"/>
    </xf>
    <xf numFmtId="0" fontId="13" fillId="0" borderId="43" xfId="0" applyFont="1" applyBorder="1" applyAlignment="1">
      <alignment horizontal="center" vertical="top" wrapText="1"/>
    </xf>
    <xf numFmtId="0" fontId="13" fillId="0" borderId="44" xfId="0" applyFont="1" applyBorder="1" applyAlignment="1">
      <alignment horizontal="center" vertical="top" wrapText="1"/>
    </xf>
    <xf numFmtId="0" fontId="13" fillId="0" borderId="0" xfId="0" applyFont="1" applyAlignment="1">
      <alignment horizontal="center" vertical="top"/>
    </xf>
    <xf numFmtId="0" fontId="10" fillId="0" borderId="4" xfId="0" applyFont="1" applyBorder="1" applyAlignment="1">
      <alignment horizontal="left" vertical="top" wrapText="1"/>
    </xf>
    <xf numFmtId="0" fontId="10" fillId="0" borderId="22" xfId="0" applyFont="1" applyBorder="1" applyAlignment="1">
      <alignment horizontal="left" vertical="top" wrapText="1"/>
    </xf>
    <xf numFmtId="0" fontId="13" fillId="0" borderId="59" xfId="0" applyFont="1" applyBorder="1" applyAlignment="1">
      <alignment horizontal="center" vertical="top"/>
    </xf>
    <xf numFmtId="0" fontId="13" fillId="0" borderId="43" xfId="0" applyFont="1" applyBorder="1" applyAlignment="1">
      <alignment horizontal="center" vertical="top"/>
    </xf>
    <xf numFmtId="0" fontId="12" fillId="2" borderId="25" xfId="5" quotePrefix="1" applyFont="1" applyFill="1" applyBorder="1" applyAlignment="1">
      <alignment horizontal="justify" vertical="top" wrapText="1"/>
    </xf>
    <xf numFmtId="0" fontId="12" fillId="2" borderId="0" xfId="5" applyFont="1" applyFill="1" applyAlignment="1">
      <alignment horizontal="justify" vertical="top" wrapText="1"/>
    </xf>
    <xf numFmtId="0" fontId="12" fillId="2" borderId="5" xfId="5" applyFont="1" applyFill="1" applyBorder="1" applyAlignment="1">
      <alignment horizontal="justify" vertical="top" wrapText="1"/>
    </xf>
    <xf numFmtId="0" fontId="10" fillId="0" borderId="4" xfId="0" applyFont="1" applyBorder="1" applyAlignment="1">
      <alignment horizontal="left" vertical="top" wrapText="1" indent="2"/>
    </xf>
    <xf numFmtId="0" fontId="10" fillId="0" borderId="22" xfId="0" applyFont="1" applyBorder="1" applyAlignment="1">
      <alignment horizontal="left" vertical="top" wrapText="1" indent="2"/>
    </xf>
    <xf numFmtId="0" fontId="13" fillId="0" borderId="0" xfId="0" applyFont="1" applyAlignment="1">
      <alignment horizontal="right" vertical="top"/>
    </xf>
    <xf numFmtId="0" fontId="10" fillId="2" borderId="54" xfId="5" quotePrefix="1" applyFont="1" applyFill="1" applyBorder="1" applyAlignment="1">
      <alignment horizontal="justify" vertical="top" wrapText="1"/>
    </xf>
    <xf numFmtId="0" fontId="10" fillId="2" borderId="55" xfId="5" applyFont="1" applyFill="1" applyBorder="1" applyAlignment="1">
      <alignment horizontal="justify" vertical="top" wrapText="1"/>
    </xf>
    <xf numFmtId="0" fontId="10" fillId="2" borderId="31" xfId="5" applyFont="1" applyFill="1" applyBorder="1" applyAlignment="1">
      <alignment horizontal="justify" vertical="top" wrapText="1"/>
    </xf>
    <xf numFmtId="0" fontId="13" fillId="21" borderId="59" xfId="0" applyFont="1" applyFill="1" applyBorder="1" applyAlignment="1">
      <alignment horizontal="center" vertical="top"/>
    </xf>
    <xf numFmtId="0" fontId="13" fillId="21" borderId="43" xfId="0" applyFont="1" applyFill="1" applyBorder="1" applyAlignment="1">
      <alignment horizontal="center" vertical="top"/>
    </xf>
    <xf numFmtId="0" fontId="13" fillId="21" borderId="42" xfId="0" applyFont="1" applyFill="1" applyBorder="1" applyAlignment="1">
      <alignment horizontal="center" vertical="top" wrapText="1"/>
    </xf>
    <xf numFmtId="0" fontId="13" fillId="21" borderId="43" xfId="0" applyFont="1" applyFill="1" applyBorder="1" applyAlignment="1">
      <alignment horizontal="center" vertical="top" wrapText="1"/>
    </xf>
    <xf numFmtId="0" fontId="13" fillId="21" borderId="44" xfId="0" applyFont="1" applyFill="1" applyBorder="1" applyAlignment="1">
      <alignment horizontal="center" vertical="top" wrapText="1"/>
    </xf>
    <xf numFmtId="0" fontId="10" fillId="0" borderId="54" xfId="5" quotePrefix="1" applyFont="1" applyBorder="1" applyAlignment="1">
      <alignment horizontal="justify" vertical="top" wrapText="1"/>
    </xf>
    <xf numFmtId="0" fontId="10" fillId="0" borderId="55" xfId="5" applyFont="1" applyBorder="1" applyAlignment="1">
      <alignment horizontal="justify" vertical="top" wrapText="1"/>
    </xf>
    <xf numFmtId="0" fontId="10" fillId="0" borderId="31" xfId="5" applyFont="1" applyBorder="1" applyAlignment="1">
      <alignment horizontal="justify" vertical="top" wrapText="1"/>
    </xf>
    <xf numFmtId="0" fontId="17" fillId="0" borderId="0" xfId="1" quotePrefix="1" applyNumberFormat="1" applyFont="1" applyFill="1" applyBorder="1" applyAlignment="1">
      <alignment horizontal="left" vertical="top" wrapText="1"/>
    </xf>
    <xf numFmtId="0" fontId="13" fillId="21" borderId="46" xfId="0" applyFont="1" applyFill="1" applyBorder="1" applyAlignment="1">
      <alignment horizontal="center" vertical="top" wrapText="1"/>
    </xf>
    <xf numFmtId="0" fontId="13" fillId="21" borderId="20" xfId="0" applyFont="1" applyFill="1" applyBorder="1" applyAlignment="1">
      <alignment horizontal="center" vertical="top" wrapText="1"/>
    </xf>
    <xf numFmtId="0" fontId="13" fillId="6" borderId="0" xfId="0" applyFont="1" applyFill="1" applyAlignment="1">
      <alignment horizontal="left" vertical="top"/>
    </xf>
    <xf numFmtId="0" fontId="13" fillId="21" borderId="14" xfId="0" applyFont="1" applyFill="1" applyBorder="1" applyAlignment="1">
      <alignment horizontal="center" vertical="center"/>
    </xf>
    <xf numFmtId="0" fontId="13" fillId="21" borderId="15" xfId="0" applyFont="1" applyFill="1" applyBorder="1" applyAlignment="1">
      <alignment horizontal="center" vertical="center"/>
    </xf>
    <xf numFmtId="0" fontId="13" fillId="21" borderId="46" xfId="0" applyFont="1" applyFill="1" applyBorder="1" applyAlignment="1">
      <alignment horizontal="center" vertical="center"/>
    </xf>
    <xf numFmtId="0" fontId="13" fillId="21" borderId="20" xfId="0" applyFont="1" applyFill="1" applyBorder="1" applyAlignment="1">
      <alignment horizontal="center" vertical="center"/>
    </xf>
    <xf numFmtId="0" fontId="13" fillId="0" borderId="7" xfId="0" applyFont="1" applyBorder="1" applyAlignment="1">
      <alignment horizontal="center" vertical="center"/>
    </xf>
    <xf numFmtId="0" fontId="13" fillId="0" borderId="23" xfId="0" applyFont="1" applyBorder="1" applyAlignment="1">
      <alignment horizontal="center" vertical="center"/>
    </xf>
    <xf numFmtId="0" fontId="10" fillId="4" borderId="29" xfId="0" applyFont="1" applyFill="1" applyBorder="1" applyAlignment="1">
      <alignment vertical="top" wrapText="1"/>
    </xf>
    <xf numFmtId="0" fontId="10" fillId="4" borderId="22" xfId="0" applyFont="1" applyFill="1" applyBorder="1" applyAlignment="1">
      <alignment vertical="top" wrapText="1"/>
    </xf>
    <xf numFmtId="0" fontId="10" fillId="4" borderId="14" xfId="0" applyFont="1" applyFill="1" applyBorder="1" applyAlignment="1">
      <alignment horizontal="left" vertical="top" wrapText="1"/>
    </xf>
    <xf numFmtId="0" fontId="10" fillId="4" borderId="15" xfId="0" applyFont="1" applyFill="1" applyBorder="1" applyAlignment="1">
      <alignment horizontal="left" vertical="top" wrapText="1"/>
    </xf>
    <xf numFmtId="0" fontId="13" fillId="21" borderId="23" xfId="0" applyFont="1" applyFill="1" applyBorder="1" applyAlignment="1">
      <alignment horizontal="center" vertical="center"/>
    </xf>
    <xf numFmtId="0" fontId="13" fillId="6" borderId="0" xfId="0" applyFont="1" applyFill="1" applyAlignment="1">
      <alignment horizontal="left" vertical="center"/>
    </xf>
    <xf numFmtId="43" fontId="13" fillId="0" borderId="7" xfId="1" applyFont="1" applyFill="1" applyBorder="1" applyAlignment="1">
      <alignment horizontal="center" vertical="center" wrapText="1"/>
    </xf>
    <xf numFmtId="43" fontId="13" fillId="0" borderId="23" xfId="1" applyFont="1" applyFill="1" applyBorder="1" applyAlignment="1">
      <alignment horizontal="center" vertical="center" wrapText="1"/>
    </xf>
    <xf numFmtId="0" fontId="13" fillId="19" borderId="16" xfId="0" applyFont="1" applyFill="1" applyBorder="1" applyAlignment="1">
      <alignment horizontal="center" vertical="center" wrapText="1"/>
    </xf>
    <xf numFmtId="0" fontId="13" fillId="19" borderId="18" xfId="0" applyFont="1" applyFill="1" applyBorder="1" applyAlignment="1">
      <alignment horizontal="center" vertical="center" wrapText="1"/>
    </xf>
    <xf numFmtId="0" fontId="13" fillId="21" borderId="13" xfId="0" applyFont="1" applyFill="1" applyBorder="1" applyAlignment="1">
      <alignment horizontal="center" vertical="top" wrapText="1"/>
    </xf>
    <xf numFmtId="167" fontId="13" fillId="0" borderId="19" xfId="1" applyNumberFormat="1" applyFont="1" applyBorder="1" applyAlignment="1">
      <alignment horizontal="right" vertical="top"/>
    </xf>
    <xf numFmtId="41" fontId="13" fillId="21" borderId="13" xfId="20" applyFont="1" applyFill="1" applyBorder="1" applyAlignment="1">
      <alignment horizontal="center" vertical="top"/>
    </xf>
    <xf numFmtId="0" fontId="13" fillId="21" borderId="7" xfId="0" applyFont="1" applyFill="1" applyBorder="1" applyAlignment="1">
      <alignment horizontal="center" vertical="top" wrapText="1"/>
    </xf>
    <xf numFmtId="0" fontId="13" fillId="21" borderId="23" xfId="0" applyFont="1" applyFill="1" applyBorder="1" applyAlignment="1">
      <alignment horizontal="center" vertical="top" wrapText="1"/>
    </xf>
    <xf numFmtId="0" fontId="10" fillId="6" borderId="29" xfId="6" quotePrefix="1" applyNumberFormat="1" applyFont="1" applyFill="1" applyBorder="1" applyAlignment="1">
      <alignment horizontal="left" vertical="center" wrapText="1" indent="3"/>
    </xf>
    <xf numFmtId="0" fontId="10" fillId="6" borderId="22" xfId="6" quotePrefix="1" applyNumberFormat="1" applyFont="1" applyFill="1" applyBorder="1" applyAlignment="1">
      <alignment horizontal="left" vertical="center" wrapText="1" indent="3"/>
    </xf>
    <xf numFmtId="0" fontId="13" fillId="21" borderId="13" xfId="0" applyFont="1" applyFill="1" applyBorder="1" applyAlignment="1">
      <alignment horizontal="center" vertical="top"/>
    </xf>
    <xf numFmtId="0" fontId="13" fillId="21" borderId="13" xfId="6" applyNumberFormat="1" applyFont="1" applyFill="1" applyBorder="1" applyAlignment="1">
      <alignment horizontal="center" vertical="center"/>
    </xf>
    <xf numFmtId="0" fontId="10" fillId="0" borderId="14" xfId="0" applyFont="1" applyBorder="1" applyAlignment="1">
      <alignment wrapText="1"/>
    </xf>
    <xf numFmtId="0" fontId="10" fillId="0" borderId="15" xfId="0" applyFont="1" applyBorder="1" applyAlignment="1">
      <alignment wrapText="1"/>
    </xf>
    <xf numFmtId="0" fontId="10" fillId="0" borderId="29" xfId="0" applyFont="1" applyBorder="1" applyAlignment="1">
      <alignment wrapText="1"/>
    </xf>
    <xf numFmtId="0" fontId="10" fillId="0" borderId="22" xfId="0" applyFont="1" applyBorder="1" applyAlignment="1">
      <alignment wrapText="1"/>
    </xf>
    <xf numFmtId="0" fontId="10" fillId="0" borderId="29" xfId="0" applyFont="1" applyBorder="1" applyAlignment="1">
      <alignment horizontal="left" vertical="center" wrapText="1" indent="5"/>
    </xf>
    <xf numFmtId="0" fontId="10" fillId="0" borderId="0" xfId="0" applyFont="1" applyAlignment="1">
      <alignment horizontal="left" vertical="center" wrapText="1" indent="5"/>
    </xf>
    <xf numFmtId="43" fontId="13" fillId="0" borderId="14" xfId="1" applyFont="1" applyFill="1" applyBorder="1" applyAlignment="1">
      <alignment horizontal="center" vertical="center"/>
    </xf>
    <xf numFmtId="43" fontId="13" fillId="0" borderId="15" xfId="1" applyFont="1" applyFill="1" applyBorder="1" applyAlignment="1">
      <alignment horizontal="center" vertical="center"/>
    </xf>
    <xf numFmtId="43" fontId="13" fillId="0" borderId="46" xfId="1" applyFont="1" applyFill="1" applyBorder="1" applyAlignment="1">
      <alignment horizontal="center" vertical="center"/>
    </xf>
    <xf numFmtId="43" fontId="13" fillId="0" borderId="20" xfId="1" applyFont="1" applyFill="1" applyBorder="1" applyAlignment="1">
      <alignment horizontal="center" vertical="center"/>
    </xf>
    <xf numFmtId="0" fontId="13" fillId="24" borderId="13" xfId="0" applyFont="1" applyFill="1" applyBorder="1" applyAlignment="1">
      <alignment horizontal="center" vertical="top"/>
    </xf>
    <xf numFmtId="0" fontId="13" fillId="24" borderId="7" xfId="0" applyFont="1" applyFill="1" applyBorder="1" applyAlignment="1">
      <alignment horizontal="center" vertical="center"/>
    </xf>
    <xf numFmtId="0" fontId="13" fillId="24" borderId="23" xfId="0" applyFont="1" applyFill="1" applyBorder="1" applyAlignment="1">
      <alignment horizontal="center" vertical="center"/>
    </xf>
    <xf numFmtId="0" fontId="13" fillId="0" borderId="0" xfId="0" applyFont="1" applyAlignment="1">
      <alignment vertical="center" wrapText="1"/>
    </xf>
    <xf numFmtId="43" fontId="13" fillId="0" borderId="16" xfId="1" applyFont="1" applyFill="1" applyBorder="1" applyAlignment="1">
      <alignment horizontal="center" vertical="top" wrapText="1"/>
    </xf>
    <xf numFmtId="43" fontId="13" fillId="0" borderId="0" xfId="1" applyFont="1" applyFill="1" applyBorder="1" applyAlignment="1">
      <alignment horizontal="center" vertical="center"/>
    </xf>
    <xf numFmtId="43" fontId="13" fillId="0" borderId="13" xfId="1" applyFont="1" applyFill="1" applyBorder="1" applyAlignment="1">
      <alignment horizontal="center" vertical="top" wrapText="1"/>
    </xf>
    <xf numFmtId="9" fontId="10" fillId="0" borderId="29" xfId="21" applyFont="1" applyBorder="1" applyAlignment="1">
      <alignment horizontal="left" vertical="top" wrapText="1"/>
    </xf>
    <xf numFmtId="9" fontId="10" fillId="0" borderId="22" xfId="21" applyFont="1" applyBorder="1" applyAlignment="1">
      <alignment horizontal="left" vertical="top" wrapText="1"/>
    </xf>
    <xf numFmtId="0" fontId="10" fillId="0" borderId="29" xfId="0" applyFont="1" applyBorder="1"/>
    <xf numFmtId="0" fontId="10" fillId="0" borderId="22" xfId="0" applyFont="1" applyBorder="1"/>
    <xf numFmtId="0" fontId="13" fillId="0" borderId="14" xfId="0" applyFont="1" applyBorder="1" applyAlignment="1">
      <alignment horizontal="center" vertical="center"/>
    </xf>
    <xf numFmtId="0" fontId="13" fillId="0" borderId="15" xfId="0" applyFont="1" applyBorder="1" applyAlignment="1">
      <alignment horizontal="center" vertical="center"/>
    </xf>
    <xf numFmtId="0" fontId="13" fillId="0" borderId="46" xfId="0" applyFont="1" applyBorder="1" applyAlignment="1">
      <alignment horizontal="center" vertical="center"/>
    </xf>
    <xf numFmtId="0" fontId="13" fillId="0" borderId="20" xfId="0" applyFont="1" applyBorder="1" applyAlignment="1">
      <alignment horizontal="center" vertical="center"/>
    </xf>
    <xf numFmtId="0" fontId="10" fillId="0" borderId="29" xfId="0" quotePrefix="1" applyFont="1" applyBorder="1" applyAlignment="1">
      <alignment horizontal="left" vertical="center" wrapText="1" indent="9"/>
    </xf>
    <xf numFmtId="0" fontId="10" fillId="0" borderId="0" xfId="0" applyFont="1" applyAlignment="1">
      <alignment horizontal="left" vertical="center" wrapText="1" indent="9"/>
    </xf>
    <xf numFmtId="0" fontId="10" fillId="0" borderId="29" xfId="0" quotePrefix="1" applyFont="1" applyBorder="1" applyAlignment="1">
      <alignment horizontal="left" vertical="center" wrapText="1" indent="5"/>
    </xf>
    <xf numFmtId="0" fontId="10" fillId="19" borderId="0" xfId="0" applyFont="1" applyFill="1" applyAlignment="1">
      <alignment horizontal="left" vertical="top" wrapText="1"/>
    </xf>
    <xf numFmtId="43" fontId="13" fillId="19" borderId="16" xfId="0" applyNumberFormat="1" applyFont="1" applyFill="1" applyBorder="1" applyAlignment="1">
      <alignment horizontal="center" vertical="top" wrapText="1"/>
    </xf>
    <xf numFmtId="0" fontId="13" fillId="19" borderId="16" xfId="0" applyFont="1" applyFill="1" applyBorder="1" applyAlignment="1">
      <alignment horizontal="center" vertical="top" wrapText="1"/>
    </xf>
    <xf numFmtId="0" fontId="13" fillId="19" borderId="18" xfId="0" applyFont="1" applyFill="1" applyBorder="1" applyAlignment="1">
      <alignment horizontal="center" vertical="top" wrapText="1"/>
    </xf>
    <xf numFmtId="43" fontId="13" fillId="19" borderId="16" xfId="0" applyNumberFormat="1" applyFont="1" applyFill="1" applyBorder="1" applyAlignment="1">
      <alignment horizontal="center" vertical="center" wrapText="1"/>
    </xf>
    <xf numFmtId="167" fontId="13" fillId="0" borderId="19" xfId="0" applyNumberFormat="1" applyFont="1" applyBorder="1" applyAlignment="1">
      <alignment horizontal="right" vertical="top"/>
    </xf>
    <xf numFmtId="0" fontId="13" fillId="24" borderId="7" xfId="0" applyFont="1" applyFill="1" applyBorder="1" applyAlignment="1">
      <alignment horizontal="left" vertical="center"/>
    </xf>
    <xf numFmtId="0" fontId="13" fillId="24" borderId="23" xfId="0" applyFont="1" applyFill="1" applyBorder="1" applyAlignment="1">
      <alignment horizontal="left" vertical="center"/>
    </xf>
    <xf numFmtId="0" fontId="10" fillId="19" borderId="7" xfId="0" applyFont="1" applyFill="1" applyBorder="1" applyAlignment="1">
      <alignment horizontal="left" vertical="center"/>
    </xf>
    <xf numFmtId="0" fontId="10" fillId="19" borderId="23" xfId="0" applyFont="1" applyFill="1" applyBorder="1" applyAlignment="1">
      <alignment horizontal="left" vertical="center"/>
    </xf>
    <xf numFmtId="0" fontId="13" fillId="24" borderId="14" xfId="0" applyFont="1" applyFill="1" applyBorder="1" applyAlignment="1">
      <alignment horizontal="center" vertical="top" wrapText="1"/>
    </xf>
    <xf numFmtId="0" fontId="13" fillId="24" borderId="15" xfId="0" applyFont="1" applyFill="1" applyBorder="1" applyAlignment="1">
      <alignment horizontal="center" vertical="top" wrapText="1"/>
    </xf>
    <xf numFmtId="0" fontId="13" fillId="24" borderId="29" xfId="0" applyFont="1" applyFill="1" applyBorder="1" applyAlignment="1">
      <alignment horizontal="center" vertical="top" wrapText="1"/>
    </xf>
    <xf numFmtId="0" fontId="13" fillId="24" borderId="22" xfId="0" applyFont="1" applyFill="1" applyBorder="1" applyAlignment="1">
      <alignment horizontal="center" vertical="top" wrapText="1"/>
    </xf>
    <xf numFmtId="49" fontId="8" fillId="0" borderId="0" xfId="0" applyNumberFormat="1" applyFont="1" applyAlignment="1">
      <alignment horizontal="justify" vertical="top"/>
    </xf>
    <xf numFmtId="0" fontId="8" fillId="0" borderId="0" xfId="0" applyFont="1" applyAlignment="1">
      <alignment horizontal="justify" vertical="top"/>
    </xf>
    <xf numFmtId="0" fontId="19" fillId="0" borderId="0" xfId="0" applyFont="1" applyAlignment="1">
      <alignment horizontal="center" vertical="top"/>
    </xf>
    <xf numFmtId="0" fontId="13" fillId="24" borderId="7" xfId="0" applyFont="1" applyFill="1" applyBorder="1" applyAlignment="1">
      <alignment horizontal="center" vertical="top"/>
    </xf>
    <xf numFmtId="0" fontId="13" fillId="24" borderId="23" xfId="0" applyFont="1" applyFill="1" applyBorder="1" applyAlignment="1">
      <alignment horizontal="center" vertical="top"/>
    </xf>
    <xf numFmtId="43" fontId="13" fillId="24" borderId="7" xfId="1" applyFont="1" applyFill="1" applyBorder="1" applyAlignment="1">
      <alignment horizontal="center" vertical="top" wrapText="1"/>
    </xf>
    <xf numFmtId="43" fontId="13" fillId="24" borderId="23" xfId="1" applyFont="1" applyFill="1" applyBorder="1" applyAlignment="1">
      <alignment horizontal="center" vertical="top" wrapText="1"/>
    </xf>
    <xf numFmtId="0" fontId="13" fillId="24" borderId="14" xfId="0" applyFont="1" applyFill="1" applyBorder="1" applyAlignment="1">
      <alignment horizontal="center" vertical="center"/>
    </xf>
    <xf numFmtId="0" fontId="13" fillId="24" borderId="15" xfId="0" applyFont="1" applyFill="1" applyBorder="1" applyAlignment="1">
      <alignment horizontal="center" vertical="center"/>
    </xf>
    <xf numFmtId="0" fontId="13" fillId="24" borderId="46" xfId="0" applyFont="1" applyFill="1" applyBorder="1" applyAlignment="1">
      <alignment horizontal="center" vertical="center"/>
    </xf>
    <xf numFmtId="0" fontId="13" fillId="24" borderId="20" xfId="0" applyFont="1" applyFill="1" applyBorder="1" applyAlignment="1">
      <alignment horizontal="center" vertical="center"/>
    </xf>
    <xf numFmtId="0" fontId="10" fillId="0" borderId="29" xfId="0" applyFont="1" applyBorder="1" applyAlignment="1">
      <alignment horizontal="left" vertical="center" wrapText="1" indent="3"/>
    </xf>
    <xf numFmtId="0" fontId="10" fillId="0" borderId="22" xfId="0" applyFont="1" applyBorder="1" applyAlignment="1">
      <alignment horizontal="left" vertical="center" wrapText="1" indent="3"/>
    </xf>
    <xf numFmtId="0" fontId="13" fillId="24" borderId="29" xfId="0" applyFont="1" applyFill="1" applyBorder="1" applyAlignment="1">
      <alignment horizontal="center" vertical="center"/>
    </xf>
    <xf numFmtId="0" fontId="13" fillId="24" borderId="0" xfId="0" applyFont="1" applyFill="1" applyAlignment="1">
      <alignment horizontal="center" vertical="center"/>
    </xf>
    <xf numFmtId="0" fontId="13" fillId="0" borderId="7" xfId="0" applyFont="1" applyBorder="1" applyAlignment="1">
      <alignment horizontal="center" vertical="top" wrapText="1"/>
    </xf>
    <xf numFmtId="0" fontId="13" fillId="0" borderId="23" xfId="0" applyFont="1" applyBorder="1" applyAlignment="1">
      <alignment horizontal="center" vertical="top" wrapText="1"/>
    </xf>
    <xf numFmtId="0" fontId="13" fillId="0" borderId="14"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22" xfId="0" applyFont="1" applyBorder="1" applyAlignment="1">
      <alignment horizontal="center" vertical="center" wrapText="1"/>
    </xf>
    <xf numFmtId="0" fontId="10" fillId="0" borderId="29" xfId="0" applyFont="1" applyBorder="1" applyAlignment="1">
      <alignment horizontal="left" vertical="top" wrapText="1" indent="2"/>
    </xf>
    <xf numFmtId="43" fontId="13" fillId="24" borderId="7" xfId="0" applyNumberFormat="1" applyFont="1" applyFill="1" applyBorder="1" applyAlignment="1">
      <alignment horizontal="center" vertical="top"/>
    </xf>
    <xf numFmtId="0" fontId="13" fillId="24" borderId="13" xfId="0" applyFont="1" applyFill="1" applyBorder="1" applyAlignment="1">
      <alignment horizontal="center" vertical="center" wrapText="1"/>
    </xf>
    <xf numFmtId="43" fontId="13" fillId="24" borderId="23" xfId="0" applyNumberFormat="1" applyFont="1" applyFill="1" applyBorder="1" applyAlignment="1">
      <alignment horizontal="center" vertical="top"/>
    </xf>
    <xf numFmtId="0" fontId="11" fillId="24" borderId="8" xfId="0" applyFont="1" applyFill="1" applyBorder="1" applyAlignment="1">
      <alignment horizontal="center"/>
    </xf>
    <xf numFmtId="167" fontId="11" fillId="24" borderId="7" xfId="1" applyNumberFormat="1" applyFont="1" applyFill="1" applyBorder="1" applyAlignment="1" applyProtection="1">
      <alignment horizontal="center"/>
    </xf>
    <xf numFmtId="167" fontId="11" fillId="24" borderId="23" xfId="1" applyNumberFormat="1" applyFont="1" applyFill="1" applyBorder="1" applyAlignment="1" applyProtection="1">
      <alignment horizontal="center"/>
    </xf>
    <xf numFmtId="43" fontId="11" fillId="24" borderId="14" xfId="1" applyFont="1" applyFill="1" applyBorder="1" applyAlignment="1">
      <alignment horizontal="center" vertical="center"/>
    </xf>
    <xf numFmtId="43" fontId="11" fillId="24" borderId="15" xfId="1" applyFont="1" applyFill="1" applyBorder="1" applyAlignment="1">
      <alignment horizontal="center" vertical="center"/>
    </xf>
    <xf numFmtId="43" fontId="11" fillId="24" borderId="46" xfId="1" applyFont="1" applyFill="1" applyBorder="1" applyAlignment="1">
      <alignment horizontal="center" vertical="center"/>
    </xf>
    <xf numFmtId="43" fontId="11" fillId="24" borderId="19" xfId="1" applyFont="1" applyFill="1" applyBorder="1" applyAlignment="1">
      <alignment horizontal="center" vertical="center"/>
    </xf>
    <xf numFmtId="0" fontId="11" fillId="24" borderId="19" xfId="0" applyFont="1" applyFill="1" applyBorder="1" applyAlignment="1">
      <alignment horizontal="center"/>
    </xf>
    <xf numFmtId="167" fontId="11" fillId="24" borderId="46" xfId="1" applyNumberFormat="1" applyFont="1" applyFill="1" applyBorder="1" applyAlignment="1" applyProtection="1">
      <alignment horizontal="center"/>
    </xf>
    <xf numFmtId="167" fontId="11" fillId="24" borderId="19" xfId="1" applyNumberFormat="1" applyFont="1" applyFill="1" applyBorder="1" applyAlignment="1" applyProtection="1">
      <alignment horizontal="center"/>
    </xf>
    <xf numFmtId="43" fontId="11" fillId="24" borderId="29" xfId="1" applyFont="1" applyFill="1" applyBorder="1" applyAlignment="1">
      <alignment horizontal="center" vertical="center"/>
    </xf>
    <xf numFmtId="43" fontId="11" fillId="24" borderId="22" xfId="1" applyFont="1" applyFill="1" applyBorder="1" applyAlignment="1">
      <alignment horizontal="center" vertical="center"/>
    </xf>
    <xf numFmtId="43" fontId="11" fillId="24" borderId="20" xfId="1" applyFont="1" applyFill="1" applyBorder="1" applyAlignment="1">
      <alignment horizontal="center" vertical="center"/>
    </xf>
    <xf numFmtId="43" fontId="13" fillId="0" borderId="7" xfId="1" applyFont="1" applyFill="1" applyBorder="1" applyAlignment="1">
      <alignment horizontal="center" vertical="top" wrapText="1"/>
    </xf>
    <xf numFmtId="43" fontId="13" fillId="0" borderId="23" xfId="1" applyFont="1" applyFill="1" applyBorder="1" applyAlignment="1">
      <alignment horizontal="center" vertical="top" wrapText="1"/>
    </xf>
    <xf numFmtId="0" fontId="13" fillId="0" borderId="0" xfId="0" applyFont="1" applyAlignment="1">
      <alignment horizontal="left" vertical="top"/>
    </xf>
    <xf numFmtId="0" fontId="13" fillId="21" borderId="16" xfId="0" applyFont="1" applyFill="1" applyBorder="1" applyAlignment="1">
      <alignment horizontal="center" vertical="top" wrapText="1"/>
    </xf>
    <xf numFmtId="0" fontId="13" fillId="21" borderId="18" xfId="0" applyFont="1" applyFill="1" applyBorder="1" applyAlignment="1">
      <alignment horizontal="center" vertical="top" wrapText="1"/>
    </xf>
    <xf numFmtId="167" fontId="13" fillId="21" borderId="16" xfId="1" applyNumberFormat="1" applyFont="1" applyFill="1" applyBorder="1" applyAlignment="1">
      <alignment horizontal="center" vertical="top"/>
    </xf>
    <xf numFmtId="167" fontId="13" fillId="21" borderId="18" xfId="1" applyNumberFormat="1" applyFont="1" applyFill="1" applyBorder="1" applyAlignment="1">
      <alignment horizontal="center" vertical="top"/>
    </xf>
    <xf numFmtId="0" fontId="13" fillId="21" borderId="14" xfId="0" applyFont="1" applyFill="1" applyBorder="1" applyAlignment="1">
      <alignment horizontal="center" vertical="top"/>
    </xf>
    <xf numFmtId="0" fontId="13" fillId="21" borderId="46" xfId="0" applyFont="1" applyFill="1" applyBorder="1" applyAlignment="1">
      <alignment horizontal="center" vertical="top"/>
    </xf>
    <xf numFmtId="0" fontId="13" fillId="21" borderId="8" xfId="0" applyFont="1" applyFill="1" applyBorder="1" applyAlignment="1">
      <alignment horizontal="center" vertical="top" wrapText="1"/>
    </xf>
    <xf numFmtId="0" fontId="10" fillId="0" borderId="0" xfId="0" applyFont="1" applyAlignment="1">
      <alignment horizontal="left" vertical="top"/>
    </xf>
    <xf numFmtId="0" fontId="13" fillId="19" borderId="13" xfId="0" applyFont="1" applyFill="1" applyBorder="1" applyAlignment="1">
      <alignment horizontal="center" vertical="center" wrapText="1"/>
    </xf>
    <xf numFmtId="167" fontId="13" fillId="6" borderId="19" xfId="1" applyNumberFormat="1" applyFont="1" applyFill="1" applyBorder="1" applyAlignment="1">
      <alignment horizontal="right" vertical="top"/>
    </xf>
    <xf numFmtId="167" fontId="13" fillId="6" borderId="19" xfId="1" applyNumberFormat="1" applyFont="1" applyFill="1" applyBorder="1" applyAlignment="1">
      <alignment horizontal="right" vertical="center"/>
    </xf>
    <xf numFmtId="0" fontId="13" fillId="19" borderId="16" xfId="5" applyFont="1" applyFill="1" applyBorder="1" applyAlignment="1">
      <alignment horizontal="center" vertical="center"/>
    </xf>
    <xf numFmtId="0" fontId="13" fillId="19" borderId="18" xfId="5" applyFont="1" applyFill="1" applyBorder="1" applyAlignment="1">
      <alignment horizontal="center" vertical="center"/>
    </xf>
    <xf numFmtId="167" fontId="13" fillId="24" borderId="23" xfId="1" applyNumberFormat="1" applyFont="1" applyFill="1" applyBorder="1" applyAlignment="1">
      <alignment horizontal="center" vertical="top" wrapText="1"/>
    </xf>
    <xf numFmtId="167" fontId="13" fillId="24" borderId="13" xfId="1" applyNumberFormat="1" applyFont="1" applyFill="1" applyBorder="1" applyAlignment="1">
      <alignment horizontal="center" vertical="top" wrapText="1"/>
    </xf>
    <xf numFmtId="167" fontId="13" fillId="0" borderId="0" xfId="1" applyNumberFormat="1" applyFont="1" applyAlignment="1">
      <alignment horizontal="left" vertical="top"/>
    </xf>
    <xf numFmtId="0" fontId="13" fillId="21" borderId="7" xfId="0" applyFont="1" applyFill="1" applyBorder="1" applyAlignment="1">
      <alignment horizontal="center" vertical="center" wrapText="1"/>
    </xf>
    <xf numFmtId="0" fontId="13" fillId="21" borderId="23" xfId="0" applyFont="1" applyFill="1" applyBorder="1" applyAlignment="1">
      <alignment horizontal="center" vertical="center" wrapText="1"/>
    </xf>
    <xf numFmtId="0" fontId="13" fillId="19" borderId="7" xfId="0" applyFont="1" applyFill="1" applyBorder="1" applyAlignment="1">
      <alignment horizontal="center" vertical="center" wrapText="1"/>
    </xf>
    <xf numFmtId="0" fontId="13" fillId="19" borderId="23" xfId="0" applyFont="1" applyFill="1" applyBorder="1" applyAlignment="1">
      <alignment horizontal="center" vertical="center" wrapText="1"/>
    </xf>
    <xf numFmtId="0" fontId="13" fillId="0" borderId="7" xfId="0" applyFont="1" applyBorder="1" applyAlignment="1">
      <alignment horizontal="center" vertical="center" wrapText="1"/>
    </xf>
    <xf numFmtId="0" fontId="13" fillId="0" borderId="23" xfId="0" applyFont="1" applyBorder="1" applyAlignment="1">
      <alignment horizontal="center" vertical="center" wrapText="1"/>
    </xf>
    <xf numFmtId="0" fontId="13" fillId="0" borderId="29" xfId="0" applyFont="1" applyBorder="1" applyAlignment="1">
      <alignment horizontal="right"/>
    </xf>
    <xf numFmtId="0" fontId="13" fillId="0" borderId="22" xfId="0" applyFont="1" applyBorder="1" applyAlignment="1">
      <alignment horizontal="right"/>
    </xf>
    <xf numFmtId="0" fontId="13" fillId="0" borderId="13" xfId="0" applyFont="1" applyBorder="1" applyAlignment="1">
      <alignment horizontal="right"/>
    </xf>
    <xf numFmtId="0" fontId="13" fillId="19" borderId="46" xfId="0" applyFont="1" applyFill="1" applyBorder="1" applyAlignment="1">
      <alignment horizontal="right"/>
    </xf>
    <xf numFmtId="0" fontId="13" fillId="19" borderId="20" xfId="0" applyFont="1" applyFill="1" applyBorder="1" applyAlignment="1">
      <alignment horizontal="right"/>
    </xf>
    <xf numFmtId="0" fontId="13" fillId="21" borderId="14" xfId="0" applyFont="1" applyFill="1" applyBorder="1" applyAlignment="1">
      <alignment horizontal="center" vertical="center" wrapText="1"/>
    </xf>
    <xf numFmtId="0" fontId="13" fillId="21" borderId="15" xfId="0" applyFont="1" applyFill="1" applyBorder="1" applyAlignment="1">
      <alignment horizontal="center" vertical="center" wrapText="1"/>
    </xf>
    <xf numFmtId="0" fontId="13" fillId="0" borderId="0" xfId="0" applyFont="1" applyAlignment="1">
      <alignment horizontal="right" wrapText="1"/>
    </xf>
    <xf numFmtId="0" fontId="13" fillId="21" borderId="13" xfId="0" applyFont="1" applyFill="1" applyBorder="1" applyAlignment="1">
      <alignment horizontal="center"/>
    </xf>
    <xf numFmtId="0" fontId="13" fillId="21" borderId="14" xfId="0" applyFont="1" applyFill="1" applyBorder="1" applyAlignment="1">
      <alignment horizontal="center" vertical="top" wrapText="1"/>
    </xf>
    <xf numFmtId="0" fontId="13" fillId="21" borderId="15" xfId="0" applyFont="1" applyFill="1" applyBorder="1" applyAlignment="1">
      <alignment horizontal="center" vertical="top" wrapText="1"/>
    </xf>
    <xf numFmtId="0" fontId="10" fillId="0" borderId="17" xfId="9" applyFont="1" applyBorder="1" applyAlignment="1">
      <alignment horizontal="justify" vertical="top" wrapText="1"/>
    </xf>
    <xf numFmtId="0" fontId="13" fillId="21" borderId="13" xfId="5" applyFont="1" applyFill="1" applyBorder="1" applyAlignment="1">
      <alignment horizontal="center" vertical="center"/>
    </xf>
    <xf numFmtId="9" fontId="13" fillId="21" borderId="13" xfId="21" applyFont="1" applyFill="1" applyBorder="1" applyAlignment="1">
      <alignment horizontal="center" vertical="center"/>
    </xf>
    <xf numFmtId="0" fontId="13" fillId="0" borderId="1" xfId="5" applyFont="1" applyBorder="1" applyAlignment="1">
      <alignment horizontal="center" vertical="center"/>
    </xf>
    <xf numFmtId="0" fontId="13" fillId="0" borderId="50" xfId="5" applyFont="1" applyBorder="1" applyAlignment="1">
      <alignment horizontal="center" vertical="center"/>
    </xf>
    <xf numFmtId="0" fontId="13" fillId="0" borderId="44" xfId="5" applyFont="1" applyBorder="1" applyAlignment="1">
      <alignment horizontal="center" vertical="center"/>
    </xf>
    <xf numFmtId="0" fontId="10" fillId="0" borderId="0" xfId="10" applyFont="1" applyAlignment="1">
      <alignment horizontal="justify" vertical="top"/>
    </xf>
    <xf numFmtId="0" fontId="10" fillId="0" borderId="0" xfId="10" applyFont="1" applyAlignment="1">
      <alignment horizontal="left" vertical="top" wrapText="1"/>
    </xf>
    <xf numFmtId="0" fontId="13" fillId="0" borderId="0" xfId="0" applyFont="1" applyAlignment="1">
      <alignment horizontal="center" vertical="center" wrapText="1"/>
    </xf>
    <xf numFmtId="173" fontId="13" fillId="0" borderId="0" xfId="0" applyNumberFormat="1" applyFont="1" applyAlignment="1">
      <alignment horizontal="center" vertical="center" wrapText="1"/>
    </xf>
    <xf numFmtId="0" fontId="10" fillId="0" borderId="60" xfId="10" applyFont="1" applyBorder="1" applyAlignment="1">
      <alignment horizontal="left" vertical="top" wrapText="1"/>
    </xf>
    <xf numFmtId="0" fontId="10" fillId="0" borderId="17" xfId="10" applyFont="1" applyBorder="1" applyAlignment="1">
      <alignment horizontal="left" vertical="top" wrapText="1"/>
    </xf>
    <xf numFmtId="0" fontId="10" fillId="0" borderId="5" xfId="10" applyFont="1" applyBorder="1" applyAlignment="1">
      <alignment horizontal="left" vertical="top" wrapText="1"/>
    </xf>
    <xf numFmtId="0" fontId="10" fillId="0" borderId="4" xfId="10" applyFont="1" applyBorder="1" applyAlignment="1">
      <alignment horizontal="left" vertical="top" wrapText="1"/>
    </xf>
    <xf numFmtId="0" fontId="10" fillId="0" borderId="0" xfId="5" applyFont="1" applyAlignment="1">
      <alignment horizontal="left" vertical="top" wrapText="1"/>
    </xf>
    <xf numFmtId="0" fontId="13" fillId="21" borderId="13" xfId="5" applyFont="1" applyFill="1" applyBorder="1" applyAlignment="1">
      <alignment horizontal="center" vertical="center" wrapText="1"/>
    </xf>
    <xf numFmtId="0" fontId="13" fillId="21" borderId="13" xfId="5" applyFont="1" applyFill="1" applyBorder="1" applyAlignment="1">
      <alignment horizontal="center" vertical="top"/>
    </xf>
    <xf numFmtId="0" fontId="10" fillId="0" borderId="29" xfId="0" applyFont="1" applyBorder="1" applyAlignment="1">
      <alignment vertical="top" wrapText="1"/>
    </xf>
    <xf numFmtId="0" fontId="10" fillId="0" borderId="0" xfId="0" applyFont="1" applyAlignment="1">
      <alignment vertical="top" wrapText="1"/>
    </xf>
    <xf numFmtId="0" fontId="10" fillId="0" borderId="5" xfId="0" applyFont="1" applyBorder="1" applyAlignment="1">
      <alignment vertical="top" wrapText="1"/>
    </xf>
    <xf numFmtId="0" fontId="13" fillId="24" borderId="47" xfId="5" applyFont="1" applyFill="1" applyBorder="1" applyAlignment="1">
      <alignment horizontal="center" vertical="center"/>
    </xf>
    <xf numFmtId="0" fontId="13" fillId="24" borderId="51" xfId="5" applyFont="1" applyFill="1" applyBorder="1" applyAlignment="1">
      <alignment horizontal="center" vertical="center"/>
    </xf>
    <xf numFmtId="0" fontId="13" fillId="24" borderId="64" xfId="0" applyFont="1" applyFill="1" applyBorder="1" applyAlignment="1">
      <alignment horizontal="center" vertical="center" wrapText="1"/>
    </xf>
    <xf numFmtId="0" fontId="13" fillId="24" borderId="65" xfId="0" applyFont="1" applyFill="1" applyBorder="1" applyAlignment="1">
      <alignment horizontal="center" vertical="center" wrapText="1"/>
    </xf>
    <xf numFmtId="0" fontId="13" fillId="24" borderId="26" xfId="0" applyFont="1" applyFill="1" applyBorder="1" applyAlignment="1">
      <alignment horizontal="center" vertical="center" wrapText="1"/>
    </xf>
    <xf numFmtId="0" fontId="13" fillId="0" borderId="14" xfId="5" applyFont="1" applyBorder="1" applyAlignment="1">
      <alignment vertical="top"/>
    </xf>
    <xf numFmtId="0" fontId="13" fillId="0" borderId="17" xfId="5" applyFont="1" applyBorder="1" applyAlignment="1">
      <alignment vertical="top"/>
    </xf>
    <xf numFmtId="0" fontId="13" fillId="0" borderId="27" xfId="5" applyFont="1" applyBorder="1" applyAlignment="1">
      <alignment vertical="top"/>
    </xf>
    <xf numFmtId="0" fontId="14" fillId="0" borderId="29" xfId="0" applyFont="1" applyBorder="1" applyAlignment="1">
      <alignment vertical="top" wrapText="1"/>
    </xf>
    <xf numFmtId="0" fontId="14" fillId="0" borderId="0" xfId="0" applyFont="1" applyAlignment="1">
      <alignment vertical="top" wrapText="1"/>
    </xf>
    <xf numFmtId="0" fontId="14" fillId="0" borderId="5" xfId="0" applyFont="1" applyBorder="1" applyAlignment="1">
      <alignment vertical="top" wrapText="1"/>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4" xfId="0" applyFont="1" applyBorder="1" applyAlignment="1">
      <alignment horizontal="center" vertical="center"/>
    </xf>
    <xf numFmtId="0" fontId="13" fillId="0" borderId="19" xfId="0" applyFont="1" applyBorder="1" applyAlignment="1">
      <alignment horizontal="center" vertical="center"/>
    </xf>
    <xf numFmtId="0" fontId="13" fillId="0" borderId="32" xfId="0" applyFont="1" applyBorder="1" applyAlignment="1">
      <alignment horizontal="center" vertical="center"/>
    </xf>
    <xf numFmtId="0" fontId="13" fillId="21" borderId="13" xfId="0" applyFont="1" applyFill="1" applyBorder="1" applyAlignment="1">
      <alignment horizontal="center" vertical="center"/>
    </xf>
    <xf numFmtId="0" fontId="11" fillId="21" borderId="13" xfId="0" applyFont="1" applyFill="1" applyBorder="1" applyAlignment="1">
      <alignment horizontal="center" vertical="center" wrapText="1"/>
    </xf>
    <xf numFmtId="0" fontId="10" fillId="0" borderId="0" xfId="5" applyFont="1" applyAlignment="1">
      <alignment horizontal="center" vertical="top"/>
    </xf>
    <xf numFmtId="0" fontId="8" fillId="0" borderId="0" xfId="0" applyFont="1" applyAlignment="1">
      <alignment horizontal="center" vertical="center" wrapText="1"/>
    </xf>
    <xf numFmtId="0" fontId="13" fillId="0" borderId="0" xfId="5" applyFont="1" applyAlignment="1">
      <alignment horizontal="right" vertical="top"/>
    </xf>
    <xf numFmtId="0" fontId="10" fillId="0" borderId="29" xfId="0" applyFont="1" applyBorder="1" applyAlignment="1">
      <alignment horizontal="left" vertical="top"/>
    </xf>
    <xf numFmtId="0" fontId="10" fillId="0" borderId="22" xfId="0" applyFont="1" applyBorder="1" applyAlignment="1">
      <alignment horizontal="left" vertical="top"/>
    </xf>
    <xf numFmtId="0" fontId="13" fillId="0" borderId="0" xfId="0" applyFont="1" applyAlignment="1">
      <alignment horizontal="left" vertical="top" wrapText="1"/>
    </xf>
    <xf numFmtId="0" fontId="13" fillId="0" borderId="46" xfId="0" applyFont="1" applyBorder="1" applyAlignment="1">
      <alignment horizontal="center" vertical="center" wrapText="1"/>
    </xf>
    <xf numFmtId="0" fontId="13" fillId="0" borderId="20" xfId="0" applyFont="1" applyBorder="1" applyAlignment="1">
      <alignment horizontal="center" vertical="center" wrapText="1"/>
    </xf>
    <xf numFmtId="0" fontId="10" fillId="0" borderId="7" xfId="0" applyFont="1" applyBorder="1" applyAlignment="1">
      <alignment horizontal="center" vertical="top"/>
    </xf>
    <xf numFmtId="0" fontId="10" fillId="0" borderId="23" xfId="0" applyFont="1" applyBorder="1" applyAlignment="1">
      <alignment horizontal="center" vertical="top"/>
    </xf>
    <xf numFmtId="0" fontId="13" fillId="0" borderId="7" xfId="0" applyFont="1" applyBorder="1" applyAlignment="1">
      <alignment horizontal="center" vertical="top"/>
    </xf>
    <xf numFmtId="0" fontId="13" fillId="0" borderId="23" xfId="0" applyFont="1" applyBorder="1" applyAlignment="1">
      <alignment horizontal="center" vertical="top"/>
    </xf>
    <xf numFmtId="0" fontId="10" fillId="4" borderId="0" xfId="0" applyFont="1" applyFill="1" applyAlignment="1">
      <alignment horizontal="justify" vertical="top" wrapText="1"/>
    </xf>
    <xf numFmtId="0" fontId="10" fillId="4" borderId="0" xfId="0" applyFont="1" applyFill="1" applyAlignment="1">
      <alignment horizontal="left" vertical="top" wrapText="1"/>
    </xf>
    <xf numFmtId="0" fontId="13" fillId="24" borderId="13" xfId="5" applyFont="1" applyFill="1" applyBorder="1" applyAlignment="1">
      <alignment horizontal="center" vertical="top"/>
    </xf>
    <xf numFmtId="9" fontId="10" fillId="0" borderId="0" xfId="21" applyFont="1" applyBorder="1" applyAlignment="1">
      <alignment horizontal="justify" vertical="top" wrapText="1"/>
    </xf>
    <xf numFmtId="0" fontId="10" fillId="0" borderId="0" xfId="0" applyFont="1" applyAlignment="1">
      <alignment horizontal="justify" vertical="top" wrapText="1"/>
    </xf>
    <xf numFmtId="0" fontId="10" fillId="0" borderId="16" xfId="0" applyFont="1" applyBorder="1" applyAlignment="1">
      <alignment horizontal="left" vertical="top" wrapText="1"/>
    </xf>
    <xf numFmtId="0" fontId="10" fillId="0" borderId="21" xfId="0" applyFont="1" applyBorder="1" applyAlignment="1">
      <alignment horizontal="left" vertical="top" wrapText="1"/>
    </xf>
    <xf numFmtId="0" fontId="10" fillId="0" borderId="18" xfId="0" applyFont="1" applyBorder="1" applyAlignment="1">
      <alignment horizontal="left" vertical="top" wrapText="1"/>
    </xf>
    <xf numFmtId="0" fontId="13" fillId="4" borderId="0" xfId="0" applyFont="1" applyFill="1" applyAlignment="1">
      <alignment horizontal="left" vertical="top" wrapText="1"/>
    </xf>
    <xf numFmtId="0" fontId="10" fillId="0" borderId="0" xfId="0" applyFont="1" applyAlignment="1">
      <alignment horizontal="left" vertical="top" wrapText="1"/>
    </xf>
    <xf numFmtId="0" fontId="10" fillId="4" borderId="21"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21" xfId="0" applyFont="1" applyFill="1" applyBorder="1" applyAlignment="1">
      <alignment horizontal="left" vertical="top"/>
    </xf>
    <xf numFmtId="0" fontId="10" fillId="4" borderId="21" xfId="0" applyFont="1" applyFill="1" applyBorder="1" applyAlignment="1">
      <alignment horizontal="left" vertical="top" wrapText="1" indent="2"/>
    </xf>
    <xf numFmtId="0" fontId="13" fillId="21" borderId="13" xfId="0" applyFont="1" applyFill="1" applyBorder="1" applyAlignment="1">
      <alignment horizontal="center" vertical="center" wrapText="1"/>
    </xf>
    <xf numFmtId="0" fontId="10" fillId="4" borderId="21" xfId="0" applyFont="1" applyFill="1" applyBorder="1" applyAlignment="1">
      <alignment horizontal="left" vertical="center"/>
    </xf>
    <xf numFmtId="0" fontId="13" fillId="0" borderId="19" xfId="0" applyFont="1" applyBorder="1" applyAlignment="1">
      <alignment horizontal="right" vertical="top" wrapText="1"/>
    </xf>
    <xf numFmtId="0" fontId="10" fillId="0" borderId="14" xfId="5" applyFont="1" applyBorder="1" applyAlignment="1">
      <alignment horizontal="justify" vertical="top" wrapText="1"/>
    </xf>
    <xf numFmtId="0" fontId="10" fillId="0" borderId="17" xfId="5" applyFont="1" applyBorder="1" applyAlignment="1">
      <alignment horizontal="justify" vertical="top" wrapText="1"/>
    </xf>
    <xf numFmtId="0" fontId="10" fillId="0" borderId="15" xfId="5" applyFont="1" applyBorder="1" applyAlignment="1">
      <alignment horizontal="justify" vertical="top" wrapText="1"/>
    </xf>
    <xf numFmtId="0" fontId="10" fillId="0" borderId="29" xfId="5" applyFont="1" applyBorder="1" applyAlignment="1">
      <alignment horizontal="justify" vertical="top" wrapText="1"/>
    </xf>
    <xf numFmtId="0" fontId="10" fillId="0" borderId="0" xfId="5" applyFont="1" applyAlignment="1">
      <alignment horizontal="justify" vertical="top" wrapText="1"/>
    </xf>
    <xf numFmtId="0" fontId="10" fillId="0" borderId="22" xfId="5" applyFont="1" applyBorder="1" applyAlignment="1">
      <alignment horizontal="justify" vertical="top" wrapText="1"/>
    </xf>
    <xf numFmtId="0" fontId="13" fillId="0" borderId="13" xfId="0" applyFont="1" applyBorder="1" applyAlignment="1">
      <alignment horizontal="center" vertical="top" wrapText="1"/>
    </xf>
    <xf numFmtId="0" fontId="10" fillId="0" borderId="13" xfId="5" applyFont="1" applyBorder="1" applyAlignment="1">
      <alignment horizontal="justify" vertical="top"/>
    </xf>
    <xf numFmtId="0" fontId="10" fillId="0" borderId="25" xfId="5" applyFont="1" applyBorder="1" applyAlignment="1">
      <alignment horizontal="justify" vertical="top" wrapText="1"/>
    </xf>
    <xf numFmtId="0" fontId="10" fillId="0" borderId="19" xfId="5" applyFont="1" applyBorder="1" applyAlignment="1">
      <alignment horizontal="justify" vertical="top" wrapText="1"/>
    </xf>
    <xf numFmtId="0" fontId="10" fillId="0" borderId="32" xfId="5" applyFont="1" applyBorder="1" applyAlignment="1">
      <alignment horizontal="justify" vertical="top" wrapText="1"/>
    </xf>
    <xf numFmtId="0" fontId="10" fillId="0" borderId="10" xfId="5" applyFont="1" applyBorder="1" applyAlignment="1">
      <alignment horizontal="justify" vertical="top" wrapText="1"/>
    </xf>
    <xf numFmtId="0" fontId="13" fillId="0" borderId="25" xfId="0" applyFont="1" applyBorder="1" applyAlignment="1">
      <alignment horizontal="center" vertical="center"/>
    </xf>
    <xf numFmtId="0" fontId="10" fillId="0" borderId="60" xfId="5" applyFont="1" applyBorder="1" applyAlignment="1">
      <alignment horizontal="left" vertical="top" wrapText="1"/>
    </xf>
    <xf numFmtId="0" fontId="10" fillId="0" borderId="17" xfId="5" applyFont="1" applyBorder="1" applyAlignment="1">
      <alignment horizontal="left" vertical="top" wrapText="1"/>
    </xf>
    <xf numFmtId="0" fontId="13" fillId="0" borderId="47" xfId="5" applyFont="1" applyBorder="1" applyAlignment="1">
      <alignment horizontal="center" vertical="center"/>
    </xf>
    <xf numFmtId="0" fontId="13" fillId="0" borderId="34" xfId="5" applyFont="1" applyBorder="1" applyAlignment="1">
      <alignment horizontal="center" vertical="center"/>
    </xf>
    <xf numFmtId="0" fontId="13" fillId="0" borderId="24" xfId="5" applyFont="1" applyBorder="1" applyAlignment="1">
      <alignment horizontal="center" vertical="center" wrapText="1"/>
    </xf>
    <xf numFmtId="0" fontId="13" fillId="0" borderId="36" xfId="5" applyFont="1" applyBorder="1" applyAlignment="1">
      <alignment horizontal="center" vertical="center" wrapText="1"/>
    </xf>
    <xf numFmtId="0" fontId="13" fillId="0" borderId="57" xfId="5" applyFont="1" applyBorder="1" applyAlignment="1">
      <alignment horizontal="center" vertical="center" wrapText="1"/>
    </xf>
    <xf numFmtId="0" fontId="13" fillId="0" borderId="39" xfId="5" applyFont="1" applyBorder="1" applyAlignment="1">
      <alignment horizontal="center" vertical="center" wrapText="1"/>
    </xf>
    <xf numFmtId="0" fontId="13" fillId="0" borderId="0" xfId="0" applyFont="1" applyAlignment="1">
      <alignment horizontal="center" vertical="center"/>
    </xf>
    <xf numFmtId="0" fontId="13" fillId="0" borderId="5" xfId="0" applyFont="1" applyBorder="1" applyAlignment="1">
      <alignment horizontal="center" vertical="center"/>
    </xf>
    <xf numFmtId="0" fontId="13" fillId="24" borderId="13" xfId="5" applyFont="1" applyFill="1" applyBorder="1" applyAlignment="1">
      <alignment horizontal="center" vertical="center"/>
    </xf>
    <xf numFmtId="0" fontId="11" fillId="0" borderId="0" xfId="0" applyFont="1" applyAlignment="1">
      <alignment horizontal="justify" vertical="top"/>
    </xf>
    <xf numFmtId="0" fontId="11" fillId="0" borderId="0" xfId="0" applyFont="1" applyAlignment="1">
      <alignment horizontal="left" vertical="top" wrapText="1"/>
    </xf>
    <xf numFmtId="0" fontId="8" fillId="0" borderId="0" xfId="0" applyFont="1" applyAlignment="1">
      <alignment horizontal="justify" vertical="top" wrapText="1"/>
    </xf>
    <xf numFmtId="0" fontId="8" fillId="0" borderId="0" xfId="0" applyFont="1" applyAlignment="1">
      <alignment horizontal="left" vertical="top" wrapText="1"/>
    </xf>
    <xf numFmtId="0" fontId="11" fillId="0" borderId="47" xfId="0" applyFont="1" applyBorder="1" applyAlignment="1">
      <alignment horizontal="center" vertical="top" wrapText="1"/>
    </xf>
    <xf numFmtId="0" fontId="11" fillId="0" borderId="51" xfId="0" applyFont="1" applyBorder="1" applyAlignment="1">
      <alignment horizontal="center" vertical="top" wrapText="1"/>
    </xf>
    <xf numFmtId="0" fontId="11" fillId="0" borderId="24" xfId="0" applyFont="1" applyBorder="1" applyAlignment="1">
      <alignment horizontal="center" vertical="top"/>
    </xf>
    <xf numFmtId="0" fontId="11" fillId="0" borderId="57" xfId="0" applyFont="1" applyBorder="1" applyAlignment="1">
      <alignment horizontal="center" vertical="top"/>
    </xf>
    <xf numFmtId="0" fontId="11" fillId="0" borderId="37" xfId="0" applyFont="1" applyBorder="1" applyAlignment="1">
      <alignment horizontal="center" vertical="top"/>
    </xf>
    <xf numFmtId="0" fontId="11" fillId="0" borderId="0" xfId="0" applyFont="1" applyAlignment="1">
      <alignment horizontal="justify" vertical="top" wrapText="1"/>
    </xf>
    <xf numFmtId="0" fontId="10" fillId="6" borderId="0" xfId="5" applyFont="1" applyFill="1" applyAlignment="1">
      <alignment horizontal="left" vertical="top" wrapText="1"/>
    </xf>
    <xf numFmtId="0" fontId="11" fillId="0" borderId="49" xfId="0" applyFont="1" applyBorder="1" applyAlignment="1">
      <alignment horizontal="center" vertical="top"/>
    </xf>
    <xf numFmtId="0" fontId="11" fillId="0" borderId="6" xfId="0" applyFont="1" applyBorder="1" applyAlignment="1">
      <alignment horizontal="center" vertical="top"/>
    </xf>
    <xf numFmtId="0" fontId="11" fillId="0" borderId="64" xfId="0" applyFont="1" applyBorder="1" applyAlignment="1">
      <alignment horizontal="center"/>
    </xf>
    <xf numFmtId="0" fontId="11" fillId="0" borderId="65" xfId="0" applyFont="1" applyBorder="1" applyAlignment="1">
      <alignment horizontal="center"/>
    </xf>
    <xf numFmtId="0" fontId="11" fillId="0" borderId="47" xfId="0" applyFont="1" applyBorder="1" applyAlignment="1">
      <alignment horizontal="center" vertical="top"/>
    </xf>
    <xf numFmtId="0" fontId="11" fillId="0" borderId="51" xfId="0" applyFont="1" applyBorder="1" applyAlignment="1">
      <alignment horizontal="center" vertical="top"/>
    </xf>
    <xf numFmtId="0" fontId="11" fillId="0" borderId="24" xfId="0" applyFont="1" applyBorder="1" applyAlignment="1">
      <alignment horizontal="center"/>
    </xf>
    <xf numFmtId="0" fontId="11" fillId="0" borderId="57" xfId="0" applyFont="1" applyBorder="1" applyAlignment="1">
      <alignment horizontal="center"/>
    </xf>
    <xf numFmtId="0" fontId="8" fillId="0" borderId="2" xfId="0" applyFont="1" applyBorder="1" applyAlignment="1">
      <alignment horizontal="left" vertical="top" wrapText="1"/>
    </xf>
    <xf numFmtId="0" fontId="13" fillId="0" borderId="16" xfId="0" applyFont="1" applyBorder="1" applyAlignment="1">
      <alignment horizontal="center" vertical="center"/>
    </xf>
    <xf numFmtId="0" fontId="13" fillId="0" borderId="18" xfId="0" applyFont="1" applyBorder="1" applyAlignment="1">
      <alignment horizontal="center" vertical="center"/>
    </xf>
    <xf numFmtId="0" fontId="13" fillId="0" borderId="50" xfId="0" applyFont="1" applyBorder="1" applyAlignment="1">
      <alignment horizontal="center" vertical="center"/>
    </xf>
    <xf numFmtId="0" fontId="13" fillId="0" borderId="44" xfId="0" applyFont="1" applyBorder="1" applyAlignment="1">
      <alignment horizontal="center" vertical="center"/>
    </xf>
    <xf numFmtId="0" fontId="10" fillId="0" borderId="0" xfId="0" applyFont="1" applyAlignment="1">
      <alignment horizontal="justify" vertical="top"/>
    </xf>
    <xf numFmtId="0" fontId="10" fillId="0" borderId="5" xfId="0" applyFont="1" applyBorder="1" applyAlignment="1">
      <alignment horizontal="justify" vertical="top"/>
    </xf>
    <xf numFmtId="0" fontId="10" fillId="0" borderId="5" xfId="0" applyFont="1" applyBorder="1" applyAlignment="1">
      <alignment horizontal="justify" vertical="top" wrapText="1"/>
    </xf>
    <xf numFmtId="0" fontId="10" fillId="0" borderId="0" xfId="0" applyFont="1" applyAlignment="1">
      <alignment vertical="top"/>
    </xf>
    <xf numFmtId="0" fontId="10" fillId="0" borderId="5" xfId="0" applyFont="1" applyBorder="1" applyAlignment="1">
      <alignment vertical="top"/>
    </xf>
    <xf numFmtId="0" fontId="10" fillId="0" borderId="28" xfId="0" applyFont="1" applyBorder="1" applyAlignment="1">
      <alignment vertical="top" wrapText="1"/>
    </xf>
    <xf numFmtId="0" fontId="13" fillId="0" borderId="28" xfId="0" applyFont="1" applyBorder="1" applyAlignment="1">
      <alignment vertical="top" wrapText="1"/>
    </xf>
    <xf numFmtId="0" fontId="13" fillId="0" borderId="51" xfId="0" applyFont="1" applyBorder="1" applyAlignment="1">
      <alignment vertical="top" wrapText="1"/>
    </xf>
    <xf numFmtId="0" fontId="10" fillId="0" borderId="29" xfId="5" applyFont="1" applyBorder="1" applyAlignment="1">
      <alignment horizontal="center" vertical="top"/>
    </xf>
    <xf numFmtId="0" fontId="10" fillId="0" borderId="22" xfId="5" applyFont="1" applyBorder="1" applyAlignment="1">
      <alignment horizontal="center" vertical="top"/>
    </xf>
    <xf numFmtId="0" fontId="13" fillId="0" borderId="58" xfId="5" applyFont="1" applyBorder="1" applyAlignment="1">
      <alignment horizontal="center" vertical="center" wrapText="1"/>
    </xf>
    <xf numFmtId="0" fontId="13" fillId="0" borderId="51" xfId="5" applyFont="1" applyBorder="1" applyAlignment="1">
      <alignment horizontal="center" vertical="center" wrapText="1"/>
    </xf>
    <xf numFmtId="0" fontId="13" fillId="0" borderId="16" xfId="5" applyFont="1" applyBorder="1" applyAlignment="1">
      <alignment horizontal="center" vertical="center" wrapText="1"/>
    </xf>
    <xf numFmtId="0" fontId="13" fillId="0" borderId="18" xfId="5" applyFont="1" applyBorder="1" applyAlignment="1">
      <alignment horizontal="center" vertical="center" wrapText="1"/>
    </xf>
    <xf numFmtId="0" fontId="13" fillId="0" borderId="13" xfId="5" applyFont="1" applyBorder="1" applyAlignment="1">
      <alignment horizontal="center" vertical="top"/>
    </xf>
    <xf numFmtId="0" fontId="13" fillId="0" borderId="7" xfId="5" applyFont="1" applyBorder="1" applyAlignment="1">
      <alignment horizontal="center" vertical="center" wrapText="1"/>
    </xf>
    <xf numFmtId="0" fontId="13" fillId="0" borderId="8" xfId="5" applyFont="1" applyBorder="1" applyAlignment="1">
      <alignment horizontal="center" vertical="center" wrapText="1"/>
    </xf>
    <xf numFmtId="0" fontId="13" fillId="0" borderId="23" xfId="5" applyFont="1" applyBorder="1" applyAlignment="1">
      <alignment horizontal="center" vertical="center" wrapText="1"/>
    </xf>
    <xf numFmtId="0" fontId="13" fillId="0" borderId="7" xfId="5" applyFont="1" applyBorder="1" applyAlignment="1">
      <alignment horizontal="center" vertical="top" wrapText="1"/>
    </xf>
    <xf numFmtId="0" fontId="13" fillId="0" borderId="23" xfId="5" applyFont="1" applyBorder="1" applyAlignment="1">
      <alignment horizontal="center" vertical="top" wrapText="1"/>
    </xf>
    <xf numFmtId="0" fontId="13"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1" xfId="0" applyFont="1" applyBorder="1" applyAlignment="1">
      <alignment horizontal="center" vertical="center" wrapText="1"/>
    </xf>
    <xf numFmtId="0" fontId="13" fillId="0" borderId="12" xfId="0" applyFont="1" applyBorder="1" applyAlignment="1">
      <alignment horizontal="center" vertical="center" wrapText="1"/>
    </xf>
    <xf numFmtId="0" fontId="10" fillId="0" borderId="4" xfId="0" applyFont="1" applyBorder="1" applyAlignment="1">
      <alignment horizontal="justify" vertical="top" wrapText="1"/>
    </xf>
    <xf numFmtId="0" fontId="13" fillId="0" borderId="16" xfId="5" applyFont="1" applyBorder="1" applyAlignment="1">
      <alignment horizontal="center" vertical="center"/>
    </xf>
    <xf numFmtId="0" fontId="13" fillId="0" borderId="36" xfId="5" applyFont="1" applyBorder="1" applyAlignment="1">
      <alignment horizontal="center" vertical="center"/>
    </xf>
    <xf numFmtId="9" fontId="13" fillId="0" borderId="7" xfId="21" applyFont="1" applyFill="1" applyBorder="1" applyAlignment="1">
      <alignment horizontal="center" vertical="center"/>
    </xf>
    <xf numFmtId="9" fontId="13" fillId="0" borderId="8" xfId="21" applyFont="1" applyFill="1" applyBorder="1" applyAlignment="1">
      <alignment horizontal="center" vertical="center"/>
    </xf>
    <xf numFmtId="9" fontId="13" fillId="0" borderId="23" xfId="21" applyFont="1" applyFill="1" applyBorder="1" applyAlignment="1">
      <alignment horizontal="center" vertical="center"/>
    </xf>
    <xf numFmtId="0" fontId="13" fillId="0" borderId="7" xfId="5" applyFont="1" applyBorder="1" applyAlignment="1">
      <alignment horizontal="center" vertical="center"/>
    </xf>
    <xf numFmtId="0" fontId="13" fillId="0" borderId="8" xfId="5" applyFont="1" applyBorder="1" applyAlignment="1">
      <alignment horizontal="center" vertical="center"/>
    </xf>
    <xf numFmtId="0" fontId="13" fillId="0" borderId="23" xfId="5" applyFont="1" applyBorder="1" applyAlignment="1">
      <alignment horizontal="center" vertical="center"/>
    </xf>
    <xf numFmtId="0" fontId="13" fillId="0" borderId="10"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9" fontId="10" fillId="0" borderId="25" xfId="21" applyFont="1" applyBorder="1" applyAlignment="1">
      <alignment horizontal="justify" vertical="top" wrapText="1"/>
    </xf>
    <xf numFmtId="9" fontId="10" fillId="0" borderId="19" xfId="21" applyFont="1" applyBorder="1" applyAlignment="1">
      <alignment horizontal="justify" vertical="top" wrapText="1"/>
    </xf>
    <xf numFmtId="9" fontId="10" fillId="0" borderId="32" xfId="21" applyFont="1" applyBorder="1" applyAlignment="1">
      <alignment horizontal="justify" vertical="top" wrapText="1"/>
    </xf>
    <xf numFmtId="0" fontId="13" fillId="0" borderId="58" xfId="5" applyFont="1" applyBorder="1" applyAlignment="1">
      <alignment horizontal="center" vertical="center"/>
    </xf>
    <xf numFmtId="0" fontId="13" fillId="0" borderId="28" xfId="5" applyFont="1" applyBorder="1" applyAlignment="1">
      <alignment horizontal="center" vertical="center"/>
    </xf>
    <xf numFmtId="0" fontId="13" fillId="0" borderId="51" xfId="5" applyFont="1" applyBorder="1" applyAlignment="1">
      <alignment horizontal="center" vertical="center"/>
    </xf>
    <xf numFmtId="0" fontId="13" fillId="0" borderId="7" xfId="5" applyFont="1" applyBorder="1" applyAlignment="1">
      <alignment horizontal="center" vertical="top"/>
    </xf>
    <xf numFmtId="0" fontId="13" fillId="0" borderId="8" xfId="5" applyFont="1" applyBorder="1" applyAlignment="1">
      <alignment horizontal="center" vertical="top"/>
    </xf>
    <xf numFmtId="0" fontId="13" fillId="0" borderId="9" xfId="5" applyFont="1" applyBorder="1" applyAlignment="1">
      <alignment horizontal="center" vertical="top"/>
    </xf>
    <xf numFmtId="0" fontId="13" fillId="0" borderId="23" xfId="5" applyFont="1" applyBorder="1" applyAlignment="1">
      <alignment horizontal="center" vertical="top"/>
    </xf>
    <xf numFmtId="0" fontId="13" fillId="0" borderId="21" xfId="5" applyFont="1" applyBorder="1" applyAlignment="1">
      <alignment horizontal="center" vertical="center"/>
    </xf>
    <xf numFmtId="0" fontId="13" fillId="0" borderId="18" xfId="5" applyFont="1" applyBorder="1" applyAlignment="1">
      <alignment horizontal="center" vertical="center"/>
    </xf>
    <xf numFmtId="0" fontId="13" fillId="0" borderId="48" xfId="5" applyFont="1" applyBorder="1" applyAlignment="1">
      <alignment horizontal="center" vertical="center"/>
    </xf>
    <xf numFmtId="0" fontId="13" fillId="0" borderId="33" xfId="5" applyFont="1" applyBorder="1" applyAlignment="1">
      <alignment horizontal="center" vertical="center"/>
    </xf>
    <xf numFmtId="0" fontId="13" fillId="0" borderId="37" xfId="5" applyFont="1" applyBorder="1" applyAlignment="1">
      <alignment horizontal="center" vertical="center"/>
    </xf>
    <xf numFmtId="0" fontId="10" fillId="0" borderId="14" xfId="5" applyFont="1" applyBorder="1" applyAlignment="1">
      <alignment horizontal="left" vertical="top" wrapText="1"/>
    </xf>
    <xf numFmtId="0" fontId="10" fillId="0" borderId="15" xfId="5" applyFont="1" applyBorder="1" applyAlignment="1">
      <alignment horizontal="left" vertical="top" wrapText="1"/>
    </xf>
    <xf numFmtId="0" fontId="10" fillId="0" borderId="46" xfId="5" applyFont="1" applyBorder="1" applyAlignment="1">
      <alignment horizontal="justify" vertical="top" wrapText="1"/>
    </xf>
    <xf numFmtId="0" fontId="10" fillId="0" borderId="20" xfId="5" applyFont="1" applyBorder="1" applyAlignment="1">
      <alignment horizontal="justify" vertical="top" wrapText="1"/>
    </xf>
    <xf numFmtId="0" fontId="13" fillId="7" borderId="7" xfId="0" applyFont="1" applyFill="1" applyBorder="1" applyAlignment="1">
      <alignment horizontal="center" vertical="center"/>
    </xf>
    <xf numFmtId="0" fontId="13" fillId="7" borderId="8" xfId="0" applyFont="1" applyFill="1" applyBorder="1" applyAlignment="1">
      <alignment horizontal="center" vertical="center"/>
    </xf>
    <xf numFmtId="0" fontId="13" fillId="7" borderId="23" xfId="0" applyFont="1" applyFill="1" applyBorder="1" applyAlignment="1">
      <alignment horizontal="center" vertical="center"/>
    </xf>
    <xf numFmtId="0" fontId="10" fillId="0" borderId="58" xfId="5" applyFont="1" applyBorder="1" applyAlignment="1">
      <alignment horizontal="center" vertical="top"/>
    </xf>
    <xf numFmtId="0" fontId="10" fillId="0" borderId="51" xfId="5" applyFont="1" applyBorder="1" applyAlignment="1">
      <alignment horizontal="center" vertical="top"/>
    </xf>
    <xf numFmtId="0" fontId="10" fillId="0" borderId="29" xfId="10" applyFont="1" applyBorder="1" applyAlignment="1">
      <alignment horizontal="justify" vertical="top"/>
    </xf>
    <xf numFmtId="0" fontId="10" fillId="0" borderId="22" xfId="10" applyFont="1" applyBorder="1" applyAlignment="1">
      <alignment horizontal="justify" vertical="top"/>
    </xf>
    <xf numFmtId="0" fontId="10" fillId="0" borderId="46" xfId="10" applyFont="1" applyBorder="1" applyAlignment="1">
      <alignment horizontal="left" vertical="top" wrapText="1"/>
    </xf>
    <xf numFmtId="0" fontId="10" fillId="0" borderId="19" xfId="10" applyFont="1" applyBorder="1" applyAlignment="1">
      <alignment horizontal="left" vertical="top" wrapText="1"/>
    </xf>
    <xf numFmtId="0" fontId="10" fillId="0" borderId="20" xfId="10" applyFont="1" applyBorder="1" applyAlignment="1">
      <alignment horizontal="left" vertical="top" wrapText="1"/>
    </xf>
    <xf numFmtId="0" fontId="13" fillId="0" borderId="16" xfId="0" applyFont="1" applyBorder="1" applyAlignment="1">
      <alignment horizontal="center" vertical="center" wrapText="1"/>
    </xf>
    <xf numFmtId="0" fontId="13" fillId="0" borderId="18" xfId="0" applyFont="1" applyBorder="1" applyAlignment="1">
      <alignment horizontal="center" vertical="center" wrapText="1"/>
    </xf>
    <xf numFmtId="173" fontId="13" fillId="0" borderId="7" xfId="0" applyNumberFormat="1" applyFont="1" applyBorder="1" applyAlignment="1">
      <alignment horizontal="center" vertical="center" wrapText="1"/>
    </xf>
    <xf numFmtId="173" fontId="13" fillId="0" borderId="23" xfId="0" applyNumberFormat="1" applyFont="1" applyBorder="1" applyAlignment="1">
      <alignment horizontal="center" vertical="center" wrapText="1"/>
    </xf>
    <xf numFmtId="0" fontId="10" fillId="0" borderId="11" xfId="5" applyFont="1" applyBorder="1" applyAlignment="1">
      <alignment horizontal="justify" vertical="top" wrapText="1"/>
    </xf>
    <xf numFmtId="0" fontId="10" fillId="0" borderId="12" xfId="5" applyFont="1" applyBorder="1" applyAlignment="1">
      <alignment horizontal="justify" vertical="top" wrapText="1"/>
    </xf>
    <xf numFmtId="0" fontId="8" fillId="0" borderId="13" xfId="0" applyFont="1" applyBorder="1" applyAlignment="1">
      <alignment horizontal="center" vertical="center" wrapText="1"/>
    </xf>
    <xf numFmtId="0" fontId="10" fillId="0" borderId="14" xfId="5" applyFont="1" applyBorder="1" applyAlignment="1">
      <alignment horizontal="center" vertical="top"/>
    </xf>
    <xf numFmtId="0" fontId="10" fillId="0" borderId="15" xfId="5" applyFont="1" applyBorder="1" applyAlignment="1">
      <alignment horizontal="center" vertical="top"/>
    </xf>
    <xf numFmtId="0" fontId="10" fillId="0" borderId="4" xfId="5" applyFont="1" applyBorder="1" applyAlignment="1">
      <alignment horizontal="justify" vertical="top" wrapText="1"/>
    </xf>
    <xf numFmtId="0" fontId="10" fillId="4" borderId="29" xfId="0" applyFont="1" applyFill="1" applyBorder="1" applyAlignment="1">
      <alignment horizontal="left" vertical="top" wrapText="1"/>
    </xf>
    <xf numFmtId="0" fontId="10" fillId="4" borderId="22" xfId="0" applyFont="1" applyFill="1" applyBorder="1" applyAlignment="1">
      <alignment horizontal="left" vertical="top" wrapText="1"/>
    </xf>
    <xf numFmtId="0" fontId="10" fillId="4" borderId="29" xfId="0" applyFont="1" applyFill="1" applyBorder="1" applyAlignment="1">
      <alignment horizontal="left" vertical="top" wrapText="1" indent="2"/>
    </xf>
    <xf numFmtId="0" fontId="10" fillId="4" borderId="22" xfId="0" applyFont="1" applyFill="1" applyBorder="1" applyAlignment="1">
      <alignment horizontal="left" vertical="top" wrapText="1" indent="2"/>
    </xf>
    <xf numFmtId="0" fontId="10" fillId="4" borderId="46" xfId="0" applyFont="1" applyFill="1" applyBorder="1" applyAlignment="1">
      <alignment horizontal="left" vertical="top" wrapText="1"/>
    </xf>
    <xf numFmtId="0" fontId="10" fillId="4" borderId="20" xfId="0" applyFont="1" applyFill="1" applyBorder="1" applyAlignment="1">
      <alignment horizontal="left" vertical="top" wrapText="1"/>
    </xf>
    <xf numFmtId="0" fontId="13" fillId="0" borderId="8" xfId="0" applyFont="1" applyBorder="1" applyAlignment="1">
      <alignment horizontal="center" vertical="center"/>
    </xf>
    <xf numFmtId="0" fontId="8" fillId="0" borderId="7" xfId="0" applyFont="1" applyBorder="1" applyAlignment="1">
      <alignment horizontal="center"/>
    </xf>
    <xf numFmtId="0" fontId="8" fillId="0" borderId="8" xfId="0" applyFont="1" applyBorder="1" applyAlignment="1">
      <alignment horizontal="center"/>
    </xf>
    <xf numFmtId="0" fontId="8" fillId="0" borderId="23" xfId="0" applyFont="1" applyBorder="1" applyAlignment="1">
      <alignment horizontal="center"/>
    </xf>
    <xf numFmtId="0" fontId="10" fillId="2" borderId="61" xfId="5" applyFont="1" applyFill="1" applyBorder="1" applyAlignment="1">
      <alignment horizontal="justify" vertical="top" wrapText="1"/>
    </xf>
    <xf numFmtId="0" fontId="10" fillId="2" borderId="40" xfId="5" applyFont="1" applyFill="1" applyBorder="1" applyAlignment="1">
      <alignment horizontal="justify" vertical="top" wrapText="1"/>
    </xf>
    <xf numFmtId="0" fontId="10" fillId="2" borderId="41" xfId="5" applyFont="1" applyFill="1" applyBorder="1" applyAlignment="1">
      <alignment horizontal="justify" vertical="top" wrapText="1"/>
    </xf>
    <xf numFmtId="0" fontId="13" fillId="0" borderId="15" xfId="5" applyFont="1" applyBorder="1" applyAlignment="1">
      <alignment horizontal="center" vertical="center" wrapText="1"/>
    </xf>
    <xf numFmtId="0" fontId="13" fillId="0" borderId="20" xfId="5" applyFont="1" applyBorder="1" applyAlignment="1">
      <alignment horizontal="center" vertical="center" wrapText="1"/>
    </xf>
    <xf numFmtId="0" fontId="10" fillId="2" borderId="10" xfId="5" quotePrefix="1" applyFont="1" applyFill="1" applyBorder="1" applyAlignment="1">
      <alignment horizontal="left" vertical="top" wrapText="1"/>
    </xf>
    <xf numFmtId="0" fontId="10" fillId="2" borderId="11" xfId="5" quotePrefix="1" applyFont="1" applyFill="1" applyBorder="1" applyAlignment="1">
      <alignment horizontal="left" vertical="top" wrapText="1"/>
    </xf>
    <xf numFmtId="0" fontId="10" fillId="2" borderId="12" xfId="5" quotePrefix="1" applyFont="1" applyFill="1" applyBorder="1" applyAlignment="1">
      <alignment horizontal="left" vertical="top" wrapText="1"/>
    </xf>
    <xf numFmtId="0" fontId="13" fillId="0" borderId="9" xfId="0" applyFont="1" applyBorder="1" applyAlignment="1">
      <alignment horizontal="center" vertical="top" wrapText="1"/>
    </xf>
    <xf numFmtId="0" fontId="46" fillId="0" borderId="46" xfId="5" applyFont="1" applyBorder="1" applyAlignment="1">
      <alignment horizontal="left" vertical="top"/>
    </xf>
    <xf numFmtId="0" fontId="46" fillId="0" borderId="19" xfId="5" applyFont="1" applyBorder="1" applyAlignment="1">
      <alignment horizontal="left" vertical="top"/>
    </xf>
    <xf numFmtId="0" fontId="40" fillId="0" borderId="67" xfId="0" applyFont="1" applyBorder="1" applyAlignment="1">
      <alignment horizontal="center"/>
    </xf>
    <xf numFmtId="0" fontId="40" fillId="0" borderId="68" xfId="0" applyFont="1" applyBorder="1" applyAlignment="1">
      <alignment horizontal="center"/>
    </xf>
    <xf numFmtId="0" fontId="40" fillId="0" borderId="69" xfId="0" applyFont="1" applyBorder="1" applyAlignment="1">
      <alignment horizontal="center"/>
    </xf>
    <xf numFmtId="39" fontId="42" fillId="0" borderId="29" xfId="30" applyNumberFormat="1" applyFont="1" applyBorder="1" applyAlignment="1">
      <alignment horizontal="center" vertical="center"/>
    </xf>
    <xf numFmtId="0" fontId="43" fillId="0" borderId="0" xfId="0" applyFont="1"/>
    <xf numFmtId="0" fontId="43" fillId="0" borderId="71" xfId="0" applyFont="1" applyBorder="1"/>
    <xf numFmtId="0" fontId="42" fillId="0" borderId="19" xfId="32" applyFont="1" applyBorder="1" applyAlignment="1">
      <alignment horizontal="center"/>
    </xf>
    <xf numFmtId="0" fontId="46" fillId="0" borderId="29" xfId="34" applyFont="1" applyBorder="1" applyAlignment="1">
      <alignment horizontal="left" vertical="top" wrapText="1"/>
    </xf>
    <xf numFmtId="0" fontId="46" fillId="0" borderId="0" xfId="34" applyFont="1" applyAlignment="1">
      <alignment horizontal="left" vertical="top" wrapText="1"/>
    </xf>
    <xf numFmtId="0" fontId="46" fillId="0" borderId="22" xfId="34" applyFont="1" applyBorder="1" applyAlignment="1">
      <alignment horizontal="left" vertical="top" wrapText="1"/>
    </xf>
    <xf numFmtId="0" fontId="44" fillId="0" borderId="29" xfId="40" applyFont="1" applyBorder="1" applyAlignment="1">
      <alignment horizontal="left" vertical="top" wrapText="1"/>
    </xf>
    <xf numFmtId="0" fontId="44" fillId="0" borderId="22" xfId="40" applyFont="1" applyBorder="1" applyAlignment="1">
      <alignment horizontal="left" vertical="top" wrapText="1"/>
    </xf>
    <xf numFmtId="0" fontId="44" fillId="0" borderId="73" xfId="5" applyFont="1" applyBorder="1" applyAlignment="1">
      <alignment horizontal="left" vertical="top" wrapText="1"/>
    </xf>
    <xf numFmtId="0" fontId="44" fillId="0" borderId="74" xfId="5" applyFont="1" applyBorder="1" applyAlignment="1">
      <alignment horizontal="left" vertical="top" wrapText="1"/>
    </xf>
    <xf numFmtId="0" fontId="44" fillId="0" borderId="75" xfId="5" applyFont="1" applyBorder="1" applyAlignment="1">
      <alignment horizontal="left" vertical="top" wrapText="1"/>
    </xf>
    <xf numFmtId="0" fontId="44" fillId="0" borderId="29" xfId="5" applyFont="1" applyBorder="1" applyAlignment="1">
      <alignment horizontal="left" vertical="justify"/>
    </xf>
    <xf numFmtId="0" fontId="44" fillId="0" borderId="0" xfId="5" applyFont="1" applyAlignment="1">
      <alignment horizontal="left" vertical="justify"/>
    </xf>
    <xf numFmtId="0" fontId="46" fillId="0" borderId="29" xfId="5" applyFont="1" applyBorder="1" applyAlignment="1">
      <alignment horizontal="left" vertical="top" wrapText="1"/>
    </xf>
    <xf numFmtId="0" fontId="46" fillId="0" borderId="0" xfId="5" applyFont="1" applyAlignment="1">
      <alignment horizontal="left" vertical="top" wrapText="1"/>
    </xf>
    <xf numFmtId="0" fontId="46" fillId="0" borderId="0" xfId="34" applyFont="1" applyAlignment="1">
      <alignment horizontal="justify" vertical="justify" wrapText="1"/>
    </xf>
    <xf numFmtId="0" fontId="46" fillId="0" borderId="29" xfId="34" applyFont="1" applyBorder="1" applyAlignment="1">
      <alignment horizontal="justify" vertical="center" wrapText="1"/>
    </xf>
    <xf numFmtId="0" fontId="46" fillId="0" borderId="0" xfId="34" applyFont="1" applyAlignment="1">
      <alignment horizontal="justify" vertical="center" wrapText="1"/>
    </xf>
    <xf numFmtId="0" fontId="46" fillId="0" borderId="71" xfId="34" applyFont="1" applyBorder="1" applyAlignment="1">
      <alignment horizontal="justify" vertical="center" wrapText="1"/>
    </xf>
    <xf numFmtId="0" fontId="46" fillId="0" borderId="0" xfId="44" applyFont="1" applyAlignment="1">
      <alignment horizontal="justify" vertical="justify" wrapText="1"/>
    </xf>
    <xf numFmtId="0" fontId="44" fillId="0" borderId="29" xfId="34" applyFont="1" applyBorder="1" applyAlignment="1">
      <alignment horizontal="justify" vertical="justify"/>
    </xf>
    <xf numFmtId="0" fontId="44" fillId="0" borderId="0" xfId="34" applyFont="1" applyAlignment="1">
      <alignment horizontal="justify" vertical="justify"/>
    </xf>
    <xf numFmtId="0" fontId="44" fillId="0" borderId="71" xfId="34" applyFont="1" applyBorder="1" applyAlignment="1">
      <alignment horizontal="justify" vertical="justify"/>
    </xf>
    <xf numFmtId="0" fontId="46" fillId="0" borderId="29" xfId="34" applyFont="1" applyBorder="1" applyAlignment="1">
      <alignment horizontal="left" vertical="justify"/>
    </xf>
    <xf numFmtId="0" fontId="46" fillId="0" borderId="0" xfId="34" applyFont="1" applyAlignment="1">
      <alignment horizontal="left" vertical="justify"/>
    </xf>
    <xf numFmtId="0" fontId="46" fillId="0" borderId="71" xfId="34" applyFont="1" applyBorder="1" applyAlignment="1">
      <alignment horizontal="left" vertical="justify"/>
    </xf>
    <xf numFmtId="0" fontId="44" fillId="0" borderId="29" xfId="34" applyFont="1" applyBorder="1" applyAlignment="1">
      <alignment horizontal="left" vertical="justify"/>
    </xf>
    <xf numFmtId="0" fontId="44" fillId="0" borderId="0" xfId="34" applyFont="1" applyAlignment="1">
      <alignment horizontal="left" vertical="justify"/>
    </xf>
    <xf numFmtId="0" fontId="44" fillId="0" borderId="71" xfId="34" applyFont="1" applyBorder="1" applyAlignment="1">
      <alignment horizontal="left" vertical="justify"/>
    </xf>
    <xf numFmtId="0" fontId="44" fillId="0" borderId="14" xfId="34" applyFont="1" applyBorder="1" applyAlignment="1">
      <alignment horizontal="left" vertical="center"/>
    </xf>
    <xf numFmtId="0" fontId="44" fillId="0" borderId="17" xfId="34" applyFont="1" applyBorder="1" applyAlignment="1">
      <alignment horizontal="left" vertical="center"/>
    </xf>
    <xf numFmtId="0" fontId="44" fillId="0" borderId="15" xfId="34" applyFont="1" applyBorder="1" applyAlignment="1">
      <alignment horizontal="left" vertical="center"/>
    </xf>
    <xf numFmtId="0" fontId="44" fillId="0" borderId="46" xfId="34" applyFont="1" applyBorder="1" applyAlignment="1">
      <alignment horizontal="left" vertical="center"/>
    </xf>
    <xf numFmtId="0" fontId="44" fillId="0" borderId="19" xfId="34" applyFont="1" applyBorder="1" applyAlignment="1">
      <alignment horizontal="left" vertical="center"/>
    </xf>
    <xf numFmtId="0" fontId="44" fillId="0" borderId="20" xfId="34" applyFont="1" applyBorder="1" applyAlignment="1">
      <alignment horizontal="left" vertical="center"/>
    </xf>
    <xf numFmtId="15" fontId="44" fillId="0" borderId="16" xfId="34" applyNumberFormat="1" applyFont="1" applyBorder="1" applyAlignment="1">
      <alignment horizontal="right" vertical="center"/>
    </xf>
    <xf numFmtId="15" fontId="44" fillId="0" borderId="18" xfId="34" applyNumberFormat="1" applyFont="1" applyBorder="1" applyAlignment="1">
      <alignment horizontal="right" vertical="center"/>
    </xf>
    <xf numFmtId="15" fontId="44" fillId="0" borderId="86" xfId="34" applyNumberFormat="1" applyFont="1" applyBorder="1" applyAlignment="1">
      <alignment horizontal="right" vertical="center"/>
    </xf>
    <xf numFmtId="15" fontId="44" fillId="0" borderId="78" xfId="34" applyNumberFormat="1" applyFont="1" applyBorder="1" applyAlignment="1">
      <alignment horizontal="right" vertical="center"/>
    </xf>
    <xf numFmtId="0" fontId="46" fillId="0" borderId="14" xfId="34" applyFont="1" applyBorder="1" applyAlignment="1">
      <alignment horizontal="left" vertical="justify"/>
    </xf>
    <xf numFmtId="0" fontId="46" fillId="0" borderId="17" xfId="34" applyFont="1" applyBorder="1" applyAlignment="1">
      <alignment horizontal="left" vertical="justify"/>
    </xf>
    <xf numFmtId="0" fontId="46" fillId="0" borderId="29" xfId="5" applyFont="1" applyBorder="1" applyAlignment="1">
      <alignment horizontal="justify" vertical="center" wrapText="1"/>
    </xf>
    <xf numFmtId="0" fontId="46" fillId="0" borderId="0" xfId="5" applyFont="1" applyAlignment="1">
      <alignment horizontal="justify" vertical="center" wrapText="1"/>
    </xf>
    <xf numFmtId="0" fontId="46" fillId="0" borderId="71" xfId="5" applyFont="1" applyBorder="1" applyAlignment="1">
      <alignment horizontal="justify" vertical="center" wrapText="1"/>
    </xf>
    <xf numFmtId="0" fontId="46" fillId="0" borderId="29" xfId="44" applyFont="1" applyBorder="1" applyAlignment="1">
      <alignment horizontal="justify" vertical="center" wrapText="1"/>
    </xf>
    <xf numFmtId="0" fontId="46" fillId="0" borderId="0" xfId="44" applyFont="1" applyAlignment="1">
      <alignment horizontal="justify" vertical="center" wrapText="1"/>
    </xf>
    <xf numFmtId="0" fontId="46" fillId="0" borderId="71" xfId="44" applyFont="1" applyBorder="1" applyAlignment="1">
      <alignment horizontal="justify" vertical="center" wrapText="1"/>
    </xf>
    <xf numFmtId="0" fontId="44" fillId="0" borderId="29" xfId="34" applyFont="1" applyBorder="1" applyAlignment="1">
      <alignment horizontal="justify" vertical="center" wrapText="1"/>
    </xf>
    <xf numFmtId="0" fontId="44" fillId="0" borderId="0" xfId="34" applyFont="1" applyAlignment="1">
      <alignment horizontal="justify" vertical="center" wrapText="1"/>
    </xf>
    <xf numFmtId="0" fontId="44" fillId="0" borderId="71" xfId="34" applyFont="1" applyBorder="1" applyAlignment="1">
      <alignment horizontal="justify" vertical="center" wrapText="1"/>
    </xf>
    <xf numFmtId="0" fontId="53" fillId="0" borderId="7" xfId="5" applyFont="1" applyBorder="1" applyAlignment="1">
      <alignment horizontal="left" vertical="center" wrapText="1"/>
    </xf>
    <xf numFmtId="0" fontId="53" fillId="0" borderId="8" xfId="5" applyFont="1" applyBorder="1" applyAlignment="1">
      <alignment horizontal="left" vertical="center" wrapText="1"/>
    </xf>
    <xf numFmtId="0" fontId="53" fillId="0" borderId="23" xfId="5" applyFont="1" applyBorder="1" applyAlignment="1">
      <alignment horizontal="left" vertical="center" wrapText="1"/>
    </xf>
    <xf numFmtId="0" fontId="46" fillId="0" borderId="29" xfId="5" applyFont="1" applyBorder="1" applyAlignment="1">
      <alignment horizontal="left" vertical="center" wrapText="1"/>
    </xf>
    <xf numFmtId="0" fontId="46" fillId="0" borderId="0" xfId="5" applyFont="1" applyAlignment="1">
      <alignment horizontal="left" vertical="center" wrapText="1"/>
    </xf>
    <xf numFmtId="0" fontId="46" fillId="0" borderId="22" xfId="5" applyFont="1" applyBorder="1" applyAlignment="1">
      <alignment horizontal="left" vertical="center" wrapText="1"/>
    </xf>
    <xf numFmtId="0" fontId="2" fillId="0" borderId="46" xfId="5" applyBorder="1" applyAlignment="1">
      <alignment horizontal="center" vertical="center" wrapText="1"/>
    </xf>
    <xf numFmtId="0" fontId="2" fillId="0" borderId="19" xfId="5" applyBorder="1" applyAlignment="1">
      <alignment horizontal="center" vertical="center" wrapText="1"/>
    </xf>
    <xf numFmtId="0" fontId="2" fillId="0" borderId="20" xfId="5" applyBorder="1" applyAlignment="1">
      <alignment horizontal="center" vertical="center" wrapText="1"/>
    </xf>
    <xf numFmtId="0" fontId="46" fillId="0" borderId="14" xfId="5" applyFont="1" applyBorder="1" applyAlignment="1">
      <alignment horizontal="left" vertical="center" wrapText="1"/>
    </xf>
    <xf numFmtId="0" fontId="46" fillId="0" borderId="17" xfId="5" applyFont="1" applyBorder="1" applyAlignment="1">
      <alignment horizontal="left" vertical="center" wrapText="1"/>
    </xf>
    <xf numFmtId="0" fontId="46" fillId="0" borderId="15" xfId="5" applyFont="1" applyBorder="1" applyAlignment="1">
      <alignment horizontal="left" vertical="center" wrapText="1"/>
    </xf>
    <xf numFmtId="39" fontId="46" fillId="0" borderId="0" xfId="5" applyNumberFormat="1" applyFont="1" applyAlignment="1">
      <alignment horizontal="left"/>
    </xf>
    <xf numFmtId="39" fontId="46" fillId="0" borderId="71" xfId="5" applyNumberFormat="1" applyFont="1" applyBorder="1" applyAlignment="1">
      <alignment horizontal="left"/>
    </xf>
    <xf numFmtId="0" fontId="46" fillId="0" borderId="46" xfId="5" applyFont="1" applyBorder="1" applyAlignment="1">
      <alignment horizontal="left" vertical="center" wrapText="1"/>
    </xf>
    <xf numFmtId="0" fontId="46" fillId="0" borderId="19" xfId="5" applyFont="1" applyBorder="1" applyAlignment="1">
      <alignment horizontal="left" vertical="center" wrapText="1"/>
    </xf>
    <xf numFmtId="0" fontId="46" fillId="0" borderId="20" xfId="5" applyFont="1" applyBorder="1" applyAlignment="1">
      <alignment horizontal="left" vertical="center" wrapText="1"/>
    </xf>
    <xf numFmtId="0" fontId="46" fillId="0" borderId="29" xfId="34" applyFont="1" applyBorder="1" applyAlignment="1">
      <alignment horizontal="justify" vertical="center"/>
    </xf>
    <xf numFmtId="0" fontId="46" fillId="0" borderId="0" xfId="34" applyFont="1" applyAlignment="1">
      <alignment horizontal="justify" vertical="center"/>
    </xf>
    <xf numFmtId="0" fontId="46" fillId="0" borderId="71" xfId="34" applyFont="1" applyBorder="1" applyAlignment="1">
      <alignment horizontal="justify" vertical="center"/>
    </xf>
    <xf numFmtId="0" fontId="11" fillId="23" borderId="14" xfId="0" applyFont="1" applyFill="1" applyBorder="1" applyAlignment="1">
      <alignment horizontal="center" vertical="center"/>
    </xf>
    <xf numFmtId="0" fontId="11" fillId="23" borderId="17" xfId="0" applyFont="1" applyFill="1" applyBorder="1" applyAlignment="1">
      <alignment horizontal="center" vertical="center"/>
    </xf>
    <xf numFmtId="0" fontId="11" fillId="23" borderId="46" xfId="0" applyFont="1" applyFill="1" applyBorder="1" applyAlignment="1">
      <alignment horizontal="center" vertical="center"/>
    </xf>
    <xf numFmtId="0" fontId="11" fillId="23" borderId="19" xfId="0" applyFont="1" applyFill="1" applyBorder="1" applyAlignment="1">
      <alignment horizontal="center" vertical="center"/>
    </xf>
    <xf numFmtId="0" fontId="13" fillId="21" borderId="13" xfId="6" applyNumberFormat="1" applyFont="1" applyFill="1" applyBorder="1" applyAlignment="1">
      <alignment horizontal="center" vertical="top"/>
    </xf>
    <xf numFmtId="0" fontId="13" fillId="0" borderId="13" xfId="0" applyFont="1" applyBorder="1" applyAlignment="1">
      <alignment horizontal="center" vertical="center" wrapText="1"/>
    </xf>
    <xf numFmtId="0" fontId="13" fillId="21" borderId="16" xfId="0" applyFont="1" applyFill="1" applyBorder="1" applyAlignment="1">
      <alignment horizontal="center" vertical="top"/>
    </xf>
    <xf numFmtId="0" fontId="13" fillId="21" borderId="18" xfId="0" applyFont="1" applyFill="1" applyBorder="1" applyAlignment="1">
      <alignment horizontal="center" vertical="top"/>
    </xf>
    <xf numFmtId="0" fontId="13" fillId="0" borderId="14" xfId="0" applyFont="1" applyBorder="1" applyAlignment="1">
      <alignment horizontal="center" vertical="top"/>
    </xf>
    <xf numFmtId="0" fontId="13" fillId="0" borderId="46" xfId="0" applyFont="1" applyBorder="1" applyAlignment="1">
      <alignment horizontal="center" vertical="top"/>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3" fillId="0" borderId="16" xfId="0" applyFont="1" applyBorder="1" applyAlignment="1">
      <alignment horizontal="center" vertical="top"/>
    </xf>
    <xf numFmtId="0" fontId="13" fillId="0" borderId="18" xfId="0" applyFont="1" applyBorder="1" applyAlignment="1">
      <alignment horizontal="center" vertical="top"/>
    </xf>
    <xf numFmtId="0" fontId="13" fillId="21" borderId="8" xfId="0" applyFont="1" applyFill="1" applyBorder="1" applyAlignment="1">
      <alignment horizontal="center" vertical="center" wrapText="1"/>
    </xf>
    <xf numFmtId="0" fontId="13" fillId="21" borderId="46" xfId="6" applyNumberFormat="1" applyFont="1" applyFill="1" applyBorder="1" applyAlignment="1">
      <alignment horizontal="center" vertical="top"/>
    </xf>
    <xf numFmtId="0" fontId="13" fillId="21" borderId="20" xfId="6" applyNumberFormat="1" applyFont="1" applyFill="1" applyBorder="1" applyAlignment="1">
      <alignment horizontal="center" vertical="top"/>
    </xf>
    <xf numFmtId="0" fontId="13" fillId="0" borderId="46" xfId="0" applyFont="1" applyBorder="1" applyAlignment="1">
      <alignment horizontal="right"/>
    </xf>
    <xf numFmtId="0" fontId="13" fillId="0" borderId="20" xfId="0" applyFont="1" applyBorder="1" applyAlignment="1">
      <alignment horizontal="right"/>
    </xf>
    <xf numFmtId="0" fontId="8" fillId="0" borderId="0" xfId="0" applyFont="1" applyAlignment="1">
      <alignment wrapText="1"/>
    </xf>
    <xf numFmtId="0" fontId="13" fillId="0" borderId="17" xfId="0" applyFont="1" applyBorder="1" applyAlignment="1">
      <alignment horizontal="center" vertical="center" wrapText="1"/>
    </xf>
    <xf numFmtId="0" fontId="13" fillId="0" borderId="19" xfId="0" applyFont="1" applyBorder="1" applyAlignment="1">
      <alignment horizontal="center" vertical="center" wrapText="1"/>
    </xf>
    <xf numFmtId="43" fontId="13" fillId="0" borderId="17" xfId="1" applyFont="1" applyFill="1" applyBorder="1" applyAlignment="1">
      <alignment horizontal="center" vertical="center"/>
    </xf>
    <xf numFmtId="43" fontId="13" fillId="0" borderId="19" xfId="1" applyFont="1" applyFill="1" applyBorder="1" applyAlignment="1">
      <alignment horizontal="center" vertical="center"/>
    </xf>
    <xf numFmtId="0" fontId="13" fillId="0" borderId="16" xfId="0" applyFont="1" applyBorder="1" applyAlignment="1">
      <alignment horizontal="center" vertical="top" wrapText="1"/>
    </xf>
    <xf numFmtId="0" fontId="13" fillId="0" borderId="18" xfId="0" applyFont="1" applyBorder="1" applyAlignment="1">
      <alignment horizontal="center" vertical="top" wrapText="1"/>
    </xf>
    <xf numFmtId="0" fontId="13" fillId="0" borderId="15" xfId="0" applyFont="1" applyBorder="1" applyAlignment="1">
      <alignment horizontal="center" vertical="top" wrapText="1"/>
    </xf>
    <xf numFmtId="0" fontId="13" fillId="0" borderId="20" xfId="0" applyFont="1" applyBorder="1" applyAlignment="1">
      <alignment horizontal="center" vertical="top" wrapText="1"/>
    </xf>
    <xf numFmtId="43" fontId="13" fillId="0" borderId="23" xfId="0" applyNumberFormat="1" applyFont="1" applyBorder="1" applyAlignment="1">
      <alignment horizontal="center" vertical="top" wrapText="1"/>
    </xf>
    <xf numFmtId="43" fontId="13" fillId="0" borderId="13" xfId="0" applyNumberFormat="1" applyFont="1" applyBorder="1" applyAlignment="1">
      <alignment horizontal="center" vertical="top" wrapText="1"/>
    </xf>
    <xf numFmtId="43" fontId="13" fillId="0" borderId="7" xfId="0" applyNumberFormat="1" applyFont="1" applyBorder="1" applyAlignment="1">
      <alignment horizontal="center" vertical="top"/>
    </xf>
    <xf numFmtId="43" fontId="13" fillId="0" borderId="23" xfId="0" applyNumberFormat="1" applyFont="1" applyBorder="1" applyAlignment="1">
      <alignment horizontal="center" vertical="top"/>
    </xf>
    <xf numFmtId="0" fontId="10" fillId="16" borderId="21" xfId="0" applyFont="1" applyFill="1" applyBorder="1" applyAlignment="1">
      <alignment horizontal="left" vertical="top"/>
    </xf>
    <xf numFmtId="0" fontId="10" fillId="16" borderId="18" xfId="0" applyFont="1" applyFill="1" applyBorder="1" applyAlignment="1">
      <alignment horizontal="left" vertical="top"/>
    </xf>
    <xf numFmtId="43" fontId="13" fillId="0" borderId="13" xfId="0" applyNumberFormat="1" applyFont="1" applyBorder="1" applyAlignment="1">
      <alignment horizontal="center" vertical="center" wrapText="1"/>
    </xf>
    <xf numFmtId="0" fontId="11" fillId="0" borderId="7" xfId="0" applyFont="1" applyBorder="1" applyAlignment="1">
      <alignment horizontal="center"/>
    </xf>
    <xf numFmtId="0" fontId="11" fillId="0" borderId="8" xfId="0" applyFont="1" applyBorder="1" applyAlignment="1">
      <alignment horizontal="center"/>
    </xf>
    <xf numFmtId="43" fontId="11" fillId="0" borderId="14" xfId="1" applyFont="1" applyFill="1" applyBorder="1" applyAlignment="1">
      <alignment horizontal="center" vertical="center"/>
    </xf>
    <xf numFmtId="43" fontId="11" fillId="0" borderId="17" xfId="1" applyFont="1" applyFill="1" applyBorder="1" applyAlignment="1">
      <alignment horizontal="center" vertical="center"/>
    </xf>
    <xf numFmtId="43" fontId="11" fillId="0" borderId="15" xfId="1" applyFont="1" applyFill="1" applyBorder="1" applyAlignment="1">
      <alignment horizontal="center" vertical="center"/>
    </xf>
    <xf numFmtId="43" fontId="11" fillId="0" borderId="46" xfId="1" applyFont="1" applyFill="1" applyBorder="1" applyAlignment="1">
      <alignment horizontal="center" vertical="center"/>
    </xf>
    <xf numFmtId="43" fontId="11" fillId="0" borderId="19" xfId="1" applyFont="1" applyFill="1" applyBorder="1" applyAlignment="1">
      <alignment horizontal="center" vertical="center"/>
    </xf>
    <xf numFmtId="43" fontId="11" fillId="0" borderId="20" xfId="1" applyFont="1" applyFill="1" applyBorder="1" applyAlignment="1">
      <alignment horizontal="center" vertical="center"/>
    </xf>
    <xf numFmtId="167" fontId="11" fillId="0" borderId="7" xfId="1" applyNumberFormat="1" applyFont="1" applyBorder="1" applyAlignment="1" applyProtection="1">
      <alignment horizontal="center"/>
    </xf>
    <xf numFmtId="167" fontId="11" fillId="0" borderId="23" xfId="1" applyNumberFormat="1" applyFont="1" applyBorder="1" applyAlignment="1" applyProtection="1">
      <alignment horizontal="center"/>
    </xf>
    <xf numFmtId="167" fontId="11" fillId="0" borderId="7" xfId="1" applyNumberFormat="1" applyFont="1" applyFill="1" applyBorder="1" applyAlignment="1" applyProtection="1">
      <alignment horizontal="center"/>
    </xf>
    <xf numFmtId="167" fontId="11" fillId="0" borderId="23" xfId="1" applyNumberFormat="1" applyFont="1" applyFill="1" applyBorder="1" applyAlignment="1" applyProtection="1">
      <alignment horizontal="center"/>
    </xf>
    <xf numFmtId="167" fontId="11" fillId="0" borderId="13" xfId="1" applyNumberFormat="1" applyFont="1" applyFill="1" applyBorder="1" applyAlignment="1" applyProtection="1">
      <alignment horizontal="center"/>
    </xf>
    <xf numFmtId="167" fontId="11" fillId="0" borderId="15" xfId="1" applyNumberFormat="1" applyFont="1" applyFill="1" applyBorder="1" applyAlignment="1" applyProtection="1">
      <alignment horizontal="center" vertical="center"/>
    </xf>
    <xf numFmtId="167" fontId="11" fillId="0" borderId="20" xfId="1" applyNumberFormat="1" applyFont="1" applyFill="1" applyBorder="1" applyAlignment="1" applyProtection="1">
      <alignment horizontal="center" vertical="center"/>
    </xf>
    <xf numFmtId="167" fontId="11" fillId="8" borderId="46" xfId="1" applyNumberFormat="1" applyFont="1" applyFill="1" applyBorder="1" applyAlignment="1" applyProtection="1">
      <alignment horizontal="center"/>
    </xf>
    <xf numFmtId="167" fontId="11" fillId="8" borderId="19" xfId="1" applyNumberFormat="1" applyFont="1" applyFill="1" applyBorder="1" applyAlignment="1" applyProtection="1">
      <alignment horizontal="center"/>
    </xf>
    <xf numFmtId="167" fontId="11" fillId="8" borderId="20" xfId="1" applyNumberFormat="1" applyFont="1" applyFill="1" applyBorder="1" applyAlignment="1" applyProtection="1">
      <alignment horizontal="center"/>
    </xf>
    <xf numFmtId="167" fontId="11" fillId="8" borderId="29" xfId="1" applyNumberFormat="1" applyFont="1" applyFill="1" applyBorder="1" applyAlignment="1" applyProtection="1">
      <alignment horizontal="center"/>
    </xf>
    <xf numFmtId="167" fontId="11" fillId="8" borderId="0" xfId="1" applyNumberFormat="1" applyFont="1" applyFill="1" applyBorder="1" applyAlignment="1" applyProtection="1">
      <alignment horizontal="center"/>
    </xf>
    <xf numFmtId="167" fontId="11" fillId="8" borderId="22" xfId="1" applyNumberFormat="1" applyFont="1" applyFill="1" applyBorder="1" applyAlignment="1" applyProtection="1">
      <alignment horizontal="center"/>
    </xf>
    <xf numFmtId="167" fontId="11" fillId="8" borderId="14" xfId="1" applyNumberFormat="1" applyFont="1" applyFill="1" applyBorder="1" applyAlignment="1" applyProtection="1">
      <alignment horizontal="center"/>
    </xf>
    <xf numFmtId="167" fontId="11" fillId="8" borderId="17" xfId="1" applyNumberFormat="1" applyFont="1" applyFill="1" applyBorder="1" applyAlignment="1" applyProtection="1">
      <alignment horizontal="center"/>
    </xf>
    <xf numFmtId="0" fontId="13" fillId="0" borderId="13" xfId="0" applyFont="1" applyBorder="1" applyAlignment="1">
      <alignment horizontal="center" vertical="top"/>
    </xf>
    <xf numFmtId="0" fontId="13" fillId="0" borderId="14" xfId="0" applyFont="1" applyBorder="1" applyAlignment="1">
      <alignment horizontal="center" vertical="top" wrapText="1"/>
    </xf>
    <xf numFmtId="0" fontId="13" fillId="0" borderId="17" xfId="0" applyFont="1" applyBorder="1" applyAlignment="1">
      <alignment horizontal="center" vertical="top" wrapText="1"/>
    </xf>
    <xf numFmtId="0" fontId="13" fillId="0" borderId="46" xfId="0" applyFont="1" applyBorder="1" applyAlignment="1">
      <alignment horizontal="center" vertical="top" wrapText="1"/>
    </xf>
    <xf numFmtId="0" fontId="13" fillId="0" borderId="19" xfId="0" applyFont="1" applyBorder="1" applyAlignment="1">
      <alignment horizontal="center" vertical="top" wrapText="1"/>
    </xf>
    <xf numFmtId="0" fontId="13" fillId="21" borderId="29" xfId="0" applyFont="1" applyFill="1" applyBorder="1" applyAlignment="1">
      <alignment horizontal="center" vertical="center"/>
    </xf>
    <xf numFmtId="0" fontId="13" fillId="21" borderId="0" xfId="0" applyFont="1" applyFill="1" applyAlignment="1">
      <alignment horizontal="center" vertical="center"/>
    </xf>
    <xf numFmtId="49" fontId="8" fillId="14" borderId="7" xfId="1" applyNumberFormat="1" applyFont="1" applyFill="1" applyBorder="1" applyAlignment="1" applyProtection="1">
      <alignment horizontal="center" vertical="top" wrapText="1"/>
    </xf>
    <xf numFmtId="49" fontId="8" fillId="14" borderId="8" xfId="1" applyNumberFormat="1" applyFont="1" applyFill="1" applyBorder="1" applyAlignment="1" applyProtection="1">
      <alignment horizontal="center" vertical="top" wrapText="1"/>
    </xf>
    <xf numFmtId="49" fontId="8" fillId="14" borderId="23" xfId="1" applyNumberFormat="1" applyFont="1" applyFill="1" applyBorder="1" applyAlignment="1" applyProtection="1">
      <alignment horizontal="center" vertical="top" wrapText="1"/>
    </xf>
    <xf numFmtId="0" fontId="10" fillId="4" borderId="29" xfId="0" applyFont="1" applyFill="1" applyBorder="1" applyAlignment="1">
      <alignment horizontal="left" vertical="center" wrapText="1" indent="5"/>
    </xf>
    <xf numFmtId="0" fontId="10" fillId="4" borderId="0" xfId="0" applyFont="1" applyFill="1" applyAlignment="1">
      <alignment horizontal="left" vertical="center" wrapText="1" indent="5"/>
    </xf>
    <xf numFmtId="0" fontId="10" fillId="4" borderId="29" xfId="0" quotePrefix="1" applyFont="1" applyFill="1" applyBorder="1" applyAlignment="1">
      <alignment horizontal="left" vertical="center" wrapText="1" indent="5"/>
    </xf>
    <xf numFmtId="0" fontId="61" fillId="0" borderId="0" xfId="0" applyFont="1"/>
    <xf numFmtId="41" fontId="61" fillId="0" borderId="0" xfId="0" applyNumberFormat="1" applyFont="1" applyAlignment="1">
      <alignment horizontal="right"/>
    </xf>
  </cellXfs>
  <cellStyles count="45">
    <cellStyle name="Comma" xfId="1" builtinId="3"/>
    <cellStyle name="Comma [0]" xfId="20" builtinId="6"/>
    <cellStyle name="Comma [0] 2" xfId="22"/>
    <cellStyle name="Comma 11" xfId="36"/>
    <cellStyle name="Comma 11 2 2" xfId="39"/>
    <cellStyle name="Comma 11 3" xfId="38"/>
    <cellStyle name="Comma 2" xfId="3"/>
    <cellStyle name="Comma 2 10" xfId="16"/>
    <cellStyle name="Comma 2 2" xfId="17"/>
    <cellStyle name="Comma 2 2 2 2" xfId="29"/>
    <cellStyle name="Comma 3" xfId="12"/>
    <cellStyle name="Comma 4" xfId="7"/>
    <cellStyle name="Comma 45" xfId="28"/>
    <cellStyle name="Comma 48" xfId="26"/>
    <cellStyle name="Comma 5" xfId="13"/>
    <cellStyle name="Comma 6" xfId="23"/>
    <cellStyle name="Comma 7" xfId="24"/>
    <cellStyle name="Comma_BALANCE SHEET FHI 03-04 DEC" xfId="4"/>
    <cellStyle name="Comma_Financials December 06 2" xfId="33"/>
    <cellStyle name="Hyperlink" xfId="2" builtinId="8"/>
    <cellStyle name="Hyperlink 2" xfId="8"/>
    <cellStyle name="Normal" xfId="0" builtinId="0"/>
    <cellStyle name="Normal 10 2" xfId="42"/>
    <cellStyle name="Normal 10 4" xfId="41"/>
    <cellStyle name="Normal 122 2 2" xfId="40"/>
    <cellStyle name="Normal 131" xfId="25"/>
    <cellStyle name="Normal 2" xfId="5"/>
    <cellStyle name="Normal 2 10 3" xfId="44"/>
    <cellStyle name="Normal 2 2" xfId="14"/>
    <cellStyle name="Normal 2 2 2" xfId="27"/>
    <cellStyle name="Normal 2 2 4" xfId="15"/>
    <cellStyle name="Normal 2_Panacea Energizers Pvt. Ltd-2012" xfId="34"/>
    <cellStyle name="Normal 3" xfId="9"/>
    <cellStyle name="Normal 386" xfId="19"/>
    <cellStyle name="Normal 7" xfId="18"/>
    <cellStyle name="Normal_Enrich Hair &amp; Skin Solution Pvt.Ltd.-2012 final" xfId="30"/>
    <cellStyle name="Normal_Enrich Hair &amp; Skin Solution Pvt.Ltd.-2012 final 2" xfId="35"/>
    <cellStyle name="Normal_Financials 30sep-revised Signed copiesa" xfId="31"/>
    <cellStyle name="Normal_Financials 30sep-revised Signed copiesa 2" xfId="32"/>
    <cellStyle name="Normal_FS-2002-Notes" xfId="37"/>
    <cellStyle name="Normal_ifrs t" xfId="6"/>
    <cellStyle name="Normal_relaterdpart" xfId="10"/>
    <cellStyle name="Percent" xfId="21" builtinId="5"/>
    <cellStyle name="Percent 2" xfId="11"/>
    <cellStyle name="Percent 6" xfId="43"/>
  </cellStyles>
  <dxfs count="188">
    <dxf>
      <fill>
        <patternFill patternType="solid">
          <fgColor rgb="FFFF0000"/>
          <bgColor rgb="FFFFFFFF"/>
        </patternFill>
      </fill>
    </dxf>
    <dxf>
      <font>
        <color rgb="FF9C0006"/>
      </font>
      <fill>
        <patternFill>
          <bgColor rgb="FFFFC7CE"/>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Book Antiqua"/>
        <scheme val="none"/>
      </font>
    </dxf>
    <dxf>
      <font>
        <b val="0"/>
        <i val="0"/>
        <strike val="0"/>
        <condense val="0"/>
        <extend val="0"/>
        <outline val="0"/>
        <shadow val="0"/>
        <u val="none"/>
        <vertAlign val="baseline"/>
        <sz val="11"/>
        <color theme="1"/>
        <name val="Book Antiqua"/>
        <scheme val="none"/>
      </font>
    </dxf>
    <dxf>
      <font>
        <b val="0"/>
        <i val="0"/>
        <strike val="0"/>
        <condense val="0"/>
        <extend val="0"/>
        <outline val="0"/>
        <shadow val="0"/>
        <u val="none"/>
        <vertAlign val="baseline"/>
        <sz val="11"/>
        <color theme="1"/>
        <name val="Book Antiqua"/>
        <scheme val="none"/>
      </font>
    </dxf>
    <dxf>
      <font>
        <b val="0"/>
        <i val="0"/>
        <strike val="0"/>
        <condense val="0"/>
        <extend val="0"/>
        <outline val="0"/>
        <shadow val="0"/>
        <u val="none"/>
        <vertAlign val="baseline"/>
        <sz val="11"/>
        <color theme="1"/>
        <name val="Book Antiqua"/>
        <scheme val="none"/>
      </font>
      <numFmt numFmtId="33" formatCode="_(* #,##0_);_(* \(#,##0\);_(* &quot;-&quot;_);_(@_)"/>
      <alignment horizontal="right" vertical="bottom" textRotation="0" wrapText="0" indent="0" justifyLastLine="0" shrinkToFit="0" readingOrder="0"/>
    </dxf>
    <dxf>
      <font>
        <b val="0"/>
        <i val="0"/>
        <strike val="0"/>
        <condense val="0"/>
        <extend val="0"/>
        <outline val="0"/>
        <shadow val="0"/>
        <u val="none"/>
        <vertAlign val="baseline"/>
        <sz val="11"/>
        <color theme="1"/>
        <name val="Book Antiqua"/>
        <scheme val="none"/>
      </font>
      <numFmt numFmtId="33" formatCode="_(* #,##0_);_(* \(#,##0\);_(* &quot;-&quot;_);_(@_)"/>
      <alignment horizontal="right" vertical="bottom" textRotation="0" wrapText="0" indent="0" justifyLastLine="0" shrinkToFit="0" readingOrder="0"/>
    </dxf>
    <dxf>
      <font>
        <b val="0"/>
        <i val="0"/>
        <strike val="0"/>
        <condense val="0"/>
        <extend val="0"/>
        <outline val="0"/>
        <shadow val="0"/>
        <u val="none"/>
        <vertAlign val="baseline"/>
        <sz val="11"/>
        <color theme="1"/>
        <name val="Book Antiqua"/>
        <scheme val="none"/>
      </font>
    </dxf>
    <dxf>
      <font>
        <b val="0"/>
        <i val="0"/>
        <strike val="0"/>
        <condense val="0"/>
        <extend val="0"/>
        <outline val="0"/>
        <shadow val="0"/>
        <u val="none"/>
        <vertAlign val="baseline"/>
        <sz val="11"/>
        <color theme="1"/>
        <name val="Book Antiqua"/>
        <scheme val="none"/>
      </font>
    </dxf>
    <dxf>
      <font>
        <b val="0"/>
        <i val="0"/>
        <strike val="0"/>
        <condense val="0"/>
        <extend val="0"/>
        <outline val="0"/>
        <shadow val="0"/>
        <u val="none"/>
        <vertAlign val="baseline"/>
        <sz val="11"/>
        <color theme="1"/>
        <name val="Book Antiqua"/>
        <scheme val="none"/>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Book Antiqua"/>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000000"/>
        <name val="Book Antiqua"/>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Book Antiqua"/>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3"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3"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19" formatCode="m/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171" formatCode="_ * #,##0_ ;_ * \-#,##0_ ;_ * &quot;-&quot;??_ ;_ @_ "/>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Book Antiqua"/>
        <scheme val="none"/>
      </font>
      <numFmt numFmtId="171" formatCode="_ * #,##0_ ;_ * \-#,##0_ ;_ * &quot;-&quot;??_ ;_ @_ "/>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00"/>
        <name val="Book Antiqua"/>
        <scheme val="none"/>
      </font>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Book Antiqua"/>
        <scheme val="none"/>
      </font>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name val="Book Antiqua"/>
        <scheme val="none"/>
      </font>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5" formatCode="_(* #,##0.00_);_(* \(#,##0.0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5" formatCode="_(* #,##0.00_);_(* \(#,##0.0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numFmt numFmtId="33"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5" formatCode="_(* #,##0.00_);_(* \(#,##0.0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5" formatCode="_(* #,##0.00_);_(* \(#,##0.0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5" formatCode="_(* #,##0.00_);_(* \(#,##0.0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Book Antiqu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Book Antiqu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Book Antiqua"/>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Book Antiqua"/>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scheme val="none"/>
      </font>
      <numFmt numFmtId="33" formatCode="_(* #,##0_);_(* \(#,##0\);_(* &quot;-&quot;_);_(@_)"/>
      <alignment horizontal="center" vertical="bottom"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1"/>
        <name val="Book Antiqua"/>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00"/>
        <name val="Book Antiqua"/>
        <scheme val="none"/>
      </font>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strike val="0"/>
        <outline val="0"/>
        <shadow val="0"/>
        <u val="none"/>
        <vertAlign val="baseline"/>
        <sz val="11"/>
        <name val="Book Antiqua"/>
        <scheme val="none"/>
      </font>
      <numFmt numFmtId="0" formatCode="General"/>
      <border diagonalUp="0" diagonalDown="0">
        <left style="thin">
          <color indexed="64"/>
        </left>
        <right style="thin">
          <color indexed="64"/>
        </right>
        <top style="thin">
          <color indexed="64"/>
        </top>
        <bottom/>
        <vertical/>
        <horizontal/>
      </border>
    </dxf>
    <dxf>
      <font>
        <strike val="0"/>
        <outline val="0"/>
        <shadow val="0"/>
        <u val="none"/>
        <vertAlign val="baseline"/>
        <sz val="11"/>
        <name val="Book Antiqua"/>
        <scheme val="none"/>
      </font>
      <numFmt numFmtId="0" formatCode="General"/>
    </dxf>
    <dxf>
      <font>
        <strike val="0"/>
        <outline val="0"/>
        <shadow val="0"/>
        <u val="none"/>
        <vertAlign val="baseline"/>
        <sz val="11"/>
        <name val="Book Antiqua"/>
        <scheme val="none"/>
      </font>
      <numFmt numFmtId="0" formatCode="General"/>
    </dxf>
    <dxf>
      <font>
        <strike val="0"/>
        <outline val="0"/>
        <shadow val="0"/>
        <u val="none"/>
        <vertAlign val="baseline"/>
        <sz val="11"/>
        <name val="Book Antiqua"/>
        <scheme val="none"/>
      </font>
      <numFmt numFmtId="0" formatCode="General"/>
    </dxf>
    <dxf>
      <font>
        <b val="0"/>
        <i val="0"/>
        <strike val="0"/>
        <condense val="0"/>
        <extend val="0"/>
        <outline val="0"/>
        <shadow val="0"/>
        <u val="none"/>
        <vertAlign val="baseline"/>
        <sz val="11"/>
        <color theme="1"/>
        <name val="Book Antiqua"/>
        <scheme val="none"/>
      </font>
    </dxf>
    <dxf>
      <font>
        <b val="0"/>
        <i val="0"/>
        <strike val="0"/>
        <condense val="0"/>
        <extend val="0"/>
        <outline val="0"/>
        <shadow val="0"/>
        <u val="none"/>
        <vertAlign val="baseline"/>
        <sz val="11"/>
        <color theme="1"/>
        <name val="Book Antiqua"/>
        <scheme val="none"/>
      </font>
    </dxf>
    <dxf>
      <font>
        <strike val="0"/>
        <outline val="0"/>
        <shadow val="0"/>
        <u val="none"/>
        <vertAlign val="baseline"/>
        <sz val="11"/>
        <name val="Book Antiqua"/>
        <scheme val="none"/>
      </font>
      <numFmt numFmtId="0" formatCode="General"/>
    </dxf>
    <dxf>
      <font>
        <strike val="0"/>
        <outline val="0"/>
        <shadow val="0"/>
        <u val="none"/>
        <vertAlign val="baseline"/>
        <sz val="11"/>
        <name val="Book Antiqua"/>
        <scheme val="none"/>
      </font>
      <numFmt numFmtId="0" formatCode="General"/>
    </dxf>
    <dxf>
      <font>
        <strike val="0"/>
        <outline val="0"/>
        <shadow val="0"/>
        <u val="none"/>
        <vertAlign val="baseline"/>
        <sz val="11"/>
        <name val="Book Antiqua"/>
        <scheme val="none"/>
      </font>
      <numFmt numFmtId="0" formatCode="General"/>
    </dxf>
    <dxf>
      <fill>
        <patternFill patternType="none">
          <fgColor indexed="64"/>
          <bgColor auto="1"/>
        </patternFill>
      </fill>
      <border diagonalUp="0" diagonalDown="0" outline="0">
        <left style="thin">
          <color indexed="64"/>
        </left>
        <right style="thin">
          <color indexed="64"/>
        </right>
        <top/>
        <bottom/>
      </border>
    </dxf>
    <dxf>
      <font>
        <strike val="0"/>
        <outline val="0"/>
        <shadow val="0"/>
        <u val="none"/>
        <vertAlign val="baseline"/>
        <sz val="11"/>
        <name val="Book Antiqua"/>
        <scheme val="none"/>
      </font>
    </dxf>
    <dxf>
      <font>
        <b/>
        <i val="0"/>
        <strike val="0"/>
        <condense val="0"/>
        <extend val="0"/>
        <outline val="0"/>
        <shadow val="0"/>
        <u val="none"/>
        <vertAlign val="baseline"/>
        <sz val="11"/>
        <color theme="0"/>
        <name val="Book Antiqua"/>
        <scheme val="none"/>
      </font>
      <fill>
        <patternFill patternType="solid">
          <fgColor indexed="64"/>
          <bgColor rgb="FF002060"/>
        </patternFill>
      </fill>
      <alignment horizontal="center" vertical="center" textRotation="0" wrapText="1" indent="0" justifyLastLine="0" shrinkToFit="0" readingOrder="0"/>
    </dxf>
    <dxf>
      <font>
        <strike val="0"/>
        <outline val="0"/>
        <shadow val="0"/>
        <u val="none"/>
        <vertAlign val="baseline"/>
        <sz val="11"/>
        <name val="Book Antiqua"/>
        <scheme val="none"/>
      </font>
    </dxf>
    <dxf>
      <font>
        <strike val="0"/>
        <outline val="0"/>
        <shadow val="0"/>
        <u val="none"/>
        <vertAlign val="baseline"/>
        <sz val="11"/>
        <name val="Book Antiqua"/>
        <scheme val="none"/>
      </font>
      <numFmt numFmtId="33" formatCode="_(* #,##0_);_(* \(#,##0\);_(* &quot;-&quot;_);_(@_)"/>
    </dxf>
    <dxf>
      <font>
        <strike val="0"/>
        <outline val="0"/>
        <shadow val="0"/>
        <u val="none"/>
        <vertAlign val="baseline"/>
        <sz val="11"/>
        <name val="Book Antiqua"/>
        <scheme val="none"/>
      </font>
      <numFmt numFmtId="33" formatCode="_(* #,##0_);_(* \(#,##0\);_(* &quot;-&quot;_);_(@_)"/>
    </dxf>
    <dxf>
      <font>
        <strike val="0"/>
        <outline val="0"/>
        <shadow val="0"/>
        <u val="none"/>
        <vertAlign val="baseline"/>
        <sz val="11"/>
        <name val="Book Antiqua"/>
        <scheme val="none"/>
      </font>
    </dxf>
    <dxf>
      <font>
        <strike val="0"/>
        <outline val="0"/>
        <shadow val="0"/>
        <u val="none"/>
        <vertAlign val="baseline"/>
        <sz val="11"/>
        <name val="Book Antiqua"/>
        <scheme val="none"/>
      </font>
    </dxf>
    <dxf>
      <font>
        <strike val="0"/>
        <outline val="0"/>
        <shadow val="0"/>
        <u val="none"/>
        <vertAlign val="baseline"/>
        <sz val="11"/>
        <name val="Book Antiqua"/>
        <scheme val="none"/>
      </font>
    </dxf>
    <dxf>
      <font>
        <strike val="0"/>
        <outline val="0"/>
        <shadow val="0"/>
        <u val="none"/>
        <vertAlign val="baseline"/>
        <sz val="11"/>
        <name val="Book Antiqua"/>
        <scheme val="none"/>
      </font>
    </dxf>
    <dxf>
      <font>
        <strike val="0"/>
        <outline val="0"/>
        <shadow val="0"/>
        <u val="none"/>
        <vertAlign val="baseline"/>
        <sz val="11"/>
        <name val="Book Antiqua"/>
        <scheme val="none"/>
      </font>
    </dxf>
    <dxf>
      <border outline="0">
        <top style="thin">
          <color indexed="64"/>
        </top>
      </border>
    </dxf>
    <dxf>
      <font>
        <strike val="0"/>
        <outline val="0"/>
        <shadow val="0"/>
        <u val="none"/>
        <vertAlign val="baseline"/>
        <sz val="11"/>
        <name val="Book Antiqua"/>
        <scheme val="none"/>
      </font>
    </dxf>
    <dxf>
      <border outline="0">
        <bottom style="thin">
          <color indexed="64"/>
        </bottom>
      </border>
    </dxf>
    <dxf>
      <font>
        <b/>
        <i val="0"/>
        <strike val="0"/>
        <condense val="0"/>
        <extend val="0"/>
        <outline val="0"/>
        <shadow val="0"/>
        <u val="none"/>
        <vertAlign val="baseline"/>
        <sz val="11"/>
        <color theme="0"/>
        <name val="Book Antiqua"/>
        <scheme val="none"/>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175" formatCode="\ \ \ \ @"/>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175" formatCode="\ \ \ \ @"/>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2DCDB"/>
      <color rgb="FF0027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connections" Target="connections.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3.png"/><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3.png"/><Relationship Id="rId4" Type="http://schemas.openxmlformats.org/officeDocument/2006/relationships/image" Target="../media/image4.svg"/></Relationships>
</file>

<file path=xl/drawings/_rels/drawing6.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7.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8.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9.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0.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1.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2.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3.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4.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5.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6.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7.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8.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20.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3.png"/><Relationship Id="rId4" Type="http://schemas.openxmlformats.org/officeDocument/2006/relationships/image" Target="../media/image4.svg"/></Relationships>
</file>

<file path=xl/drawings/_rels/drawing23.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24.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25.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drawing1.xml><?xml version="1.0" encoding="utf-8"?>
<xdr:wsDr xmlns:xdr="http://schemas.openxmlformats.org/drawingml/2006/spreadsheetDrawing" xmlns:a="http://schemas.openxmlformats.org/drawingml/2006/main">
  <xdr:twoCellAnchor editAs="absolute">
    <xdr:from>
      <xdr:col>14</xdr:col>
      <xdr:colOff>464344</xdr:colOff>
      <xdr:row>0</xdr:row>
      <xdr:rowOff>46335</xdr:rowOff>
    </xdr:from>
    <xdr:to>
      <xdr:col>16383</xdr:col>
      <xdr:colOff>272981</xdr:colOff>
      <xdr:row>5</xdr:row>
      <xdr:rowOff>41460</xdr:rowOff>
    </xdr:to>
    <xdr:sp macro="" textlink="">
      <xdr:nvSpPr>
        <xdr:cNvPr id="2" name="Rectangle: Rounded Corners 1">
          <a:extLst>
            <a:ext uri="{FF2B5EF4-FFF2-40B4-BE49-F238E27FC236}">
              <a16:creationId xmlns="" xmlns:a16="http://schemas.microsoft.com/office/drawing/2014/main" id="{58482011-7B95-43A2-9727-8A75D3539049}"/>
            </a:ext>
          </a:extLst>
        </xdr:cNvPr>
        <xdr:cNvSpPr/>
      </xdr:nvSpPr>
      <xdr:spPr>
        <a:xfrm>
          <a:off x="13373100" y="46335"/>
          <a:ext cx="4061550" cy="90000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u="none">
              <a:solidFill>
                <a:schemeClr val="tx2">
                  <a:lumMod val="75000"/>
                </a:schemeClr>
              </a:solidFill>
              <a:latin typeface="Book Antiqua" panose="02040602050305030304" pitchFamily="18" charset="0"/>
            </a:rPr>
            <a:t>Prepared By : </a:t>
          </a:r>
          <a:br>
            <a:rPr lang="en-IN" sz="1100" u="none">
              <a:solidFill>
                <a:schemeClr val="tx2">
                  <a:lumMod val="75000"/>
                </a:schemeClr>
              </a:solidFill>
              <a:latin typeface="Book Antiqua" panose="02040602050305030304" pitchFamily="18" charset="0"/>
            </a:rPr>
          </a:br>
          <a:r>
            <a:rPr lang="en-IN" sz="1100" u="none">
              <a:solidFill>
                <a:schemeClr val="tx2">
                  <a:lumMod val="75000"/>
                </a:schemeClr>
              </a:solidFill>
              <a:latin typeface="Book Antiqua" panose="02040602050305030304" pitchFamily="18" charset="0"/>
            </a:rPr>
            <a:t>Madhur Lahoti (94053 90860, madhur.lahoti9@gmail.com)</a:t>
          </a:r>
          <a:br>
            <a:rPr lang="en-IN" sz="1100" u="none">
              <a:solidFill>
                <a:schemeClr val="tx2">
                  <a:lumMod val="75000"/>
                </a:schemeClr>
              </a:solidFill>
              <a:latin typeface="Book Antiqua" panose="02040602050305030304" pitchFamily="18" charset="0"/>
            </a:rPr>
          </a:br>
          <a:r>
            <a:rPr lang="en-IN" sz="1100" u="none">
              <a:solidFill>
                <a:schemeClr val="tx2">
                  <a:lumMod val="75000"/>
                </a:schemeClr>
              </a:solidFill>
              <a:latin typeface="Book Antiqua" panose="02040602050305030304" pitchFamily="18" charset="0"/>
            </a:rPr>
            <a:t>Aryan Raikar (84216 91426, aryanraikar2006@gmail.com)</a:t>
          </a:r>
          <a:br>
            <a:rPr lang="en-IN" sz="1100" u="none">
              <a:solidFill>
                <a:schemeClr val="tx2">
                  <a:lumMod val="75000"/>
                </a:schemeClr>
              </a:solidFill>
              <a:latin typeface="Book Antiqua" panose="02040602050305030304" pitchFamily="18" charset="0"/>
            </a:rPr>
          </a:br>
          <a:r>
            <a:rPr lang="en-IN" sz="1100" u="none">
              <a:solidFill>
                <a:schemeClr val="tx2">
                  <a:lumMod val="75000"/>
                </a:schemeClr>
              </a:solidFill>
              <a:latin typeface="Book Antiqua" panose="02040602050305030304" pitchFamily="18" charset="0"/>
            </a:rPr>
            <a:t>Anurag</a:t>
          </a:r>
          <a:r>
            <a:rPr lang="en-IN" sz="1100" u="none" baseline="0">
              <a:solidFill>
                <a:schemeClr val="tx2">
                  <a:lumMod val="75000"/>
                </a:schemeClr>
              </a:solidFill>
              <a:latin typeface="Book Antiqua" panose="02040602050305030304" pitchFamily="18" charset="0"/>
            </a:rPr>
            <a:t> Birla (7038540385  </a:t>
          </a:r>
        </a:p>
      </xdr:txBody>
    </xdr:sp>
    <xdr:clientData/>
  </xdr:twoCellAnchor>
  <xdr:twoCellAnchor editAs="absolute">
    <xdr:from>
      <xdr:col>1</xdr:col>
      <xdr:colOff>24675</xdr:colOff>
      <xdr:row>1</xdr:row>
      <xdr:rowOff>0</xdr:rowOff>
    </xdr:from>
    <xdr:to>
      <xdr:col>2</xdr:col>
      <xdr:colOff>3074194</xdr:colOff>
      <xdr:row>4</xdr:row>
      <xdr:rowOff>103485</xdr:rowOff>
    </xdr:to>
    <xdr:sp macro="" textlink="">
      <xdr:nvSpPr>
        <xdr:cNvPr id="15" name="Rectangle: Rounded Corners 14">
          <a:extLst>
            <a:ext uri="{FF2B5EF4-FFF2-40B4-BE49-F238E27FC236}">
              <a16:creationId xmlns="" xmlns:a16="http://schemas.microsoft.com/office/drawing/2014/main" id="{65691DA2-771F-43E4-B452-6FE32ADC7D87}"/>
            </a:ext>
          </a:extLst>
        </xdr:cNvPr>
        <xdr:cNvSpPr/>
      </xdr:nvSpPr>
      <xdr:spPr>
        <a:xfrm>
          <a:off x="281850" y="180975"/>
          <a:ext cx="5814150" cy="64641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u="none">
              <a:solidFill>
                <a:schemeClr val="tx2">
                  <a:lumMod val="75000"/>
                </a:schemeClr>
              </a:solidFill>
              <a:latin typeface="Book Antiqua" panose="02040602050305030304" pitchFamily="18" charset="0"/>
            </a:rPr>
            <a:t>Financial Statements Utility</a:t>
          </a:r>
          <a:r>
            <a:rPr lang="en-IN" sz="3200" u="none" baseline="0">
              <a:solidFill>
                <a:schemeClr val="tx2">
                  <a:lumMod val="75000"/>
                </a:schemeClr>
              </a:solidFill>
              <a:latin typeface="Book Antiqua" panose="02040602050305030304" pitchFamily="18" charset="0"/>
            </a:rPr>
            <a:t> </a:t>
          </a:r>
          <a:endParaRPr lang="en-IN" sz="1100" u="none" baseline="0">
            <a:solidFill>
              <a:schemeClr val="tx2">
                <a:lumMod val="75000"/>
              </a:schemeClr>
            </a:solidFill>
            <a:latin typeface="Book Antiqua" panose="0204060205030503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133349</xdr:colOff>
      <xdr:row>0</xdr:row>
      <xdr:rowOff>0</xdr:rowOff>
    </xdr:from>
    <xdr:to>
      <xdr:col>1</xdr:col>
      <xdr:colOff>438149</xdr:colOff>
      <xdr:row>0</xdr:row>
      <xdr:rowOff>157163</xdr:rowOff>
    </xdr:to>
    <xdr:pic macro="[0]!HowToStart.HowToStart">
      <xdr:nvPicPr>
        <xdr:cNvPr id="18" name="Graphic 17" descr="Shortcuts">
          <a:extLst>
            <a:ext uri="{FF2B5EF4-FFF2-40B4-BE49-F238E27FC236}">
              <a16:creationId xmlns="" xmlns:a16="http://schemas.microsoft.com/office/drawing/2014/main" id="{00000000-0008-0000-04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133349" y="0"/>
          <a:ext cx="561975" cy="561975"/>
        </a:xfrm>
        <a:prstGeom prst="rect">
          <a:avLst/>
        </a:prstGeom>
      </xdr:spPr>
    </xdr:pic>
    <xdr:clientData/>
  </xdr:twoCellAnchor>
  <xdr:twoCellAnchor>
    <xdr:from>
      <xdr:col>1</xdr:col>
      <xdr:colOff>723899</xdr:colOff>
      <xdr:row>3</xdr:row>
      <xdr:rowOff>123825</xdr:rowOff>
    </xdr:from>
    <xdr:to>
      <xdr:col>1</xdr:col>
      <xdr:colOff>1343024</xdr:colOff>
      <xdr:row>5</xdr:row>
      <xdr:rowOff>28575</xdr:rowOff>
    </xdr:to>
    <xdr:sp macro="" textlink="">
      <xdr:nvSpPr>
        <xdr:cNvPr id="19" name="TextBox 18">
          <a:extLst>
            <a:ext uri="{FF2B5EF4-FFF2-40B4-BE49-F238E27FC236}">
              <a16:creationId xmlns="" xmlns:a16="http://schemas.microsoft.com/office/drawing/2014/main" id="{00000000-0008-0000-0400-000013000000}"/>
            </a:ext>
          </a:extLst>
        </xdr:cNvPr>
        <xdr:cNvSpPr txBox="1"/>
      </xdr:nvSpPr>
      <xdr:spPr>
        <a:xfrm>
          <a:off x="981074" y="666750"/>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a:ln>
                <a:noFill/>
              </a:ln>
              <a:solidFill>
                <a:schemeClr val="accent1">
                  <a:lumMod val="20000"/>
                  <a:lumOff val="80000"/>
                </a:schemeClr>
              </a:solidFill>
              <a:latin typeface="Book Antiqua" panose="02040602050305030304" pitchFamily="18" charset="0"/>
            </a:rPr>
            <a:t>Hints</a:t>
          </a:r>
          <a:endParaRPr lang="en-IN" sz="1300"/>
        </a:p>
      </xdr:txBody>
    </xdr:sp>
    <xdr:clientData/>
  </xdr:twoCellAnchor>
  <xdr:twoCellAnchor>
    <xdr:from>
      <xdr:col>1</xdr:col>
      <xdr:colOff>761999</xdr:colOff>
      <xdr:row>0</xdr:row>
      <xdr:rowOff>47625</xdr:rowOff>
    </xdr:from>
    <xdr:to>
      <xdr:col>1</xdr:col>
      <xdr:colOff>1228724</xdr:colOff>
      <xdr:row>2</xdr:row>
      <xdr:rowOff>171451</xdr:rowOff>
    </xdr:to>
    <xdr:grpSp>
      <xdr:nvGrpSpPr>
        <xdr:cNvPr id="20" name="Group 19">
          <a:extLst>
            <a:ext uri="{FF2B5EF4-FFF2-40B4-BE49-F238E27FC236}">
              <a16:creationId xmlns="" xmlns:a16="http://schemas.microsoft.com/office/drawing/2014/main" id="{00000000-0008-0000-0400-000014000000}"/>
            </a:ext>
          </a:extLst>
        </xdr:cNvPr>
        <xdr:cNvGrpSpPr/>
      </xdr:nvGrpSpPr>
      <xdr:grpSpPr>
        <a:xfrm>
          <a:off x="1012030" y="47625"/>
          <a:ext cx="466725" cy="552451"/>
          <a:chOff x="161925" y="76200"/>
          <a:chExt cx="685800" cy="666750"/>
        </a:xfrm>
      </xdr:grpSpPr>
      <xdr:sp macro="[0]!Hints.Hints" textlink="">
        <xdr:nvSpPr>
          <xdr:cNvPr id="21" name="Flowchart: Connector 20">
            <a:extLst>
              <a:ext uri="{FF2B5EF4-FFF2-40B4-BE49-F238E27FC236}">
                <a16:creationId xmlns="" xmlns:a16="http://schemas.microsoft.com/office/drawing/2014/main" id="{00000000-0008-0000-0400-000015000000}"/>
              </a:ext>
            </a:extLst>
          </xdr:cNvPr>
          <xdr:cNvSpPr/>
        </xdr:nvSpPr>
        <xdr:spPr>
          <a:xfrm>
            <a:off x="161925" y="76200"/>
            <a:ext cx="685800" cy="666750"/>
          </a:xfrm>
          <a:prstGeom prst="flowChartConnector">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Hints.Hints">
        <xdr:nvPicPr>
          <xdr:cNvPr id="22" name="Graphic 21" descr="Exclamation mark with solid fill">
            <a:extLst>
              <a:ext uri="{FF2B5EF4-FFF2-40B4-BE49-F238E27FC236}">
                <a16:creationId xmlns="" xmlns:a16="http://schemas.microsoft.com/office/drawing/2014/main" id="{00000000-0008-0000-04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219075" y="133350"/>
            <a:ext cx="581025" cy="581025"/>
          </a:xfrm>
          <a:prstGeom prst="rect">
            <a:avLst/>
          </a:prstGeom>
        </xdr:spPr>
      </xdr:pic>
    </xdr:grpSp>
    <xdr:clientData/>
  </xdr:twoCellAnchor>
  <xdr:twoCellAnchor>
    <xdr:from>
      <xdr:col>0</xdr:col>
      <xdr:colOff>0</xdr:colOff>
      <xdr:row>2</xdr:row>
      <xdr:rowOff>171449</xdr:rowOff>
    </xdr:from>
    <xdr:to>
      <xdr:col>1</xdr:col>
      <xdr:colOff>600075</xdr:colOff>
      <xdr:row>5</xdr:row>
      <xdr:rowOff>142875</xdr:rowOff>
    </xdr:to>
    <xdr:sp macro="" textlink="">
      <xdr:nvSpPr>
        <xdr:cNvPr id="23" name="TextBox 22">
          <a:extLst>
            <a:ext uri="{FF2B5EF4-FFF2-40B4-BE49-F238E27FC236}">
              <a16:creationId xmlns="" xmlns:a16="http://schemas.microsoft.com/office/drawing/2014/main" id="{00000000-0008-0000-0400-000017000000}"/>
            </a:ext>
          </a:extLst>
        </xdr:cNvPr>
        <xdr:cNvSpPr txBox="1"/>
      </xdr:nvSpPr>
      <xdr:spPr>
        <a:xfrm>
          <a:off x="0" y="533399"/>
          <a:ext cx="8572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a:ln>
                <a:noFill/>
              </a:ln>
              <a:solidFill>
                <a:schemeClr val="accent1">
                  <a:lumMod val="20000"/>
                  <a:lumOff val="80000"/>
                </a:schemeClr>
              </a:solidFill>
              <a:latin typeface="Book Antiqua" panose="02040602050305030304" pitchFamily="18" charset="0"/>
            </a:rPr>
            <a:t>How to Start</a:t>
          </a:r>
          <a:endParaRPr lang="en-IN" sz="13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133349</xdr:colOff>
      <xdr:row>0</xdr:row>
      <xdr:rowOff>0</xdr:rowOff>
    </xdr:from>
    <xdr:to>
      <xdr:col>1</xdr:col>
      <xdr:colOff>438149</xdr:colOff>
      <xdr:row>3</xdr:row>
      <xdr:rowOff>19050</xdr:rowOff>
    </xdr:to>
    <xdr:pic macro="[0]!HowToStart.HowToStart">
      <xdr:nvPicPr>
        <xdr:cNvPr id="4" name="Graphic 3" descr="Shortcuts">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133349" y="0"/>
          <a:ext cx="561975" cy="561975"/>
        </a:xfrm>
        <a:prstGeom prst="rect">
          <a:avLst/>
        </a:prstGeom>
      </xdr:spPr>
    </xdr:pic>
    <xdr:clientData/>
  </xdr:twoCellAnchor>
  <xdr:twoCellAnchor>
    <xdr:from>
      <xdr:col>1</xdr:col>
      <xdr:colOff>723899</xdr:colOff>
      <xdr:row>3</xdr:row>
      <xdr:rowOff>123825</xdr:rowOff>
    </xdr:from>
    <xdr:to>
      <xdr:col>1</xdr:col>
      <xdr:colOff>1343024</xdr:colOff>
      <xdr:row>5</xdr:row>
      <xdr:rowOff>28575</xdr:rowOff>
    </xdr:to>
    <xdr:sp macro="" textlink="">
      <xdr:nvSpPr>
        <xdr:cNvPr id="6" name="TextBox 5">
          <a:extLst>
            <a:ext uri="{FF2B5EF4-FFF2-40B4-BE49-F238E27FC236}">
              <a16:creationId xmlns="" xmlns:a16="http://schemas.microsoft.com/office/drawing/2014/main" id="{00000000-0008-0000-0000-000006000000}"/>
            </a:ext>
          </a:extLst>
        </xdr:cNvPr>
        <xdr:cNvSpPr txBox="1"/>
      </xdr:nvSpPr>
      <xdr:spPr>
        <a:xfrm>
          <a:off x="981074" y="666750"/>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a:ln>
                <a:noFill/>
              </a:ln>
              <a:solidFill>
                <a:schemeClr val="accent1">
                  <a:lumMod val="20000"/>
                  <a:lumOff val="80000"/>
                </a:schemeClr>
              </a:solidFill>
              <a:latin typeface="Book Antiqua" panose="02040602050305030304" pitchFamily="18" charset="0"/>
            </a:rPr>
            <a:t>Hints</a:t>
          </a:r>
          <a:endParaRPr lang="en-IN" sz="1300"/>
        </a:p>
      </xdr:txBody>
    </xdr:sp>
    <xdr:clientData/>
  </xdr:twoCellAnchor>
  <xdr:twoCellAnchor>
    <xdr:from>
      <xdr:col>1</xdr:col>
      <xdr:colOff>752474</xdr:colOff>
      <xdr:row>0</xdr:row>
      <xdr:rowOff>57150</xdr:rowOff>
    </xdr:from>
    <xdr:to>
      <xdr:col>1</xdr:col>
      <xdr:colOff>1219199</xdr:colOff>
      <xdr:row>3</xdr:row>
      <xdr:rowOff>1</xdr:rowOff>
    </xdr:to>
    <xdr:grpSp>
      <xdr:nvGrpSpPr>
        <xdr:cNvPr id="7" name="Group 6">
          <a:extLst>
            <a:ext uri="{FF2B5EF4-FFF2-40B4-BE49-F238E27FC236}">
              <a16:creationId xmlns="" xmlns:a16="http://schemas.microsoft.com/office/drawing/2014/main" id="{00000000-0008-0000-0000-000007000000}"/>
            </a:ext>
          </a:extLst>
        </xdr:cNvPr>
        <xdr:cNvGrpSpPr/>
      </xdr:nvGrpSpPr>
      <xdr:grpSpPr>
        <a:xfrm>
          <a:off x="1002505" y="57150"/>
          <a:ext cx="466725" cy="514351"/>
          <a:chOff x="161925" y="76200"/>
          <a:chExt cx="685800" cy="666750"/>
        </a:xfrm>
      </xdr:grpSpPr>
      <xdr:sp macro="[0]!Hints.Hints" textlink="">
        <xdr:nvSpPr>
          <xdr:cNvPr id="8" name="Flowchart: Connector 7">
            <a:extLst>
              <a:ext uri="{FF2B5EF4-FFF2-40B4-BE49-F238E27FC236}">
                <a16:creationId xmlns="" xmlns:a16="http://schemas.microsoft.com/office/drawing/2014/main" id="{00000000-0008-0000-0000-000008000000}"/>
              </a:ext>
            </a:extLst>
          </xdr:cNvPr>
          <xdr:cNvSpPr/>
        </xdr:nvSpPr>
        <xdr:spPr>
          <a:xfrm>
            <a:off x="161925" y="76200"/>
            <a:ext cx="685800" cy="666750"/>
          </a:xfrm>
          <a:prstGeom prst="flowChartConnector">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Hints.Hints">
        <xdr:nvPicPr>
          <xdr:cNvPr id="9" name="Graphic 8" descr="Exclamation mark with solid fill">
            <a:extLst>
              <a:ext uri="{FF2B5EF4-FFF2-40B4-BE49-F238E27FC236}">
                <a16:creationId xmlns="" xmlns:a16="http://schemas.microsoft.com/office/drawing/2014/main" id="{00000000-0008-0000-0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219075" y="133350"/>
            <a:ext cx="581025" cy="581025"/>
          </a:xfrm>
          <a:prstGeom prst="rect">
            <a:avLst/>
          </a:prstGeom>
        </xdr:spPr>
      </xdr:pic>
    </xdr:grpSp>
    <xdr:clientData/>
  </xdr:twoCellAnchor>
  <xdr:twoCellAnchor>
    <xdr:from>
      <xdr:col>0</xdr:col>
      <xdr:colOff>0</xdr:colOff>
      <xdr:row>2</xdr:row>
      <xdr:rowOff>171449</xdr:rowOff>
    </xdr:from>
    <xdr:to>
      <xdr:col>1</xdr:col>
      <xdr:colOff>600075</xdr:colOff>
      <xdr:row>5</xdr:row>
      <xdr:rowOff>142875</xdr:rowOff>
    </xdr:to>
    <xdr:sp macro="" textlink="">
      <xdr:nvSpPr>
        <xdr:cNvPr id="11" name="TextBox 10">
          <a:extLst>
            <a:ext uri="{FF2B5EF4-FFF2-40B4-BE49-F238E27FC236}">
              <a16:creationId xmlns="" xmlns:a16="http://schemas.microsoft.com/office/drawing/2014/main" id="{00000000-0008-0000-0000-00000B000000}"/>
            </a:ext>
          </a:extLst>
        </xdr:cNvPr>
        <xdr:cNvSpPr txBox="1"/>
      </xdr:nvSpPr>
      <xdr:spPr>
        <a:xfrm>
          <a:off x="0" y="533399"/>
          <a:ext cx="8572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a:ln>
                <a:noFill/>
              </a:ln>
              <a:solidFill>
                <a:schemeClr val="accent1">
                  <a:lumMod val="20000"/>
                  <a:lumOff val="80000"/>
                </a:schemeClr>
              </a:solidFill>
              <a:latin typeface="Book Antiqua" panose="02040602050305030304" pitchFamily="18" charset="0"/>
            </a:rPr>
            <a:t>How to Start</a:t>
          </a:r>
          <a:endParaRPr lang="en-IN" sz="1300"/>
        </a:p>
      </xdr:txBody>
    </xdr:sp>
    <xdr:clientData/>
  </xdr:twoCellAnchor>
  <xdr:twoCellAnchor editAs="absolute">
    <xdr:from>
      <xdr:col>1</xdr:col>
      <xdr:colOff>1828800</xdr:colOff>
      <xdr:row>1</xdr:row>
      <xdr:rowOff>97633</xdr:rowOff>
    </xdr:from>
    <xdr:to>
      <xdr:col>2</xdr:col>
      <xdr:colOff>697050</xdr:colOff>
      <xdr:row>4</xdr:row>
      <xdr:rowOff>94708</xdr:rowOff>
    </xdr:to>
    <xdr:sp macro="[0]!ChangeZoomTo80AndActivateA1" textlink="">
      <xdr:nvSpPr>
        <xdr:cNvPr id="3" name="Rectangle: Rounded Corners 2">
          <a:extLst>
            <a:ext uri="{FF2B5EF4-FFF2-40B4-BE49-F238E27FC236}">
              <a16:creationId xmlns="" xmlns:a16="http://schemas.microsoft.com/office/drawing/2014/main" id="{9619DF31-74AE-6DCC-F137-441728EAD4AB}"/>
            </a:ext>
          </a:extLst>
        </xdr:cNvPr>
        <xdr:cNvSpPr/>
      </xdr:nvSpPr>
      <xdr:spPr>
        <a:xfrm>
          <a:off x="2076450" y="278608"/>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Set Zoom to</a:t>
          </a:r>
          <a:r>
            <a:rPr lang="en-IN" sz="1200" b="1" baseline="0">
              <a:solidFill>
                <a:srgbClr val="002060"/>
              </a:solidFill>
              <a:effectLst/>
              <a:latin typeface="Book Antiqua" panose="02040602050305030304" pitchFamily="18" charset="0"/>
            </a:rPr>
            <a:t> 80%</a:t>
          </a:r>
          <a:endParaRPr lang="en-IN" sz="1200" b="1">
            <a:solidFill>
              <a:srgbClr val="002060"/>
            </a:solidFill>
            <a:effectLst/>
            <a:latin typeface="Book Antiqua" panose="02040602050305030304" pitchFamily="18" charset="0"/>
          </a:endParaRPr>
        </a:p>
      </xdr:txBody>
    </xdr:sp>
    <xdr:clientData/>
  </xdr:twoCellAnchor>
  <xdr:twoCellAnchor editAs="absolute">
    <xdr:from>
      <xdr:col>4</xdr:col>
      <xdr:colOff>1754802</xdr:colOff>
      <xdr:row>1</xdr:row>
      <xdr:rowOff>76200</xdr:rowOff>
    </xdr:from>
    <xdr:to>
      <xdr:col>5</xdr:col>
      <xdr:colOff>651627</xdr:colOff>
      <xdr:row>4</xdr:row>
      <xdr:rowOff>73275</xdr:rowOff>
    </xdr:to>
    <xdr:sp macro="[0]!PrintFinancials.PrintFinancials" textlink="">
      <xdr:nvSpPr>
        <xdr:cNvPr id="5" name="Rectangle: Rounded Corners 4">
          <a:extLst>
            <a:ext uri="{FF2B5EF4-FFF2-40B4-BE49-F238E27FC236}">
              <a16:creationId xmlns="" xmlns:a16="http://schemas.microsoft.com/office/drawing/2014/main" id="{9B29FD1D-525F-7C05-73BD-7734319E0833}"/>
            </a:ext>
          </a:extLst>
        </xdr:cNvPr>
        <xdr:cNvSpPr/>
      </xdr:nvSpPr>
      <xdr:spPr>
        <a:xfrm>
          <a:off x="7324545" y="257175"/>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Print</a:t>
          </a:r>
          <a:r>
            <a:rPr lang="en-IN" sz="1200" b="1" baseline="0">
              <a:solidFill>
                <a:srgbClr val="002060"/>
              </a:solidFill>
              <a:effectLst/>
              <a:latin typeface="Book Antiqua" panose="02040602050305030304" pitchFamily="18" charset="0"/>
            </a:rPr>
            <a:t> Financials</a:t>
          </a:r>
        </a:p>
      </xdr:txBody>
    </xdr:sp>
    <xdr:clientData/>
  </xdr:twoCellAnchor>
  <xdr:twoCellAnchor editAs="absolute">
    <xdr:from>
      <xdr:col>4</xdr:col>
      <xdr:colOff>5437</xdr:colOff>
      <xdr:row>1</xdr:row>
      <xdr:rowOff>83344</xdr:rowOff>
    </xdr:from>
    <xdr:to>
      <xdr:col>4</xdr:col>
      <xdr:colOff>1445437</xdr:colOff>
      <xdr:row>4</xdr:row>
      <xdr:rowOff>80419</xdr:rowOff>
    </xdr:to>
    <xdr:sp macro="[0]!HideRowsAndSelectA1ForAllSheets" textlink="">
      <xdr:nvSpPr>
        <xdr:cNvPr id="10" name="Rectangle: Rounded Corners 9">
          <a:extLst>
            <a:ext uri="{FF2B5EF4-FFF2-40B4-BE49-F238E27FC236}">
              <a16:creationId xmlns="" xmlns:a16="http://schemas.microsoft.com/office/drawing/2014/main" id="{46C0DA8A-E176-3C5D-9BC6-5E1B2CB88D3E}"/>
            </a:ext>
          </a:extLst>
        </xdr:cNvPr>
        <xdr:cNvSpPr/>
      </xdr:nvSpPr>
      <xdr:spPr>
        <a:xfrm>
          <a:off x="5575180" y="264319"/>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Prepare</a:t>
          </a:r>
          <a:r>
            <a:rPr lang="en-IN" sz="1200" b="1" baseline="0">
              <a:solidFill>
                <a:srgbClr val="002060"/>
              </a:solidFill>
              <a:effectLst/>
              <a:latin typeface="Book Antiqua" panose="02040602050305030304" pitchFamily="18" charset="0"/>
            </a:rPr>
            <a:t> For Review</a:t>
          </a:r>
          <a:endParaRPr lang="en-IN" sz="1200" b="1">
            <a:solidFill>
              <a:srgbClr val="002060"/>
            </a:solidFill>
            <a:effectLst/>
            <a:latin typeface="Book Antiqua" panose="02040602050305030304" pitchFamily="18" charset="0"/>
          </a:endParaRPr>
        </a:p>
      </xdr:txBody>
    </xdr:sp>
    <xdr:clientData/>
  </xdr:twoCellAnchor>
  <xdr:twoCellAnchor editAs="absolute">
    <xdr:from>
      <xdr:col>2</xdr:col>
      <xdr:colOff>1006415</xdr:colOff>
      <xdr:row>1</xdr:row>
      <xdr:rowOff>90488</xdr:rowOff>
    </xdr:from>
    <xdr:to>
      <xdr:col>2</xdr:col>
      <xdr:colOff>2386884</xdr:colOff>
      <xdr:row>4</xdr:row>
      <xdr:rowOff>87563</xdr:rowOff>
    </xdr:to>
    <xdr:sp macro="[0]!Refreshalldisclosures.Refreshalldisclosures" textlink="">
      <xdr:nvSpPr>
        <xdr:cNvPr id="12" name="Rectangle: Rounded Corners 11">
          <a:extLst>
            <a:ext uri="{FF2B5EF4-FFF2-40B4-BE49-F238E27FC236}">
              <a16:creationId xmlns="" xmlns:a16="http://schemas.microsoft.com/office/drawing/2014/main" id="{41E6E064-F39B-3E8E-CCD2-8895DC2FAFE0}"/>
            </a:ext>
          </a:extLst>
        </xdr:cNvPr>
        <xdr:cNvSpPr>
          <a:spLocks noChangeAspect="1"/>
        </xdr:cNvSpPr>
      </xdr:nvSpPr>
      <xdr:spPr>
        <a:xfrm>
          <a:off x="3825815" y="271463"/>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baseline="0">
              <a:solidFill>
                <a:srgbClr val="002060"/>
              </a:solidFill>
              <a:effectLst/>
              <a:latin typeface="Book Antiqua" panose="02040602050305030304" pitchFamily="18" charset="0"/>
            </a:rPr>
            <a:t>Update Diclosures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133349</xdr:colOff>
      <xdr:row>0</xdr:row>
      <xdr:rowOff>0</xdr:rowOff>
    </xdr:from>
    <xdr:to>
      <xdr:col>1</xdr:col>
      <xdr:colOff>438149</xdr:colOff>
      <xdr:row>3</xdr:row>
      <xdr:rowOff>19050</xdr:rowOff>
    </xdr:to>
    <xdr:pic macro="[0]!HowToStart.HowToStart">
      <xdr:nvPicPr>
        <xdr:cNvPr id="16" name="Graphic 15" descr="Shortcuts">
          <a:extLst>
            <a:ext uri="{FF2B5EF4-FFF2-40B4-BE49-F238E27FC236}">
              <a16:creationId xmlns="" xmlns:a16="http://schemas.microsoft.com/office/drawing/2014/main" id="{00000000-0008-0000-02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133349" y="0"/>
          <a:ext cx="561975" cy="561975"/>
        </a:xfrm>
        <a:prstGeom prst="rect">
          <a:avLst/>
        </a:prstGeom>
      </xdr:spPr>
    </xdr:pic>
    <xdr:clientData/>
  </xdr:twoCellAnchor>
  <xdr:twoCellAnchor>
    <xdr:from>
      <xdr:col>1</xdr:col>
      <xdr:colOff>723899</xdr:colOff>
      <xdr:row>3</xdr:row>
      <xdr:rowOff>123825</xdr:rowOff>
    </xdr:from>
    <xdr:to>
      <xdr:col>1</xdr:col>
      <xdr:colOff>1343024</xdr:colOff>
      <xdr:row>5</xdr:row>
      <xdr:rowOff>28575</xdr:rowOff>
    </xdr:to>
    <xdr:sp macro="" textlink="">
      <xdr:nvSpPr>
        <xdr:cNvPr id="17" name="TextBox 16">
          <a:extLst>
            <a:ext uri="{FF2B5EF4-FFF2-40B4-BE49-F238E27FC236}">
              <a16:creationId xmlns="" xmlns:a16="http://schemas.microsoft.com/office/drawing/2014/main" id="{00000000-0008-0000-0200-000011000000}"/>
            </a:ext>
          </a:extLst>
        </xdr:cNvPr>
        <xdr:cNvSpPr txBox="1"/>
      </xdr:nvSpPr>
      <xdr:spPr>
        <a:xfrm>
          <a:off x="981074" y="666750"/>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a:ln>
                <a:noFill/>
              </a:ln>
              <a:solidFill>
                <a:schemeClr val="accent1">
                  <a:lumMod val="20000"/>
                  <a:lumOff val="80000"/>
                </a:schemeClr>
              </a:solidFill>
              <a:latin typeface="Book Antiqua" panose="02040602050305030304" pitchFamily="18" charset="0"/>
            </a:rPr>
            <a:t>Hints</a:t>
          </a:r>
          <a:endParaRPr lang="en-IN" sz="1300"/>
        </a:p>
      </xdr:txBody>
    </xdr:sp>
    <xdr:clientData/>
  </xdr:twoCellAnchor>
  <xdr:twoCellAnchor>
    <xdr:from>
      <xdr:col>1</xdr:col>
      <xdr:colOff>761999</xdr:colOff>
      <xdr:row>0</xdr:row>
      <xdr:rowOff>47625</xdr:rowOff>
    </xdr:from>
    <xdr:to>
      <xdr:col>1</xdr:col>
      <xdr:colOff>1228724</xdr:colOff>
      <xdr:row>2</xdr:row>
      <xdr:rowOff>171451</xdr:rowOff>
    </xdr:to>
    <xdr:grpSp>
      <xdr:nvGrpSpPr>
        <xdr:cNvPr id="18" name="Group 17">
          <a:extLst>
            <a:ext uri="{FF2B5EF4-FFF2-40B4-BE49-F238E27FC236}">
              <a16:creationId xmlns="" xmlns:a16="http://schemas.microsoft.com/office/drawing/2014/main" id="{00000000-0008-0000-0200-000012000000}"/>
            </a:ext>
          </a:extLst>
        </xdr:cNvPr>
        <xdr:cNvGrpSpPr/>
      </xdr:nvGrpSpPr>
      <xdr:grpSpPr>
        <a:xfrm>
          <a:off x="1012030" y="47625"/>
          <a:ext cx="466725" cy="552451"/>
          <a:chOff x="161925" y="76200"/>
          <a:chExt cx="685800" cy="666750"/>
        </a:xfrm>
      </xdr:grpSpPr>
      <xdr:sp macro="[0]!Hints.Hints" textlink="">
        <xdr:nvSpPr>
          <xdr:cNvPr id="19" name="Flowchart: Connector 18">
            <a:extLst>
              <a:ext uri="{FF2B5EF4-FFF2-40B4-BE49-F238E27FC236}">
                <a16:creationId xmlns="" xmlns:a16="http://schemas.microsoft.com/office/drawing/2014/main" id="{00000000-0008-0000-0200-000013000000}"/>
              </a:ext>
            </a:extLst>
          </xdr:cNvPr>
          <xdr:cNvSpPr/>
        </xdr:nvSpPr>
        <xdr:spPr>
          <a:xfrm>
            <a:off x="161925" y="76200"/>
            <a:ext cx="685800" cy="666750"/>
          </a:xfrm>
          <a:prstGeom prst="flowChartConnector">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Hints.Hints">
        <xdr:nvPicPr>
          <xdr:cNvPr id="20" name="Graphic 19" descr="Exclamation mark with solid fill">
            <a:extLst>
              <a:ext uri="{FF2B5EF4-FFF2-40B4-BE49-F238E27FC236}">
                <a16:creationId xmlns="" xmlns:a16="http://schemas.microsoft.com/office/drawing/2014/main" id="{00000000-0008-0000-0200-00001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219075" y="133350"/>
            <a:ext cx="581025" cy="581025"/>
          </a:xfrm>
          <a:prstGeom prst="rect">
            <a:avLst/>
          </a:prstGeom>
        </xdr:spPr>
      </xdr:pic>
    </xdr:grpSp>
    <xdr:clientData/>
  </xdr:twoCellAnchor>
  <xdr:twoCellAnchor>
    <xdr:from>
      <xdr:col>0</xdr:col>
      <xdr:colOff>0</xdr:colOff>
      <xdr:row>2</xdr:row>
      <xdr:rowOff>171449</xdr:rowOff>
    </xdr:from>
    <xdr:to>
      <xdr:col>1</xdr:col>
      <xdr:colOff>600075</xdr:colOff>
      <xdr:row>5</xdr:row>
      <xdr:rowOff>142875</xdr:rowOff>
    </xdr:to>
    <xdr:sp macro="" textlink="">
      <xdr:nvSpPr>
        <xdr:cNvPr id="21" name="TextBox 20">
          <a:extLst>
            <a:ext uri="{FF2B5EF4-FFF2-40B4-BE49-F238E27FC236}">
              <a16:creationId xmlns="" xmlns:a16="http://schemas.microsoft.com/office/drawing/2014/main" id="{00000000-0008-0000-0200-000015000000}"/>
            </a:ext>
          </a:extLst>
        </xdr:cNvPr>
        <xdr:cNvSpPr txBox="1"/>
      </xdr:nvSpPr>
      <xdr:spPr>
        <a:xfrm>
          <a:off x="0" y="533399"/>
          <a:ext cx="8572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a:ln>
                <a:noFill/>
              </a:ln>
              <a:solidFill>
                <a:schemeClr val="accent1">
                  <a:lumMod val="20000"/>
                  <a:lumOff val="80000"/>
                </a:schemeClr>
              </a:solidFill>
              <a:latin typeface="Book Antiqua" panose="02040602050305030304" pitchFamily="18" charset="0"/>
            </a:rPr>
            <a:t>How to Start</a:t>
          </a:r>
          <a:endParaRPr lang="en-IN" sz="1300"/>
        </a:p>
      </xdr:txBody>
    </xdr:sp>
    <xdr:clientData/>
  </xdr:twoCellAnchor>
  <xdr:twoCellAnchor editAs="absolute">
    <xdr:from>
      <xdr:col>2</xdr:col>
      <xdr:colOff>2088356</xdr:colOff>
      <xdr:row>1</xdr:row>
      <xdr:rowOff>57150</xdr:rowOff>
    </xdr:from>
    <xdr:to>
      <xdr:col>3</xdr:col>
      <xdr:colOff>1173956</xdr:colOff>
      <xdr:row>3</xdr:row>
      <xdr:rowOff>178050</xdr:rowOff>
    </xdr:to>
    <xdr:sp macro="[0]!ImportRefreshTB.ImportRefreshTB" textlink="">
      <xdr:nvSpPr>
        <xdr:cNvPr id="2" name="Rectangle: Rounded Corners 1">
          <a:extLst>
            <a:ext uri="{FF2B5EF4-FFF2-40B4-BE49-F238E27FC236}">
              <a16:creationId xmlns="" xmlns:a16="http://schemas.microsoft.com/office/drawing/2014/main" id="{00000000-0008-0000-0200-000002000000}"/>
            </a:ext>
          </a:extLst>
        </xdr:cNvPr>
        <xdr:cNvSpPr>
          <a:spLocks noChangeAspect="1"/>
        </xdr:cNvSpPr>
      </xdr:nvSpPr>
      <xdr:spPr>
        <a:xfrm>
          <a:off x="4210050" y="266700"/>
          <a:ext cx="1514475"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Import TB</a:t>
          </a:r>
        </a:p>
      </xdr:txBody>
    </xdr:sp>
    <xdr:clientData/>
  </xdr:twoCellAnchor>
  <xdr:twoCellAnchor editAs="absolute">
    <xdr:from>
      <xdr:col>2</xdr:col>
      <xdr:colOff>271462</xdr:colOff>
      <xdr:row>1</xdr:row>
      <xdr:rowOff>57150</xdr:rowOff>
    </xdr:from>
    <xdr:to>
      <xdr:col>2</xdr:col>
      <xdr:colOff>1670981</xdr:colOff>
      <xdr:row>3</xdr:row>
      <xdr:rowOff>178050</xdr:rowOff>
    </xdr:to>
    <xdr:sp macro="[0]!CYtoPY.CYtoPY" textlink="">
      <xdr:nvSpPr>
        <xdr:cNvPr id="3" name="Rectangle: Rounded Corners 2">
          <a:extLst>
            <a:ext uri="{FF2B5EF4-FFF2-40B4-BE49-F238E27FC236}">
              <a16:creationId xmlns="" xmlns:a16="http://schemas.microsoft.com/office/drawing/2014/main" id="{00000000-0008-0000-0200-000003000000}"/>
            </a:ext>
          </a:extLst>
        </xdr:cNvPr>
        <xdr:cNvSpPr>
          <a:spLocks noChangeAspect="1"/>
        </xdr:cNvSpPr>
      </xdr:nvSpPr>
      <xdr:spPr>
        <a:xfrm>
          <a:off x="2085975" y="266700"/>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Move CY</a:t>
          </a:r>
          <a:r>
            <a:rPr lang="en-IN" sz="1200" b="1" baseline="0">
              <a:solidFill>
                <a:srgbClr val="002060"/>
              </a:solidFill>
              <a:effectLst/>
              <a:latin typeface="Book Antiqua" panose="02040602050305030304" pitchFamily="18" charset="0"/>
            </a:rPr>
            <a:t> To PY</a:t>
          </a:r>
          <a:endParaRPr lang="en-IN" sz="1200" b="1">
            <a:solidFill>
              <a:srgbClr val="002060"/>
            </a:solidFill>
            <a:effectLst/>
            <a:latin typeface="Book Antiqua" panose="0204060205030503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1112973</xdr:colOff>
      <xdr:row>1</xdr:row>
      <xdr:rowOff>0</xdr:rowOff>
    </xdr:from>
    <xdr:to>
      <xdr:col>3</xdr:col>
      <xdr:colOff>2413453</xdr:colOff>
      <xdr:row>3</xdr:row>
      <xdr:rowOff>106136</xdr:rowOff>
    </xdr:to>
    <xdr:sp macro="[0]!HideUnhideRows_I.UnhideRows" textlink="">
      <xdr:nvSpPr>
        <xdr:cNvPr id="4" name="Rectangle 3">
          <a:extLst>
            <a:ext uri="{FF2B5EF4-FFF2-40B4-BE49-F238E27FC236}">
              <a16:creationId xmlns="" xmlns:a16="http://schemas.microsoft.com/office/drawing/2014/main" id="{00000000-0008-0000-0600-000004000000}"/>
            </a:ext>
          </a:extLst>
        </xdr:cNvPr>
        <xdr:cNvSpPr/>
      </xdr:nvSpPr>
      <xdr:spPr>
        <a:xfrm>
          <a:off x="1846398" y="180975"/>
          <a:ext cx="1300480" cy="46808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0</xdr:colOff>
      <xdr:row>1</xdr:row>
      <xdr:rowOff>0</xdr:rowOff>
    </xdr:from>
    <xdr:to>
      <xdr:col>3</xdr:col>
      <xdr:colOff>818333</xdr:colOff>
      <xdr:row>3</xdr:row>
      <xdr:rowOff>106136</xdr:rowOff>
    </xdr:to>
    <xdr:sp macro="[0]!HideUnhideRows_I.HideRows" textlink="">
      <xdr:nvSpPr>
        <xdr:cNvPr id="5" name="Rectangle 4">
          <a:extLst>
            <a:ext uri="{FF2B5EF4-FFF2-40B4-BE49-F238E27FC236}">
              <a16:creationId xmlns="" xmlns:a16="http://schemas.microsoft.com/office/drawing/2014/main" id="{00000000-0008-0000-0600-000005000000}"/>
            </a:ext>
          </a:extLst>
        </xdr:cNvPr>
        <xdr:cNvSpPr/>
      </xdr:nvSpPr>
      <xdr:spPr>
        <a:xfrm>
          <a:off x="247650" y="180975"/>
          <a:ext cx="1304108" cy="46808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855798</xdr:colOff>
      <xdr:row>0</xdr:row>
      <xdr:rowOff>133350</xdr:rowOff>
    </xdr:from>
    <xdr:to>
      <xdr:col>3</xdr:col>
      <xdr:colOff>2156278</xdr:colOff>
      <xdr:row>3</xdr:row>
      <xdr:rowOff>58511</xdr:rowOff>
    </xdr:to>
    <xdr:sp macro="[0]!HideUnhideRows_I.UnhideRows" textlink="">
      <xdr:nvSpPr>
        <xdr:cNvPr id="2" name="Rectangle 1">
          <a:extLst>
            <a:ext uri="{FF2B5EF4-FFF2-40B4-BE49-F238E27FC236}">
              <a16:creationId xmlns="" xmlns:a16="http://schemas.microsoft.com/office/drawing/2014/main" id="{00000000-0008-0000-0700-000002000000}"/>
            </a:ext>
          </a:extLst>
        </xdr:cNvPr>
        <xdr:cNvSpPr/>
      </xdr:nvSpPr>
      <xdr:spPr>
        <a:xfrm>
          <a:off x="1827348" y="133350"/>
          <a:ext cx="1300480" cy="46808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0</xdr:col>
      <xdr:colOff>228600</xdr:colOff>
      <xdr:row>0</xdr:row>
      <xdr:rowOff>133350</xdr:rowOff>
    </xdr:from>
    <xdr:to>
      <xdr:col>3</xdr:col>
      <xdr:colOff>561158</xdr:colOff>
      <xdr:row>3</xdr:row>
      <xdr:rowOff>58511</xdr:rowOff>
    </xdr:to>
    <xdr:sp macro="[0]!HideUnhideRows_I.HideRows" textlink="">
      <xdr:nvSpPr>
        <xdr:cNvPr id="3" name="Rectangle 2">
          <a:extLst>
            <a:ext uri="{FF2B5EF4-FFF2-40B4-BE49-F238E27FC236}">
              <a16:creationId xmlns="" xmlns:a16="http://schemas.microsoft.com/office/drawing/2014/main" id="{00000000-0008-0000-0700-000003000000}"/>
            </a:ext>
          </a:extLst>
        </xdr:cNvPr>
        <xdr:cNvSpPr/>
      </xdr:nvSpPr>
      <xdr:spPr>
        <a:xfrm>
          <a:off x="228600" y="133350"/>
          <a:ext cx="1304108" cy="46808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twoCellAnchor>
    <xdr:from>
      <xdr:col>1</xdr:col>
      <xdr:colOff>0</xdr:colOff>
      <xdr:row>3</xdr:row>
      <xdr:rowOff>123825</xdr:rowOff>
    </xdr:from>
    <xdr:to>
      <xdr:col>3</xdr:col>
      <xdr:colOff>59530</xdr:colOff>
      <xdr:row>6</xdr:row>
      <xdr:rowOff>135246</xdr:rowOff>
    </xdr:to>
    <xdr:sp macro="" textlink="">
      <xdr:nvSpPr>
        <xdr:cNvPr id="4" name="Oval 3">
          <a:hlinkClick xmlns:r="http://schemas.openxmlformats.org/officeDocument/2006/relationships" r:id="rId1" tooltip="Balance Sheet"/>
          <a:extLst>
            <a:ext uri="{FF2B5EF4-FFF2-40B4-BE49-F238E27FC236}">
              <a16:creationId xmlns="" xmlns:a16="http://schemas.microsoft.com/office/drawing/2014/main" id="{AB526251-921A-4451-AA3E-83F2138D2CEC}"/>
            </a:ext>
          </a:extLst>
        </xdr:cNvPr>
        <xdr:cNvSpPr/>
      </xdr:nvSpPr>
      <xdr:spPr>
        <a:xfrm>
          <a:off x="247650" y="666750"/>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3</xdr:col>
      <xdr:colOff>237424</xdr:colOff>
      <xdr:row>3</xdr:row>
      <xdr:rowOff>126691</xdr:rowOff>
    </xdr:from>
    <xdr:to>
      <xdr:col>3</xdr:col>
      <xdr:colOff>1072823</xdr:colOff>
      <xdr:row>6</xdr:row>
      <xdr:rowOff>138112</xdr:rowOff>
    </xdr:to>
    <xdr:sp macro="" textlink="">
      <xdr:nvSpPr>
        <xdr:cNvPr id="5" name="Oval 4">
          <a:hlinkClick xmlns:r="http://schemas.openxmlformats.org/officeDocument/2006/relationships" r:id="rId2" tooltip="Balance Sheet"/>
          <a:extLst>
            <a:ext uri="{FF2B5EF4-FFF2-40B4-BE49-F238E27FC236}">
              <a16:creationId xmlns="" xmlns:a16="http://schemas.microsoft.com/office/drawing/2014/main" id="{D27791B0-EA8F-4947-AEE3-69BB4FE3FF67}"/>
            </a:ext>
          </a:extLst>
        </xdr:cNvPr>
        <xdr:cNvSpPr/>
      </xdr:nvSpPr>
      <xdr:spPr>
        <a:xfrm>
          <a:off x="1208974" y="66961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3</xdr:col>
      <xdr:colOff>1293580</xdr:colOff>
      <xdr:row>3</xdr:row>
      <xdr:rowOff>125326</xdr:rowOff>
    </xdr:from>
    <xdr:to>
      <xdr:col>3</xdr:col>
      <xdr:colOff>2128979</xdr:colOff>
      <xdr:row>6</xdr:row>
      <xdr:rowOff>136747</xdr:rowOff>
    </xdr:to>
    <xdr:sp macro="" textlink="">
      <xdr:nvSpPr>
        <xdr:cNvPr id="6" name="Oval 5">
          <a:hlinkClick xmlns:r="http://schemas.openxmlformats.org/officeDocument/2006/relationships" r:id="rId3" tooltip="Balance Sheet"/>
          <a:extLst>
            <a:ext uri="{FF2B5EF4-FFF2-40B4-BE49-F238E27FC236}">
              <a16:creationId xmlns="" xmlns:a16="http://schemas.microsoft.com/office/drawing/2014/main" id="{21208A14-936E-4987-A11D-BF1EAC268B8C}"/>
            </a:ext>
          </a:extLst>
        </xdr:cNvPr>
        <xdr:cNvSpPr/>
      </xdr:nvSpPr>
      <xdr:spPr>
        <a:xfrm>
          <a:off x="2265130" y="66825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3</xdr:row>
      <xdr:rowOff>0</xdr:rowOff>
    </xdr:from>
    <xdr:to>
      <xdr:col>3</xdr:col>
      <xdr:colOff>173830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4639280B-4A34-4ED3-AA11-8C1B328499F3}"/>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3</xdr:col>
      <xdr:colOff>351724</xdr:colOff>
      <xdr:row>3</xdr:row>
      <xdr:rowOff>2866</xdr:rowOff>
    </xdr:from>
    <xdr:to>
      <xdr:col>3</xdr:col>
      <xdr:colOff>1187123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0C38630A-8DAC-4294-BBD7-0297CF92674B}"/>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3</xdr:col>
      <xdr:colOff>1407880</xdr:colOff>
      <xdr:row>3</xdr:row>
      <xdr:rowOff>1501</xdr:rowOff>
    </xdr:from>
    <xdr:to>
      <xdr:col>3</xdr:col>
      <xdr:colOff>2243279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E87147C7-D1A0-44BA-871E-C69845B43C4A}"/>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3</xdr:row>
      <xdr:rowOff>76200</xdr:rowOff>
    </xdr:from>
    <xdr:to>
      <xdr:col>3</xdr:col>
      <xdr:colOff>373855</xdr:colOff>
      <xdr:row>6</xdr:row>
      <xdr:rowOff>87621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EEE786BF-82C4-432E-A05C-9DEE6E1ACE3B}"/>
            </a:ext>
          </a:extLst>
        </xdr:cNvPr>
        <xdr:cNvSpPr/>
      </xdr:nvSpPr>
      <xdr:spPr>
        <a:xfrm>
          <a:off x="247650" y="6191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3</xdr:col>
      <xdr:colOff>551749</xdr:colOff>
      <xdr:row>3</xdr:row>
      <xdr:rowOff>79066</xdr:rowOff>
    </xdr:from>
    <xdr:to>
      <xdr:col>3</xdr:col>
      <xdr:colOff>1387148</xdr:colOff>
      <xdr:row>6</xdr:row>
      <xdr:rowOff>90487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DBCCE31E-B587-4C60-9D05-6BCD4F2B46C8}"/>
            </a:ext>
          </a:extLst>
        </xdr:cNvPr>
        <xdr:cNvSpPr/>
      </xdr:nvSpPr>
      <xdr:spPr>
        <a:xfrm>
          <a:off x="1208974" y="6219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3</xdr:col>
      <xdr:colOff>1607905</xdr:colOff>
      <xdr:row>3</xdr:row>
      <xdr:rowOff>77701</xdr:rowOff>
    </xdr:from>
    <xdr:to>
      <xdr:col>3</xdr:col>
      <xdr:colOff>2443304</xdr:colOff>
      <xdr:row>6</xdr:row>
      <xdr:rowOff>89122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6662909F-EAFA-4D3D-98AF-971DDEABFB1F}"/>
            </a:ext>
          </a:extLst>
        </xdr:cNvPr>
        <xdr:cNvSpPr/>
      </xdr:nvSpPr>
      <xdr:spPr>
        <a:xfrm>
          <a:off x="2265130" y="6206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1401445</xdr:colOff>
      <xdr:row>0</xdr:row>
      <xdr:rowOff>122555</xdr:rowOff>
    </xdr:from>
    <xdr:to>
      <xdr:col>2</xdr:col>
      <xdr:colOff>2701925</xdr:colOff>
      <xdr:row>3</xdr:row>
      <xdr:rowOff>20955</xdr:rowOff>
    </xdr:to>
    <xdr:sp macro="[0]!HideUnhideRows_M.UnhideRows" textlink="">
      <xdr:nvSpPr>
        <xdr:cNvPr id="3" name="Rectangle 2">
          <a:extLst>
            <a:ext uri="{FF2B5EF4-FFF2-40B4-BE49-F238E27FC236}">
              <a16:creationId xmlns="" xmlns:a16="http://schemas.microsoft.com/office/drawing/2014/main" id="{00000000-0008-0000-0A00-000003000000}"/>
            </a:ext>
          </a:extLst>
        </xdr:cNvPr>
        <xdr:cNvSpPr/>
      </xdr:nvSpPr>
      <xdr:spPr>
        <a:xfrm>
          <a:off x="1896745" y="122555"/>
          <a:ext cx="1300480" cy="441325"/>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53975</xdr:colOff>
      <xdr:row>0</xdr:row>
      <xdr:rowOff>122555</xdr:rowOff>
    </xdr:from>
    <xdr:to>
      <xdr:col>2</xdr:col>
      <xdr:colOff>1106805</xdr:colOff>
      <xdr:row>3</xdr:row>
      <xdr:rowOff>20955</xdr:rowOff>
    </xdr:to>
    <xdr:sp macro="[0]!HideUnhideRows_M.HideRows" textlink="">
      <xdr:nvSpPr>
        <xdr:cNvPr id="4" name="Rectangle 3">
          <a:extLst>
            <a:ext uri="{FF2B5EF4-FFF2-40B4-BE49-F238E27FC236}">
              <a16:creationId xmlns="" xmlns:a16="http://schemas.microsoft.com/office/drawing/2014/main" id="{00000000-0008-0000-0A00-000004000000}"/>
            </a:ext>
          </a:extLst>
        </xdr:cNvPr>
        <xdr:cNvSpPr/>
      </xdr:nvSpPr>
      <xdr:spPr>
        <a:xfrm>
          <a:off x="301625" y="122555"/>
          <a:ext cx="1300480" cy="441325"/>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twoCellAnchor>
    <xdr:from>
      <xdr:col>1</xdr:col>
      <xdr:colOff>76200</xdr:colOff>
      <xdr:row>3</xdr:row>
      <xdr:rowOff>76200</xdr:rowOff>
    </xdr:from>
    <xdr:to>
      <xdr:col>2</xdr:col>
      <xdr:colOff>611980</xdr:colOff>
      <xdr:row>6</xdr:row>
      <xdr:rowOff>87621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7D5F7F19-88BB-4911-8A1C-61DB78CE1E0B}"/>
            </a:ext>
          </a:extLst>
        </xdr:cNvPr>
        <xdr:cNvSpPr/>
      </xdr:nvSpPr>
      <xdr:spPr>
        <a:xfrm>
          <a:off x="323850" y="6191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789874</xdr:colOff>
      <xdr:row>3</xdr:row>
      <xdr:rowOff>79066</xdr:rowOff>
    </xdr:from>
    <xdr:to>
      <xdr:col>2</xdr:col>
      <xdr:colOff>1625273</xdr:colOff>
      <xdr:row>6</xdr:row>
      <xdr:rowOff>90487</xdr:rowOff>
    </xdr:to>
    <xdr:sp macro="" textlink="">
      <xdr:nvSpPr>
        <xdr:cNvPr id="5" name="Oval 4">
          <a:hlinkClick xmlns:r="http://schemas.openxmlformats.org/officeDocument/2006/relationships" r:id="rId2" tooltip="Balance Sheet"/>
          <a:extLst>
            <a:ext uri="{FF2B5EF4-FFF2-40B4-BE49-F238E27FC236}">
              <a16:creationId xmlns="" xmlns:a16="http://schemas.microsoft.com/office/drawing/2014/main" id="{858ED918-44E3-442D-B987-B03F44FC7818}"/>
            </a:ext>
          </a:extLst>
        </xdr:cNvPr>
        <xdr:cNvSpPr/>
      </xdr:nvSpPr>
      <xdr:spPr>
        <a:xfrm>
          <a:off x="1285174" y="6219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1846030</xdr:colOff>
      <xdr:row>3</xdr:row>
      <xdr:rowOff>77701</xdr:rowOff>
    </xdr:from>
    <xdr:to>
      <xdr:col>2</xdr:col>
      <xdr:colOff>2681429</xdr:colOff>
      <xdr:row>6</xdr:row>
      <xdr:rowOff>89122</xdr:rowOff>
    </xdr:to>
    <xdr:sp macro="" textlink="">
      <xdr:nvSpPr>
        <xdr:cNvPr id="6" name="Oval 5">
          <a:hlinkClick xmlns:r="http://schemas.openxmlformats.org/officeDocument/2006/relationships" r:id="rId3" tooltip="Balance Sheet"/>
          <a:extLst>
            <a:ext uri="{FF2B5EF4-FFF2-40B4-BE49-F238E27FC236}">
              <a16:creationId xmlns="" xmlns:a16="http://schemas.microsoft.com/office/drawing/2014/main" id="{443AA08A-5042-4A46-8CC4-7C32953A35E8}"/>
            </a:ext>
          </a:extLst>
        </xdr:cNvPr>
        <xdr:cNvSpPr/>
      </xdr:nvSpPr>
      <xdr:spPr>
        <a:xfrm>
          <a:off x="2341330" y="6206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1385570</xdr:colOff>
      <xdr:row>0</xdr:row>
      <xdr:rowOff>95250</xdr:rowOff>
    </xdr:from>
    <xdr:to>
      <xdr:col>2</xdr:col>
      <xdr:colOff>2686050</xdr:colOff>
      <xdr:row>3</xdr:row>
      <xdr:rowOff>15507</xdr:rowOff>
    </xdr:to>
    <xdr:sp macro="[0]!HideUnhideRows_M.UnhideRows" textlink="">
      <xdr:nvSpPr>
        <xdr:cNvPr id="4" name="Rectangle 3">
          <a:extLst>
            <a:ext uri="{FF2B5EF4-FFF2-40B4-BE49-F238E27FC236}">
              <a16:creationId xmlns="" xmlns:a16="http://schemas.microsoft.com/office/drawing/2014/main" id="{00000000-0008-0000-0C00-000004000000}"/>
            </a:ext>
          </a:extLst>
        </xdr:cNvPr>
        <xdr:cNvSpPr/>
      </xdr:nvSpPr>
      <xdr:spPr>
        <a:xfrm>
          <a:off x="1880870" y="95250"/>
          <a:ext cx="1300480" cy="463182"/>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38100</xdr:colOff>
      <xdr:row>0</xdr:row>
      <xdr:rowOff>95250</xdr:rowOff>
    </xdr:from>
    <xdr:to>
      <xdr:col>2</xdr:col>
      <xdr:colOff>1090930</xdr:colOff>
      <xdr:row>3</xdr:row>
      <xdr:rowOff>15507</xdr:rowOff>
    </xdr:to>
    <xdr:sp macro="[0]!HideUnhideRows_M.HideRows" textlink="">
      <xdr:nvSpPr>
        <xdr:cNvPr id="5" name="Rectangle 4">
          <a:extLst>
            <a:ext uri="{FF2B5EF4-FFF2-40B4-BE49-F238E27FC236}">
              <a16:creationId xmlns="" xmlns:a16="http://schemas.microsoft.com/office/drawing/2014/main" id="{00000000-0008-0000-0C00-000005000000}"/>
            </a:ext>
          </a:extLst>
        </xdr:cNvPr>
        <xdr:cNvSpPr/>
      </xdr:nvSpPr>
      <xdr:spPr>
        <a:xfrm>
          <a:off x="285750" y="95250"/>
          <a:ext cx="1300480" cy="463182"/>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twoCellAnchor>
    <xdr:from>
      <xdr:col>1</xdr:col>
      <xdr:colOff>9525</xdr:colOff>
      <xdr:row>3</xdr:row>
      <xdr:rowOff>95250</xdr:rowOff>
    </xdr:from>
    <xdr:to>
      <xdr:col>2</xdr:col>
      <xdr:colOff>545305</xdr:colOff>
      <xdr:row>6</xdr:row>
      <xdr:rowOff>106671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3080AB9C-1AF4-46E8-8B2F-40579D00A3C6}"/>
            </a:ext>
          </a:extLst>
        </xdr:cNvPr>
        <xdr:cNvSpPr/>
      </xdr:nvSpPr>
      <xdr:spPr>
        <a:xfrm>
          <a:off x="257175" y="63817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723199</xdr:colOff>
      <xdr:row>3</xdr:row>
      <xdr:rowOff>98116</xdr:rowOff>
    </xdr:from>
    <xdr:to>
      <xdr:col>2</xdr:col>
      <xdr:colOff>1558598</xdr:colOff>
      <xdr:row>6</xdr:row>
      <xdr:rowOff>109537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F936AF02-6A7F-4D59-BC46-10AEB941B7E0}"/>
            </a:ext>
          </a:extLst>
        </xdr:cNvPr>
        <xdr:cNvSpPr/>
      </xdr:nvSpPr>
      <xdr:spPr>
        <a:xfrm>
          <a:off x="1218499" y="64104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1779355</xdr:colOff>
      <xdr:row>3</xdr:row>
      <xdr:rowOff>96751</xdr:rowOff>
    </xdr:from>
    <xdr:to>
      <xdr:col>2</xdr:col>
      <xdr:colOff>2614754</xdr:colOff>
      <xdr:row>6</xdr:row>
      <xdr:rowOff>108172</xdr:rowOff>
    </xdr:to>
    <xdr:sp macro="" textlink="">
      <xdr:nvSpPr>
        <xdr:cNvPr id="6" name="Oval 5">
          <a:hlinkClick xmlns:r="http://schemas.openxmlformats.org/officeDocument/2006/relationships" r:id="rId3" tooltip="Balance Sheet"/>
          <a:extLst>
            <a:ext uri="{FF2B5EF4-FFF2-40B4-BE49-F238E27FC236}">
              <a16:creationId xmlns="" xmlns:a16="http://schemas.microsoft.com/office/drawing/2014/main" id="{00408BED-1603-4B6D-9D28-5CF426CC140E}"/>
            </a:ext>
          </a:extLst>
        </xdr:cNvPr>
        <xdr:cNvSpPr/>
      </xdr:nvSpPr>
      <xdr:spPr>
        <a:xfrm>
          <a:off x="2274655" y="63967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5</xdr:row>
      <xdr:rowOff>0</xdr:rowOff>
    </xdr:from>
    <xdr:to>
      <xdr:col>3</xdr:col>
      <xdr:colOff>605630</xdr:colOff>
      <xdr:row>8</xdr:row>
      <xdr:rowOff>20946</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2B9B8730-3A50-4643-990F-BF3906F56D6E}"/>
            </a:ext>
          </a:extLst>
        </xdr:cNvPr>
        <xdr:cNvSpPr/>
      </xdr:nvSpPr>
      <xdr:spPr>
        <a:xfrm>
          <a:off x="254000" y="533400"/>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3</xdr:col>
      <xdr:colOff>783524</xdr:colOff>
      <xdr:row>5</xdr:row>
      <xdr:rowOff>2866</xdr:rowOff>
    </xdr:from>
    <xdr:to>
      <xdr:col>3</xdr:col>
      <xdr:colOff>1618923</xdr:colOff>
      <xdr:row>8</xdr:row>
      <xdr:rowOff>23812</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CFDE801D-1F3E-4202-A0F6-27A7C70A7683}"/>
            </a:ext>
          </a:extLst>
        </xdr:cNvPr>
        <xdr:cNvSpPr/>
      </xdr:nvSpPr>
      <xdr:spPr>
        <a:xfrm>
          <a:off x="1215324" y="53626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3</xdr:col>
      <xdr:colOff>1839680</xdr:colOff>
      <xdr:row>5</xdr:row>
      <xdr:rowOff>1501</xdr:rowOff>
    </xdr:from>
    <xdr:to>
      <xdr:col>3</xdr:col>
      <xdr:colOff>2675079</xdr:colOff>
      <xdr:row>8</xdr:row>
      <xdr:rowOff>22447</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61EA38CB-FAE4-4F45-9EAC-9893CC5A87CF}"/>
            </a:ext>
          </a:extLst>
        </xdr:cNvPr>
        <xdr:cNvSpPr/>
      </xdr:nvSpPr>
      <xdr:spPr>
        <a:xfrm>
          <a:off x="2271480" y="53490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twoCellAnchor>
    <xdr:from>
      <xdr:col>3</xdr:col>
      <xdr:colOff>1411423</xdr:colOff>
      <xdr:row>1</xdr:row>
      <xdr:rowOff>0</xdr:rowOff>
    </xdr:from>
    <xdr:to>
      <xdr:col>3</xdr:col>
      <xdr:colOff>2824655</xdr:colOff>
      <xdr:row>4</xdr:row>
      <xdr:rowOff>26276</xdr:rowOff>
    </xdr:to>
    <xdr:sp macro="[0]!UnhideRowsAndColumns" textlink="">
      <xdr:nvSpPr>
        <xdr:cNvPr id="5" name="Rectangle 4">
          <a:extLst>
            <a:ext uri="{FF2B5EF4-FFF2-40B4-BE49-F238E27FC236}">
              <a16:creationId xmlns="" xmlns:a16="http://schemas.microsoft.com/office/drawing/2014/main" id="{DA189FFA-15BE-45BE-A4C0-B9CA49BA1E6A}"/>
            </a:ext>
          </a:extLst>
        </xdr:cNvPr>
        <xdr:cNvSpPr/>
      </xdr:nvSpPr>
      <xdr:spPr>
        <a:xfrm>
          <a:off x="1858113" y="183931"/>
          <a:ext cx="1413232" cy="578069"/>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 and Columns</a:t>
          </a:r>
        </a:p>
      </xdr:txBody>
    </xdr:sp>
    <xdr:clientData/>
  </xdr:twoCellAnchor>
  <xdr:twoCellAnchor>
    <xdr:from>
      <xdr:col>2</xdr:col>
      <xdr:colOff>-1</xdr:colOff>
      <xdr:row>1</xdr:row>
      <xdr:rowOff>0</xdr:rowOff>
    </xdr:from>
    <xdr:to>
      <xdr:col>3</xdr:col>
      <xdr:colOff>1169275</xdr:colOff>
      <xdr:row>4</xdr:row>
      <xdr:rowOff>0</xdr:rowOff>
    </xdr:to>
    <xdr:sp macro="[0]!HideRowsAndColumns" textlink="">
      <xdr:nvSpPr>
        <xdr:cNvPr id="6" name="Rectangle 5">
          <a:extLst>
            <a:ext uri="{FF2B5EF4-FFF2-40B4-BE49-F238E27FC236}">
              <a16:creationId xmlns="" xmlns:a16="http://schemas.microsoft.com/office/drawing/2014/main" id="{884FC735-EDF7-4945-B966-C6D33480F8D5}"/>
            </a:ext>
          </a:extLst>
        </xdr:cNvPr>
        <xdr:cNvSpPr/>
      </xdr:nvSpPr>
      <xdr:spPr>
        <a:xfrm>
          <a:off x="262758" y="183931"/>
          <a:ext cx="1353207" cy="551793"/>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 and Columns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xdr:colOff>
      <xdr:row>3</xdr:row>
      <xdr:rowOff>71438</xdr:rowOff>
    </xdr:from>
    <xdr:to>
      <xdr:col>2</xdr:col>
      <xdr:colOff>535781</xdr:colOff>
      <xdr:row>6</xdr:row>
      <xdr:rowOff>82859</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00000000-0008-0000-0B00-000002000000}"/>
            </a:ext>
          </a:extLst>
        </xdr:cNvPr>
        <xdr:cNvSpPr/>
      </xdr:nvSpPr>
      <xdr:spPr>
        <a:xfrm>
          <a:off x="247651" y="614363"/>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713675</xdr:colOff>
      <xdr:row>3</xdr:row>
      <xdr:rowOff>74304</xdr:rowOff>
    </xdr:from>
    <xdr:to>
      <xdr:col>2</xdr:col>
      <xdr:colOff>1549074</xdr:colOff>
      <xdr:row>6</xdr:row>
      <xdr:rowOff>85725</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00000000-0008-0000-0B00-000003000000}"/>
            </a:ext>
          </a:extLst>
        </xdr:cNvPr>
        <xdr:cNvSpPr/>
      </xdr:nvSpPr>
      <xdr:spPr>
        <a:xfrm>
          <a:off x="1208975" y="617229"/>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1769831</xdr:colOff>
      <xdr:row>3</xdr:row>
      <xdr:rowOff>72939</xdr:rowOff>
    </xdr:from>
    <xdr:to>
      <xdr:col>2</xdr:col>
      <xdr:colOff>2605230</xdr:colOff>
      <xdr:row>6</xdr:row>
      <xdr:rowOff>84360</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00000000-0008-0000-0B00-000004000000}"/>
            </a:ext>
          </a:extLst>
        </xdr:cNvPr>
        <xdr:cNvSpPr/>
      </xdr:nvSpPr>
      <xdr:spPr>
        <a:xfrm>
          <a:off x="2265131" y="615864"/>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twoCellAnchor>
    <xdr:from>
      <xdr:col>2</xdr:col>
      <xdr:colOff>1354273</xdr:colOff>
      <xdr:row>0</xdr:row>
      <xdr:rowOff>87086</xdr:rowOff>
    </xdr:from>
    <xdr:to>
      <xdr:col>2</xdr:col>
      <xdr:colOff>2654753</xdr:colOff>
      <xdr:row>3</xdr:row>
      <xdr:rowOff>1664</xdr:rowOff>
    </xdr:to>
    <xdr:sp macro="[0]!HideUnhideRows_I.UnhideRows" textlink="">
      <xdr:nvSpPr>
        <xdr:cNvPr id="5" name="Rectangle 4">
          <a:extLst>
            <a:ext uri="{FF2B5EF4-FFF2-40B4-BE49-F238E27FC236}">
              <a16:creationId xmlns="" xmlns:a16="http://schemas.microsoft.com/office/drawing/2014/main" id="{00000000-0008-0000-0B00-000005000000}"/>
            </a:ext>
          </a:extLst>
        </xdr:cNvPr>
        <xdr:cNvSpPr/>
      </xdr:nvSpPr>
      <xdr:spPr>
        <a:xfrm>
          <a:off x="1849573" y="87086"/>
          <a:ext cx="1300480" cy="457503"/>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9525</xdr:colOff>
      <xdr:row>0</xdr:row>
      <xdr:rowOff>87086</xdr:rowOff>
    </xdr:from>
    <xdr:to>
      <xdr:col>2</xdr:col>
      <xdr:colOff>1059633</xdr:colOff>
      <xdr:row>3</xdr:row>
      <xdr:rowOff>1664</xdr:rowOff>
    </xdr:to>
    <xdr:sp macro="[0]!HideUnhideRows_I.HideRows" textlink="">
      <xdr:nvSpPr>
        <xdr:cNvPr id="6" name="Rectangle 5">
          <a:extLst>
            <a:ext uri="{FF2B5EF4-FFF2-40B4-BE49-F238E27FC236}">
              <a16:creationId xmlns="" xmlns:a16="http://schemas.microsoft.com/office/drawing/2014/main" id="{00000000-0008-0000-0B00-000006000000}"/>
            </a:ext>
          </a:extLst>
        </xdr:cNvPr>
        <xdr:cNvSpPr/>
      </xdr:nvSpPr>
      <xdr:spPr>
        <a:xfrm>
          <a:off x="257175" y="87086"/>
          <a:ext cx="1297758" cy="457503"/>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3</xdr:row>
      <xdr:rowOff>0</xdr:rowOff>
    </xdr:from>
    <xdr:to>
      <xdr:col>2</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2C89D84B-3AAA-4961-BCE5-8181674280DE}"/>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961324</xdr:colOff>
      <xdr:row>3</xdr:row>
      <xdr:rowOff>2866</xdr:rowOff>
    </xdr:from>
    <xdr:to>
      <xdr:col>2</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CF62F64F-D303-4702-8C2F-6E742C1C3E23}"/>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2017480</xdr:colOff>
      <xdr:row>3</xdr:row>
      <xdr:rowOff>1501</xdr:rowOff>
    </xdr:from>
    <xdr:to>
      <xdr:col>2</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6A54D643-399F-4288-865A-E897F6EFE6EE}"/>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0</xdr:colOff>
      <xdr:row>3</xdr:row>
      <xdr:rowOff>0</xdr:rowOff>
    </xdr:from>
    <xdr:to>
      <xdr:col>2</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1EEBBB27-BA12-4165-AFC4-77AB4B09624B}"/>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961324</xdr:colOff>
      <xdr:row>3</xdr:row>
      <xdr:rowOff>2866</xdr:rowOff>
    </xdr:from>
    <xdr:to>
      <xdr:col>2</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8399B89D-1B85-473F-93BC-C160090C0770}"/>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2017480</xdr:colOff>
      <xdr:row>3</xdr:row>
      <xdr:rowOff>1501</xdr:rowOff>
    </xdr:from>
    <xdr:to>
      <xdr:col>2</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6DEEC6E6-6DB4-43F7-A787-84BD2B4F0B9E}"/>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3</xdr:row>
      <xdr:rowOff>0</xdr:rowOff>
    </xdr:from>
    <xdr:to>
      <xdr:col>2</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5C64679D-CDC3-4738-9710-7DEBF0F2B85C}"/>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961324</xdr:colOff>
      <xdr:row>3</xdr:row>
      <xdr:rowOff>2866</xdr:rowOff>
    </xdr:from>
    <xdr:to>
      <xdr:col>2</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937C303B-0EDE-4C94-B525-569014FE5AE7}"/>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2017480</xdr:colOff>
      <xdr:row>3</xdr:row>
      <xdr:rowOff>1501</xdr:rowOff>
    </xdr:from>
    <xdr:to>
      <xdr:col>2</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E0121150-94F2-4147-9732-2435B9736426}"/>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0</xdr:colOff>
      <xdr:row>3</xdr:row>
      <xdr:rowOff>0</xdr:rowOff>
    </xdr:from>
    <xdr:to>
      <xdr:col>2</xdr:col>
      <xdr:colOff>783430</xdr:colOff>
      <xdr:row>6</xdr:row>
      <xdr:rowOff>11421</xdr:rowOff>
    </xdr:to>
    <xdr:sp macro="" textlink="">
      <xdr:nvSpPr>
        <xdr:cNvPr id="5" name="Oval 4">
          <a:hlinkClick xmlns:r="http://schemas.openxmlformats.org/officeDocument/2006/relationships" r:id="rId1" tooltip="Balance Sheet"/>
          <a:extLst>
            <a:ext uri="{FF2B5EF4-FFF2-40B4-BE49-F238E27FC236}">
              <a16:creationId xmlns="" xmlns:a16="http://schemas.microsoft.com/office/drawing/2014/main" id="{0D1A330E-7784-45D8-813D-E1B71CA7ED16}"/>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961324</xdr:colOff>
      <xdr:row>3</xdr:row>
      <xdr:rowOff>2866</xdr:rowOff>
    </xdr:from>
    <xdr:to>
      <xdr:col>2</xdr:col>
      <xdr:colOff>1796723</xdr:colOff>
      <xdr:row>6</xdr:row>
      <xdr:rowOff>14287</xdr:rowOff>
    </xdr:to>
    <xdr:sp macro="" textlink="">
      <xdr:nvSpPr>
        <xdr:cNvPr id="6" name="Oval 5">
          <a:hlinkClick xmlns:r="http://schemas.openxmlformats.org/officeDocument/2006/relationships" r:id="rId2" tooltip="Balance Sheet"/>
          <a:extLst>
            <a:ext uri="{FF2B5EF4-FFF2-40B4-BE49-F238E27FC236}">
              <a16:creationId xmlns="" xmlns:a16="http://schemas.microsoft.com/office/drawing/2014/main" id="{7107CD56-5A79-408A-B430-31C69BC5A705}"/>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2017480</xdr:colOff>
      <xdr:row>3</xdr:row>
      <xdr:rowOff>1501</xdr:rowOff>
    </xdr:from>
    <xdr:to>
      <xdr:col>2</xdr:col>
      <xdr:colOff>2852879</xdr:colOff>
      <xdr:row>6</xdr:row>
      <xdr:rowOff>12922</xdr:rowOff>
    </xdr:to>
    <xdr:sp macro="" textlink="">
      <xdr:nvSpPr>
        <xdr:cNvPr id="7" name="Oval 6">
          <a:hlinkClick xmlns:r="http://schemas.openxmlformats.org/officeDocument/2006/relationships" r:id="rId3" tooltip="Balance Sheet"/>
          <a:extLst>
            <a:ext uri="{FF2B5EF4-FFF2-40B4-BE49-F238E27FC236}">
              <a16:creationId xmlns="" xmlns:a16="http://schemas.microsoft.com/office/drawing/2014/main" id="{275C8FC8-1798-4D4D-B72C-A3C0404430F2}"/>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0</xdr:colOff>
      <xdr:row>3</xdr:row>
      <xdr:rowOff>0</xdr:rowOff>
    </xdr:from>
    <xdr:to>
      <xdr:col>2</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D64F3F8D-39F6-4C78-BDA4-D4A04EA8F9A9}"/>
            </a:ext>
          </a:extLst>
        </xdr:cNvPr>
        <xdr:cNvSpPr/>
      </xdr:nvSpPr>
      <xdr:spPr>
        <a:xfrm>
          <a:off x="19050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961324</xdr:colOff>
      <xdr:row>3</xdr:row>
      <xdr:rowOff>2866</xdr:rowOff>
    </xdr:from>
    <xdr:to>
      <xdr:col>2</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1BA968E0-8511-4F8A-B946-8F5EB6445C30}"/>
            </a:ext>
          </a:extLst>
        </xdr:cNvPr>
        <xdr:cNvSpPr/>
      </xdr:nvSpPr>
      <xdr:spPr>
        <a:xfrm>
          <a:off x="115182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2017480</xdr:colOff>
      <xdr:row>3</xdr:row>
      <xdr:rowOff>1501</xdr:rowOff>
    </xdr:from>
    <xdr:to>
      <xdr:col>2</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19212C4B-AAB4-4603-A686-1492C691FE17}"/>
            </a:ext>
          </a:extLst>
        </xdr:cNvPr>
        <xdr:cNvSpPr/>
      </xdr:nvSpPr>
      <xdr:spPr>
        <a:xfrm>
          <a:off x="220798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0</xdr:colOff>
      <xdr:row>3</xdr:row>
      <xdr:rowOff>0</xdr:rowOff>
    </xdr:from>
    <xdr:to>
      <xdr:col>2</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8668E81E-06FF-4AB1-83C9-40297521079F}"/>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961324</xdr:colOff>
      <xdr:row>3</xdr:row>
      <xdr:rowOff>2866</xdr:rowOff>
    </xdr:from>
    <xdr:to>
      <xdr:col>2</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C9CD288B-7AC6-4077-AE14-4FB3EAD541BF}"/>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2017480</xdr:colOff>
      <xdr:row>3</xdr:row>
      <xdr:rowOff>1501</xdr:rowOff>
    </xdr:from>
    <xdr:to>
      <xdr:col>2</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B2FE31DE-25C2-46C5-A3E5-0720DF6BBCE0}"/>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1112973</xdr:colOff>
      <xdr:row>1</xdr:row>
      <xdr:rowOff>0</xdr:rowOff>
    </xdr:from>
    <xdr:to>
      <xdr:col>3</xdr:col>
      <xdr:colOff>2413453</xdr:colOff>
      <xdr:row>3</xdr:row>
      <xdr:rowOff>106136</xdr:rowOff>
    </xdr:to>
    <xdr:sp macro="" textlink="">
      <xdr:nvSpPr>
        <xdr:cNvPr id="2" name="Rectangle 1">
          <a:extLst>
            <a:ext uri="{FF2B5EF4-FFF2-40B4-BE49-F238E27FC236}">
              <a16:creationId xmlns="" xmlns:a16="http://schemas.microsoft.com/office/drawing/2014/main" id="{193783D0-586A-48BF-BCA1-CB77D1911E87}"/>
            </a:ext>
          </a:extLst>
        </xdr:cNvPr>
        <xdr:cNvSpPr/>
      </xdr:nvSpPr>
      <xdr:spPr>
        <a:xfrm>
          <a:off x="2084523" y="209550"/>
          <a:ext cx="1300480" cy="52523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0</xdr:colOff>
      <xdr:row>1</xdr:row>
      <xdr:rowOff>0</xdr:rowOff>
    </xdr:from>
    <xdr:to>
      <xdr:col>3</xdr:col>
      <xdr:colOff>818333</xdr:colOff>
      <xdr:row>3</xdr:row>
      <xdr:rowOff>106136</xdr:rowOff>
    </xdr:to>
    <xdr:sp macro="" textlink="">
      <xdr:nvSpPr>
        <xdr:cNvPr id="3" name="Rectangle 2">
          <a:extLst>
            <a:ext uri="{FF2B5EF4-FFF2-40B4-BE49-F238E27FC236}">
              <a16:creationId xmlns="" xmlns:a16="http://schemas.microsoft.com/office/drawing/2014/main" id="{249A4C3D-4FBA-4223-AB79-3B0138F36A90}"/>
            </a:ext>
          </a:extLst>
        </xdr:cNvPr>
        <xdr:cNvSpPr/>
      </xdr:nvSpPr>
      <xdr:spPr>
        <a:xfrm>
          <a:off x="247650" y="209550"/>
          <a:ext cx="1542233" cy="52523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0</xdr:colOff>
      <xdr:row>3</xdr:row>
      <xdr:rowOff>0</xdr:rowOff>
    </xdr:from>
    <xdr:to>
      <xdr:col>3</xdr:col>
      <xdr:colOff>192880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372F350F-C4FB-4978-8DCC-F8A975CBB389}"/>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3</xdr:col>
      <xdr:colOff>370774</xdr:colOff>
      <xdr:row>3</xdr:row>
      <xdr:rowOff>2866</xdr:rowOff>
    </xdr:from>
    <xdr:to>
      <xdr:col>3</xdr:col>
      <xdr:colOff>1206173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D705F192-B228-4789-901E-753E68AEAD69}"/>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3</xdr:col>
      <xdr:colOff>1426930</xdr:colOff>
      <xdr:row>3</xdr:row>
      <xdr:rowOff>1501</xdr:rowOff>
    </xdr:from>
    <xdr:to>
      <xdr:col>4</xdr:col>
      <xdr:colOff>147779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AB67BFE6-2BD7-4CAA-8DBE-DD2F0CE88099}"/>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133349</xdr:colOff>
      <xdr:row>0</xdr:row>
      <xdr:rowOff>0</xdr:rowOff>
    </xdr:from>
    <xdr:to>
      <xdr:col>1</xdr:col>
      <xdr:colOff>438149</xdr:colOff>
      <xdr:row>3</xdr:row>
      <xdr:rowOff>19050</xdr:rowOff>
    </xdr:to>
    <xdr:pic macro="[0]!HowToStart.HowToStart">
      <xdr:nvPicPr>
        <xdr:cNvPr id="2" name="Graphic 1" descr="Shortcuts">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133349" y="0"/>
          <a:ext cx="561975" cy="561975"/>
        </a:xfrm>
        <a:prstGeom prst="rect">
          <a:avLst/>
        </a:prstGeom>
      </xdr:spPr>
    </xdr:pic>
    <xdr:clientData/>
  </xdr:twoCellAnchor>
  <xdr:twoCellAnchor>
    <xdr:from>
      <xdr:col>2</xdr:col>
      <xdr:colOff>247649</xdr:colOff>
      <xdr:row>3</xdr:row>
      <xdr:rowOff>123825</xdr:rowOff>
    </xdr:from>
    <xdr:to>
      <xdr:col>2</xdr:col>
      <xdr:colOff>866774</xdr:colOff>
      <xdr:row>5</xdr:row>
      <xdr:rowOff>28575</xdr:rowOff>
    </xdr:to>
    <xdr:sp macro="" textlink="">
      <xdr:nvSpPr>
        <xdr:cNvPr id="3" name="TextBox 2">
          <a:extLst>
            <a:ext uri="{FF2B5EF4-FFF2-40B4-BE49-F238E27FC236}">
              <a16:creationId xmlns="" xmlns:a16="http://schemas.microsoft.com/office/drawing/2014/main" id="{00000000-0008-0000-0300-000003000000}"/>
            </a:ext>
          </a:extLst>
        </xdr:cNvPr>
        <xdr:cNvSpPr txBox="1"/>
      </xdr:nvSpPr>
      <xdr:spPr>
        <a:xfrm>
          <a:off x="981074" y="666750"/>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a:ln>
                <a:noFill/>
              </a:ln>
              <a:solidFill>
                <a:schemeClr val="accent1">
                  <a:lumMod val="20000"/>
                  <a:lumOff val="80000"/>
                </a:schemeClr>
              </a:solidFill>
              <a:latin typeface="Book Antiqua" panose="02040602050305030304" pitchFamily="18" charset="0"/>
            </a:rPr>
            <a:t>Hints</a:t>
          </a:r>
          <a:endParaRPr lang="en-IN" sz="1300"/>
        </a:p>
      </xdr:txBody>
    </xdr:sp>
    <xdr:clientData/>
  </xdr:twoCellAnchor>
  <xdr:twoCellAnchor>
    <xdr:from>
      <xdr:col>2</xdr:col>
      <xdr:colOff>295274</xdr:colOff>
      <xdr:row>0</xdr:row>
      <xdr:rowOff>47625</xdr:rowOff>
    </xdr:from>
    <xdr:to>
      <xdr:col>2</xdr:col>
      <xdr:colOff>761999</xdr:colOff>
      <xdr:row>2</xdr:row>
      <xdr:rowOff>171451</xdr:rowOff>
    </xdr:to>
    <xdr:grpSp>
      <xdr:nvGrpSpPr>
        <xdr:cNvPr id="4" name="Group 3">
          <a:extLst>
            <a:ext uri="{FF2B5EF4-FFF2-40B4-BE49-F238E27FC236}">
              <a16:creationId xmlns="" xmlns:a16="http://schemas.microsoft.com/office/drawing/2014/main" id="{00000000-0008-0000-0300-000004000000}"/>
            </a:ext>
          </a:extLst>
        </xdr:cNvPr>
        <xdr:cNvGrpSpPr/>
      </xdr:nvGrpSpPr>
      <xdr:grpSpPr>
        <a:xfrm>
          <a:off x="1140618" y="47625"/>
          <a:ext cx="466725" cy="552451"/>
          <a:chOff x="161925" y="76200"/>
          <a:chExt cx="685800" cy="666750"/>
        </a:xfrm>
      </xdr:grpSpPr>
      <xdr:sp macro="[0]!Hints.Hints" textlink="">
        <xdr:nvSpPr>
          <xdr:cNvPr id="5" name="Flowchart: Connector 4">
            <a:extLst>
              <a:ext uri="{FF2B5EF4-FFF2-40B4-BE49-F238E27FC236}">
                <a16:creationId xmlns="" xmlns:a16="http://schemas.microsoft.com/office/drawing/2014/main" id="{00000000-0008-0000-0300-000005000000}"/>
              </a:ext>
            </a:extLst>
          </xdr:cNvPr>
          <xdr:cNvSpPr/>
        </xdr:nvSpPr>
        <xdr:spPr>
          <a:xfrm>
            <a:off x="161925" y="76200"/>
            <a:ext cx="685800" cy="666750"/>
          </a:xfrm>
          <a:prstGeom prst="flowChartConnector">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Hints.Hints">
        <xdr:nvPicPr>
          <xdr:cNvPr id="6" name="Graphic 5" descr="Exclamation mark with solid fill">
            <a:extLst>
              <a:ext uri="{FF2B5EF4-FFF2-40B4-BE49-F238E27FC236}">
                <a16:creationId xmlns=""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219075" y="133350"/>
            <a:ext cx="581025" cy="581025"/>
          </a:xfrm>
          <a:prstGeom prst="rect">
            <a:avLst/>
          </a:prstGeom>
        </xdr:spPr>
      </xdr:pic>
    </xdr:grpSp>
    <xdr:clientData/>
  </xdr:twoCellAnchor>
  <xdr:twoCellAnchor>
    <xdr:from>
      <xdr:col>0</xdr:col>
      <xdr:colOff>0</xdr:colOff>
      <xdr:row>2</xdr:row>
      <xdr:rowOff>171449</xdr:rowOff>
    </xdr:from>
    <xdr:to>
      <xdr:col>2</xdr:col>
      <xdr:colOff>123825</xdr:colOff>
      <xdr:row>5</xdr:row>
      <xdr:rowOff>142875</xdr:rowOff>
    </xdr:to>
    <xdr:sp macro="" textlink="">
      <xdr:nvSpPr>
        <xdr:cNvPr id="7" name="TextBox 6">
          <a:extLst>
            <a:ext uri="{FF2B5EF4-FFF2-40B4-BE49-F238E27FC236}">
              <a16:creationId xmlns="" xmlns:a16="http://schemas.microsoft.com/office/drawing/2014/main" id="{00000000-0008-0000-0300-000007000000}"/>
            </a:ext>
          </a:extLst>
        </xdr:cNvPr>
        <xdr:cNvSpPr txBox="1"/>
      </xdr:nvSpPr>
      <xdr:spPr>
        <a:xfrm>
          <a:off x="0" y="533399"/>
          <a:ext cx="8572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a:ln>
                <a:noFill/>
              </a:ln>
              <a:solidFill>
                <a:schemeClr val="accent1">
                  <a:lumMod val="20000"/>
                  <a:lumOff val="80000"/>
                </a:schemeClr>
              </a:solidFill>
              <a:latin typeface="Book Antiqua" panose="02040602050305030304" pitchFamily="18" charset="0"/>
            </a:rPr>
            <a:t>How to Start</a:t>
          </a:r>
          <a:endParaRPr lang="en-IN" sz="13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1112973</xdr:colOff>
      <xdr:row>1</xdr:row>
      <xdr:rowOff>0</xdr:rowOff>
    </xdr:from>
    <xdr:to>
      <xdr:col>3</xdr:col>
      <xdr:colOff>2413453</xdr:colOff>
      <xdr:row>3</xdr:row>
      <xdr:rowOff>106136</xdr:rowOff>
    </xdr:to>
    <xdr:sp macro="[0]!HideUnhideRows_I.UnhideRows" textlink="">
      <xdr:nvSpPr>
        <xdr:cNvPr id="2" name="Rectangle 1">
          <a:extLst>
            <a:ext uri="{FF2B5EF4-FFF2-40B4-BE49-F238E27FC236}">
              <a16:creationId xmlns="" xmlns:a16="http://schemas.microsoft.com/office/drawing/2014/main" id="{6F2BA803-6695-4D7A-B511-FAA944E779AA}"/>
            </a:ext>
          </a:extLst>
        </xdr:cNvPr>
        <xdr:cNvSpPr/>
      </xdr:nvSpPr>
      <xdr:spPr>
        <a:xfrm>
          <a:off x="2084523" y="209550"/>
          <a:ext cx="1300480" cy="52523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0</xdr:colOff>
      <xdr:row>1</xdr:row>
      <xdr:rowOff>0</xdr:rowOff>
    </xdr:from>
    <xdr:to>
      <xdr:col>3</xdr:col>
      <xdr:colOff>818333</xdr:colOff>
      <xdr:row>3</xdr:row>
      <xdr:rowOff>106136</xdr:rowOff>
    </xdr:to>
    <xdr:sp macro="[0]!HideUnhideRows_I.HideRows" textlink="">
      <xdr:nvSpPr>
        <xdr:cNvPr id="3" name="Rectangle 2">
          <a:extLst>
            <a:ext uri="{FF2B5EF4-FFF2-40B4-BE49-F238E27FC236}">
              <a16:creationId xmlns="" xmlns:a16="http://schemas.microsoft.com/office/drawing/2014/main" id="{0D71B75D-9163-4822-A387-4C9C3CF24F4E}"/>
            </a:ext>
          </a:extLst>
        </xdr:cNvPr>
        <xdr:cNvSpPr/>
      </xdr:nvSpPr>
      <xdr:spPr>
        <a:xfrm>
          <a:off x="247650" y="209550"/>
          <a:ext cx="1542233" cy="52523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35F05186-9C2A-4E97-BBB8-4388BD4E3B21}"/>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925605</xdr:colOff>
      <xdr:row>3</xdr:row>
      <xdr:rowOff>2866</xdr:rowOff>
    </xdr:from>
    <xdr:to>
      <xdr:col>1</xdr:col>
      <xdr:colOff>1761004</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03ECFFF9-4323-4FF9-8441-EE65180E2F4A}"/>
            </a:ext>
          </a:extLst>
        </xdr:cNvPr>
        <xdr:cNvSpPr/>
      </xdr:nvSpPr>
      <xdr:spPr>
        <a:xfrm>
          <a:off x="1173255"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1903180</xdr:colOff>
      <xdr:row>3</xdr:row>
      <xdr:rowOff>1433</xdr:rowOff>
    </xdr:from>
    <xdr:to>
      <xdr:col>1</xdr:col>
      <xdr:colOff>2738579</xdr:colOff>
      <xdr:row>6</xdr:row>
      <xdr:rowOff>12854</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CA536BB6-7105-4973-9937-2FA7FF67F2B4}"/>
            </a:ext>
          </a:extLst>
        </xdr:cNvPr>
        <xdr:cNvSpPr/>
      </xdr:nvSpPr>
      <xdr:spPr>
        <a:xfrm>
          <a:off x="2150830" y="544358"/>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A8F484C5-0D12-4D4C-80F3-D98D13DA9916}"/>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961324</xdr:colOff>
      <xdr:row>3</xdr:row>
      <xdr:rowOff>2866</xdr:rowOff>
    </xdr:from>
    <xdr:to>
      <xdr:col>1</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09807D7A-A933-4590-850D-65726727530E}"/>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2017480</xdr:colOff>
      <xdr:row>3</xdr:row>
      <xdr:rowOff>1501</xdr:rowOff>
    </xdr:from>
    <xdr:to>
      <xdr:col>1</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F61D9EBC-B542-4D01-87CF-97A2A5679827}"/>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xdr:row>
      <xdr:rowOff>0</xdr:rowOff>
    </xdr:from>
    <xdr:to>
      <xdr:col>2</xdr:col>
      <xdr:colOff>411955</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 xmlns:a16="http://schemas.microsoft.com/office/drawing/2014/main" id="{5C655186-633E-4905-8273-2384CEE73B6F}"/>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589849</xdr:colOff>
      <xdr:row>3</xdr:row>
      <xdr:rowOff>2866</xdr:rowOff>
    </xdr:from>
    <xdr:to>
      <xdr:col>2</xdr:col>
      <xdr:colOff>1425248</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 xmlns:a16="http://schemas.microsoft.com/office/drawing/2014/main" id="{73E60103-5C51-448A-8BF0-1A68F6B3D669}"/>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1646005</xdr:colOff>
      <xdr:row>3</xdr:row>
      <xdr:rowOff>1501</xdr:rowOff>
    </xdr:from>
    <xdr:to>
      <xdr:col>2</xdr:col>
      <xdr:colOff>2481404</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 xmlns:a16="http://schemas.microsoft.com/office/drawing/2014/main" id="{C02544E5-09B0-4304-9762-603CA475D415}"/>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alak Dhanuka" refreshedDate="45871.643900578703" createdVersion="8" refreshedVersion="8" minRefreshableVersion="3" recordCount="353">
  <cacheSource type="worksheet">
    <worksheetSource ref="B7:D360" sheet="TB to be sent to client"/>
  </cacheSource>
  <cacheFields count="3">
    <cacheField name="Particulars" numFmtId="0">
      <sharedItems count="354">
        <s v="Opening Stock"/>
        <s v="5Wheels Travels"/>
        <s v="Aarthi Narayanan - NPS Payable"/>
        <s v="Abhilash Marri - NPS Payable"/>
        <s v="Accrual - Transfer Pricing Services_x000a_"/>
        <s v="Accrued Interest(Kotak FD)_x000a_"/>
        <s v="Advance Tax AY 25-26"/>
        <s v="Advance to Chebrolu Harikumar"/>
        <s v="Amount to Be Recovered From HDFC Life"/>
        <s v="Anixter India Private Limited"/>
        <s v="Apple 16&quot; MacBook Pro_x000d__x000a_"/>
        <s v="Apple USB-C Multiport Adapter_x000a_"/>
        <s v="Aquaguard Select Classic+ Water Purifier"/>
        <s v="Auditor Remuneration"/>
        <s v="B Santosh Kumar - NPS Payable"/>
        <s v="Balance Write-Off"/>
        <s v="Balance Written Back"/>
        <s v="Bank Charges"/>
        <s v="Bank Charges (Foreign Remitance)"/>
        <s v="Beetel Teletech Limited - Karnataka"/>
        <s v="Beetel Teletech Limited. - Maharashtra"/>
        <s v="Beetel Teletech Ltd - Delhi"/>
        <s v="BELDEN INDIA - Haryana"/>
        <s v="BELDEN INDIA PRIVATE LIMITED"/>
        <s v="Bheem Reddy Bakanati - NPS Payable"/>
        <s v="Bonus Expense"/>
        <s v="Business Support Services"/>
        <s v="CARE Risk Solutions Private Limited"/>
        <s v="CGST 14% -FY 24-25"/>
        <s v="CGST 9% - F. Y. 2023-24"/>
        <s v="CGST 9% - F.Y. 2024-25"/>
        <s v="Chebrolu Harikrishna"/>
        <s v="Chennai - Vat 5%"/>
        <s v="CIPLA LIMITED"/>
        <s v="Cisco Commerce India Private Limited"/>
        <s v="Commission - Cross Sales"/>
        <s v="Commission Local Accrual_x000a_"/>
        <s v="Commission Local Sales"/>
        <s v="Computer Software_x000a_"/>
        <s v="Concat AG"/>
        <s v="Country Manager Commission Accrual"/>
        <s v="Courier &amp; Delivery Charges"/>
        <s v="Cross Sale - USA- Meridian IT INC_x000a_"/>
        <s v="Cross Sales -Concat AG"/>
        <s v="Cubix Tech Integration Pvt. Ltd."/>
        <s v="Deferred Tax Asset(B/S)_x000a_"/>
        <s v="Delivery Charges on Sales"/>
        <s v="Dell International Services India Private Limited"/>
        <s v="DELL LATI-5440-I7-1355U/16/512/W11P/14&quot;FHD LAPTOP"/>
        <s v="Dell Latitude 3420 - Hemangi"/>
        <s v="Dell USB-C Mobile Adapter - 2_x000a_"/>
        <s v="DELL USB-C Mobile Adapter_x000a_"/>
        <s v="Dell XPS 13 Laptop_x000a_"/>
        <s v="Deposit for Hyderabad Office"/>
        <s v="Deposit for Sigma Office_x000a_"/>
        <s v="Depreciation"/>
        <s v="DevX System Integrator"/>
        <s v="Digital4com"/>
        <s v="Discount Received"/>
        <s v="Employee - Salary"/>
        <s v="Employees July Payroll"/>
        <s v="Engineer Support"/>
        <s v="Entertainment"/>
        <s v="EPR - MasterCard Technology"/>
        <s v="Equity Share Capital"/>
        <s v="Excess Income Tax Refund"/>
        <s v="Exclusive Networks Sales India Private Limited"/>
        <s v="Export Sales But Shipped in India - Goods"/>
        <s v="Export Sales But Shipped in India - Services"/>
        <s v="Export Sales But Shipped in Maharashtra - Goods"/>
        <s v="Export Sales But Shipped in Maharashtra - Services"/>
        <s v="Export Sales Commission - Services"/>
        <s v="Fastrack Security &amp; Facility Services"/>
        <s v="FD - Kotak Bank"/>
        <s v="FinOrion Pharma India Private Limited"/>
        <s v="Firewall_x000d__x000a_"/>
        <s v="FIRST GLOBAL STOCK BROKING PRIVATE LIMITED"/>
        <s v="Foreign Exchange Loss/Gain"/>
        <s v="FOSSHW0201 FG-60F-HW-APPFG-60F"/>
        <s v="Freight on Interstate Purchase"/>
        <s v="Freight on Purchase"/>
        <s v="Galderma India Private Limited"/>
        <s v="Giant Connection LLP"/>
        <s v="GlaxoSmithKline Pharmaceuticals Limited"/>
        <s v="Gratuity Expenses"/>
        <s v="GSK India Global Services Private Limited"/>
        <s v="GST Expenses"/>
        <s v="GST Late Fees &amp; Interest"/>
        <s v="GST on Advance Received F.Y. 22-23"/>
        <s v="GST on RCM -  2024-25"/>
        <s v="Gst Payable - F. Y. 2022-23"/>
        <s v="Gst Payable - F. Y. 2023-24"/>
        <s v="Gst Payable - F. Y. 2024-25"/>
        <s v="Gst Recovered for Non-Payment of Gst"/>
        <s v="GST Refund for STPI Sales_x000d__x000a_"/>
        <s v="GST Refund to Be Claimed"/>
        <s v="Hard Drive - Calisto_x000a_"/>
        <s v="Hardcastle Restaurants Private Limited"/>
        <s v="HEMANGI PANCHAL - Salary"/>
        <s v="HP 240G7 ALC Laptop_x000d__x000a_"/>
        <s v="ICICI LOMBARD GENERAL INSURANCE"/>
        <s v="IGST 18% - FY 2024-25"/>
        <s v="IGST 18% - F. Y. 2023-24"/>
        <s v="IMG Advisory Private Limited"/>
        <s v="Income Tax"/>
        <s v="Income Tax (Branch A/C)"/>
        <s v="Income Tax F. Y. 2023-24"/>
        <s v="Income Tax F. Y. 2024-25"/>
        <s v="Income Tax Refund 21-22"/>
        <s v="Inflow Technologies Pvt. Ltd. - Karnataka"/>
        <s v="Inflow Technologies Pvt. Ltd. - Tamil Nadu"/>
        <s v="Infobahn Technical Solutions (I) Pvt Ltd"/>
        <s v="INGRAM MICRO INDIA PRIVATE LIMITED"/>
        <s v="Insurance"/>
        <s v="Insurance Charges"/>
        <s v="Interbiz Solutions LLP"/>
        <s v="Interest on FD"/>
        <s v="Interest on Income Tax FY 23-24"/>
        <s v="Internet"/>
        <s v="Inuxu Digital Media Technologies Private Limited"/>
        <s v="Inverter_x000a_"/>
        <s v="ITC Not in Auto-Populated 2B - F.Y. 24-25"/>
        <s v="ITC Not in Auto-Populated GSTR-2B-2A - 2022-23"/>
        <s v="ITC Not in Auto-Populated GSTR-2B-2A - 2023-24"/>
        <s v="ITC Not in Auto-Populated GSTR-2B-2A - 2024-25"/>
        <s v="Jebel Telecom LLP"/>
        <s v="JELLYBEAN LAPTOP SPARES PVT. LTD"/>
        <s v="KELLOGG BROWN &amp; ROOT - Haryana"/>
        <s v="Key Network Private Limited"/>
        <s v="KIRAN KUMAR KONA - NPS Payable"/>
        <s v="Kotak Mahindra Bank Limited"/>
        <s v="Laptop Dell - 2_x000a_"/>
        <s v="Laptop-Dell_x000a_"/>
        <s v="Laptops_x000a_"/>
        <s v="Late Fees and Penalty"/>
        <s v="LATI5450/7155U/16/512/W11P/NODD/3Y/BPNB"/>
        <s v="Legal &amp; Statutory Fees"/>
        <s v="LENOVO THINKPAD L14 - Leonilda_x000a_"/>
        <s v="LENOVO THINKPAD L14 - Sanjay Yadav_x000a_"/>
        <s v="Local Commission - Hemangi Panchal"/>
        <s v="Local Commission - Meenakshi Iyer"/>
        <s v="Local Commission - Sanjay Yadav"/>
        <s v="MJ Consultancy"/>
        <s v="Management Fees"/>
        <s v="Management Fees Accrual"/>
        <s v="MasterCard India Services Private Limited"/>
        <s v="Mastercard Mobile Transactions Solutions Private Limited"/>
        <s v="Mastercard Switching Services India Private Limited"/>
        <s v="MasterCard Technology Private Limited"/>
        <s v="MEENAKSHI MAHALINGAM - SALARY"/>
        <s v="MEGHARANI D"/>
        <s v="Mek Peripherals India Private Limited."/>
        <s v="Membership &amp; Subscriptions"/>
        <s v="Meridian IT Ltd - UK"/>
        <s v="Meridian IT US"/>
        <s v="Meridian IT US - Cr."/>
        <s v="Meridian Leasing Corporation"/>
        <s v="Mettler Toledo India Private Limited"/>
        <s v="Mini Fridge_x000d__x000a_"/>
        <s v="Mis"/>
        <s v="Misc Income"/>
        <s v="ModGen Solutions Pvt Ltd"/>
        <s v="MOTT MACDONALD - Gujarat"/>
        <s v="Mott MacDonald Private Limited"/>
        <s v="Mott MacDonald Private Limited - Uttar Pradesh"/>
        <s v="Mott MacDonald Private Limited (Karnataka)"/>
        <s v="N. P. Dharamshi &amp; Co_x000a_"/>
        <s v="National Pension Scheme Payable"/>
        <s v="New Trend Networking Solution"/>
        <s v="Nikhil Rajesh Jain"/>
        <s v="Office 365 Business Premium - 2_x000d__x000a_"/>
        <s v="Office 365 Business Premium - 3_x000d__x000a_"/>
        <s v="Office 365 Business Premium_x000d__x000a_"/>
        <s v="Office Eqp - Edge Gateway Payment_x000a_"/>
        <s v="Office Equipment_x000a_"/>
        <s v="Office Expenses"/>
        <s v="Office Furniture_x000a_"/>
        <s v="Office Internet - Hyderabad"/>
        <s v="Office Internet - Hyderabad_x000a_"/>
        <s v="Oracle India Private Limited"/>
        <s v="Other Deduction"/>
        <s v="Other Professional Services_x000a_"/>
        <s v="Others Exps - Hyd"/>
        <s v="Others Exps Paid in Mumbai HO"/>
        <s v="Perfect Consultancy_x000a_"/>
        <s v="Perfect Consultncy"/>
        <s v="PF Employer Expenses"/>
        <s v="PRATHAP REDDY T - Advance"/>
        <s v="Prepaid - Gratuity"/>
        <s v="Prepaid Exp - Annual Support Cover"/>
        <s v="Prepaid Exp- Cargo Insurance"/>
        <s v="Prepaid Exp- Commercial General Liability Insurance"/>
        <s v="Prepaid Expenses"/>
        <s v="Prepaid Expenses - OPN Membership"/>
        <s v="Prepaid Legal Entity Identifier"/>
        <s v="Prepaid Rent Office (Madhavi H M)_x000a_"/>
        <s v="Prepaid Rent_x000a_"/>
        <s v="Prepaid Tally Licence_x000d__x000a_"/>
        <s v="Printer_x000a_"/>
        <s v="Printing &amp; Stationary"/>
        <s v="Pritam Madhav Saraf - NPS Payable"/>
        <s v="PROEDGE INFOTECH"/>
        <s v="Profession Tax Payable (Employees)"/>
        <s v="Professional Charges"/>
        <s v="Professional Fees"/>
        <s v="Profit &amp; Loss A/c"/>
        <s v="Provident Fund Payable"/>
        <s v="Provision for Auditors Remuneration"/>
        <s v="Provision for Auditor's Remuneration"/>
        <s v="Provision for Bonus"/>
        <s v="Provision for Depreciation_x000a_"/>
        <s v="Provision for Expenses"/>
        <s v="Provision for Income Tax F. Y. 2022-23"/>
        <s v="Provision for Income Tax F. Y. 2023-24"/>
        <s v="Provision for Income Tax F. Y. 2024-25"/>
        <s v="Purchase IGST 18%"/>
        <s v="Purchase Import - Services"/>
        <s v="Purchase Interstate 18% - Goods"/>
        <s v="Purchase Interstate 18% - Services"/>
        <s v="Purchase Local 18%"/>
        <s v="Purchase Local 18% - Goods"/>
        <s v="Purchase Local 18% - Services"/>
        <s v="Purchase Local 28% - Goods"/>
        <s v="Purchases Local - 18% - Goods"/>
        <s v="Purchases Local - 18% - Services"/>
        <s v="Ramakrishna Dodda - NPS Payable"/>
        <s v="Ramesh Reddy Gangireddy"/>
        <s v="Rathi Rathi &amp; Co."/>
        <s v="Rathi Rathi and Co."/>
        <s v="Rebate - Interstate"/>
        <s v="Rebate - Local"/>
        <s v="Recharge MITUS - Bonus"/>
        <s v="Recharge MITUS - Employee Expenses"/>
        <s v="Recharge MITUS - Health Insurance"/>
        <s v="Recharge MITUS - Hyderabad Office Exp (Rent)"/>
        <s v="Recharge MITUS - Hyderabad Office Internet"/>
        <s v="Recharge MITUS - National Pension Scheme"/>
        <s v="Recharge MITUS - Other Exps"/>
        <s v="Recharge MITUS - Others"/>
        <s v="Recharge MITUS - Professional Fees"/>
        <s v="Recharge MITUS - Provident Fund"/>
        <s v="Recharge MITUS - Salary"/>
        <s v="Recharge MITUS - Sodexo"/>
        <s v="Recharge of Employees - Services"/>
        <s v="Recharge of Other Expenses"/>
        <s v="Redington - Maharashtra"/>
        <s v="REDINGTON - Tamil Nadu"/>
        <s v="Reimbursement of Expenses"/>
        <s v="Reliance General Insurance Company Limited"/>
        <s v="Reliance Insurance"/>
        <s v="Rent"/>
        <s v="Repairs &amp; Maintenance - computer"/>
        <s v="Repairs &amp; Maintenance - Office"/>
        <s v="RGA Global Shared Services India Pvt. Ltd."/>
        <s v="RGA Life Reinsurance Company of Canada – India Branch"/>
        <s v="ROC Filing Charges"/>
        <s v="Rosen India Private Limited"/>
        <s v="Round-Off"/>
        <s v="Salary"/>
        <s v="Salary Payable"/>
        <s v="Sales - Meridian It Solution Pte Ltd - SG"/>
        <s v="Sales Interstate 18% - Goods"/>
        <s v="Sales Interstate 18% - Services"/>
        <s v="Sales Local 18% - Goods"/>
        <s v="Sales Local 18% - Services"/>
        <s v="Sales Local 28% - Goods"/>
        <s v="Samsung Curved Gaming Monitor - 2_x000a_"/>
        <s v="Samsung Curved Gaming Monitor_x000a_"/>
        <s v="Samsung External Monitor_x000a_"/>
        <s v="SANJAY BALWANTA YADAV - SALARY"/>
        <s v="SATISHKUMAR KV - NPS Payable"/>
        <s v="Savex Technologies - Tamil Nadu"/>
        <s v="Savex Technologies Pvt. Ltd."/>
        <s v="Savex Technologies Pvt. Ltd. - Delhi"/>
        <s v="Seagate External Hard Drive_x000a_"/>
        <s v="Server Life 3 Year_x000d__x000a_"/>
        <s v="SEZ - ZYCUS INFOTECH PRIVATE LIMITED"/>
        <s v="SEZ Sales Under LUT - Goods"/>
        <s v="SEZ Sales Under LUT - Services"/>
        <s v="SGST 14% -F Y 24-25"/>
        <s v="SGST- 9% - F. Y. 2024-25"/>
        <s v="SGST 9% - F. Y. 2023-24"/>
        <s v="Shree Sharvani Enterprises"/>
        <s v="SHREEJI INFOTECH"/>
        <s v="SMA Solar India Private Limited"/>
        <s v="Software Subscription"/>
        <s v="Sporta Technologies Private Limited"/>
        <s v="Staff Welfare Expenses"/>
        <s v="Surya Om Solutions"/>
        <s v="Swift Charges"/>
        <s v="SYED KHALEEL - NPS Payable"/>
        <s v="TATA TELESERVICES (MAHARASHTRA) LTD"/>
        <s v="TCS Liability - F. Y. 2020-21_x000a_"/>
        <s v="TCS Liability - F. Y. 2022-23"/>
        <s v="TCS Receivable - F. Y. 2021-22"/>
        <s v="TCS Receivable F. Y. 2020-21"/>
        <s v="TCS Recoverable From Customer - F. Y. 2021-22"/>
        <s v="TCS Recoverable From Customer - F. Y. 2022-23"/>
        <s v="Tds (Salary) F. Y. 2022-23"/>
        <s v="Tds (Salary) F. Y. 2023-24"/>
        <s v="TDS From Customer to Check 26AS F. Y. 2021-22"/>
        <s v="TDS From Customer to Check 26AS F. Y. 2022-23"/>
        <s v="TDS Interest"/>
        <s v="TDS on Bank FD - F.Y. 2020-21"/>
        <s v="TDS on Bank FD - F.Y. 2021-22"/>
        <s v="TDS on Bank FD - F.Y. 2022-23"/>
        <s v="Tds on Contractor - F. Y. 2019-20"/>
        <s v="Tds on Contractor F. Y. 2020-21"/>
        <s v="Tds on Contractor F. Y. 2023-24"/>
        <s v="TDS on Contractor F.Y. 2024-25"/>
        <s v="TDS on Goods - U/s 194Q - F. Y. 2023-24"/>
        <s v="TDS on Goods - U/s 194Q - F. Y. 2024-25"/>
        <s v="TDS on Import F.Y. 2024-25"/>
        <s v="Tds on Old Professional Fees"/>
        <s v="Tds on Professional Fees - F. Y. 2019-20"/>
        <s v="Tds on Professional Fees F. Y. 2020-21"/>
        <s v="Tds on Professional Fees F. Y. 2021-22"/>
        <s v="Tds on Professional Fees F. Y. 2022-23"/>
        <s v="Tds on Professional Fees F.Y. 2024-25"/>
        <s v="Tds on Professional Fees F. Y. 2023-24"/>
        <s v="Tds on Rent F. Y. 2019-20"/>
        <s v="Tds on Rent F. Y. 2023-24"/>
        <s v="TDS ON RENT F. Y. 2024-25"/>
        <s v="Tds on Royalty/Technical (195) - F. Y. 2021-22"/>
        <s v="Tds on Royalty/Technical (195) - F. Y. 2022-23"/>
        <s v="Tds on Royalty/Technical (195) - F. Y. 2023-24"/>
        <s v="TDS on Salary F.Y. 2024-25"/>
        <s v="TDS Receivable F. Y. 2020-21"/>
        <s v="TDS Receivable F. Y. 2021-22"/>
        <s v="TDS Receivable F. Y. 2022-23"/>
        <s v="TDS Receivable F. Y. 2023-24"/>
        <s v="TDS to Be Checked with 26AS - F.Y. 24-25"/>
        <s v="TDS to Be Checked with 26AS -F.Y. 2023-24"/>
        <s v="Tds( Salary) F. Y. 2024-25"/>
        <s v="Tech Data Advanced Private Limited"/>
        <s v="Tech Data Advanced Solutions (India) Private Limited"/>
        <s v="Tech Data Advanced Solutions (India) Pvt. Ltd. - Deb"/>
        <s v="Telephone - Land"/>
        <s v="Telephone - Mobile"/>
        <s v="Trafigura Global Services Private Limited"/>
        <s v="Training"/>
        <s v="Transparent Value Private Limited"/>
        <s v="Transportation - Local (No Overnight)"/>
        <s v="Unadjusted Forex Gain/Loss"/>
        <s v="Unbilled Revenue (Current Asset)"/>
        <s v="Utilities"/>
        <s v="Vat Deposit_x000d__x000a_"/>
        <s v="VIDEOJET TECHNOLOGIES (I) PRIVATE LIMITED"/>
        <s v="Vimal Vijay - NPS Payable"/>
        <s v="Vivek C - NPS Payable"/>
        <s v="Water Filter_x000d__x000a_"/>
        <s v="Window Server Software License_x000a_"/>
        <s v="Wuerth India Private Limited"/>
        <s v="Window Server Software License_x000d__x000a_" u="1"/>
      </sharedItems>
    </cacheField>
    <cacheField name="Amt as per TB" numFmtId="43">
      <sharedItems containsSemiMixedTypes="0" containsString="0" containsNumber="1" minValue="-209388671.03999999" maxValue="146907017.63"/>
    </cacheField>
    <cacheField name="Additional entries" numFmtId="43">
      <sharedItems containsSemiMixedTypes="0" containsString="0" containsNumber="1" minValue="-6614033.96" maxValue="1580410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3">
  <r>
    <x v="0"/>
    <n v="2526469.36"/>
    <n v="0"/>
  </r>
  <r>
    <x v="1"/>
    <n v="1196.7"/>
    <n v="0"/>
  </r>
  <r>
    <x v="2"/>
    <n v="-48433"/>
    <n v="48433"/>
  </r>
  <r>
    <x v="3"/>
    <n v="-25002"/>
    <n v="25002"/>
  </r>
  <r>
    <x v="4"/>
    <n v="-46800"/>
    <n v="46800"/>
  </r>
  <r>
    <x v="5"/>
    <n v="1483740"/>
    <n v="-719447"/>
  </r>
  <r>
    <x v="6"/>
    <n v="7700000"/>
    <n v="0"/>
  </r>
  <r>
    <x v="7"/>
    <n v="0"/>
    <n v="0"/>
  </r>
  <r>
    <x v="8"/>
    <n v="-184683"/>
    <n v="184683"/>
  </r>
  <r>
    <x v="9"/>
    <n v="0.08"/>
    <n v="0"/>
  </r>
  <r>
    <x v="10"/>
    <n v="0"/>
    <n v="0"/>
  </r>
  <r>
    <x v="11"/>
    <n v="792"/>
    <n v="-355"/>
  </r>
  <r>
    <x v="12"/>
    <n v="5302.94"/>
    <n v="-2390"/>
  </r>
  <r>
    <x v="13"/>
    <n v="-128520"/>
    <n v="128520"/>
  </r>
  <r>
    <x v="14"/>
    <n v="-12000"/>
    <n v="12000"/>
  </r>
  <r>
    <x v="15"/>
    <n v="10887.91"/>
    <n v="345922.64"/>
  </r>
  <r>
    <x v="16"/>
    <n v="-6968158.1699999999"/>
    <n v="6919991.1799999997"/>
  </r>
  <r>
    <x v="17"/>
    <n v="158659.45000000001"/>
    <n v="-20492"/>
  </r>
  <r>
    <x v="18"/>
    <n v="6217.86"/>
    <n v="0"/>
  </r>
  <r>
    <x v="19"/>
    <n v="-21929.77"/>
    <n v="0"/>
  </r>
  <r>
    <x v="20"/>
    <n v="-4358173.55"/>
    <n v="0"/>
  </r>
  <r>
    <x v="21"/>
    <n v="0"/>
    <n v="0"/>
  </r>
  <r>
    <x v="22"/>
    <n v="0"/>
    <n v="0"/>
  </r>
  <r>
    <x v="23"/>
    <n v="1206061.06"/>
    <n v="0"/>
  </r>
  <r>
    <x v="24"/>
    <n v="-25002"/>
    <n v="25002"/>
  </r>
  <r>
    <x v="25"/>
    <n v="-0.41"/>
    <n v="0"/>
  </r>
  <r>
    <x v="26"/>
    <n v="377000"/>
    <n v="0"/>
  </r>
  <r>
    <x v="27"/>
    <n v="0"/>
    <n v="0"/>
  </r>
  <r>
    <x v="28"/>
    <n v="-2068.85"/>
    <n v="2068.85"/>
  </r>
  <r>
    <x v="29"/>
    <n v="37.83"/>
    <n v="-37.83"/>
  </r>
  <r>
    <x v="30"/>
    <n v="7536495.4299999997"/>
    <n v="-6531378.5099999998"/>
  </r>
  <r>
    <x v="31"/>
    <n v="0"/>
    <n v="0"/>
  </r>
  <r>
    <x v="32"/>
    <n v="0"/>
    <n v="0"/>
  </r>
  <r>
    <x v="33"/>
    <n v="0"/>
    <n v="0"/>
  </r>
  <r>
    <x v="34"/>
    <n v="0"/>
    <n v="0"/>
  </r>
  <r>
    <x v="35"/>
    <n v="11191088.6"/>
    <n v="0"/>
  </r>
  <r>
    <x v="36"/>
    <n v="-472696.5"/>
    <n v="0"/>
  </r>
  <r>
    <x v="37"/>
    <n v="0"/>
    <n v="0"/>
  </r>
  <r>
    <x v="38"/>
    <n v="8844.35"/>
    <n v="-8844.35"/>
  </r>
  <r>
    <x v="39"/>
    <n v="0"/>
    <n v="0"/>
  </r>
  <r>
    <x v="40"/>
    <n v="-4227.04"/>
    <n v="4227.04"/>
  </r>
  <r>
    <x v="41"/>
    <n v="315963"/>
    <n v="0"/>
  </r>
  <r>
    <x v="42"/>
    <n v="-4223881.53"/>
    <n v="0"/>
  </r>
  <r>
    <x v="43"/>
    <n v="0"/>
    <n v="0"/>
  </r>
  <r>
    <x v="44"/>
    <n v="-0.16"/>
    <n v="0"/>
  </r>
  <r>
    <x v="45"/>
    <n v="35941"/>
    <n v="126084.395532"/>
  </r>
  <r>
    <x v="46"/>
    <n v="-12702.41"/>
    <n v="0"/>
  </r>
  <r>
    <x v="47"/>
    <n v="17808"/>
    <n v="-302.64999999999998"/>
  </r>
  <r>
    <x v="48"/>
    <n v="101250"/>
    <n v="-52386"/>
  </r>
  <r>
    <x v="49"/>
    <n v="10848"/>
    <n v="-6852"/>
  </r>
  <r>
    <x v="50"/>
    <n v="334"/>
    <n v="-28"/>
  </r>
  <r>
    <x v="51"/>
    <n v="300"/>
    <n v="0"/>
  </r>
  <r>
    <x v="52"/>
    <n v="15000"/>
    <n v="0"/>
  </r>
  <r>
    <x v="53"/>
    <n v="1064000"/>
    <n v="0"/>
  </r>
  <r>
    <x v="54"/>
    <n v="744600"/>
    <n v="0"/>
  </r>
  <r>
    <x v="55"/>
    <n v="91954.64"/>
    <n v="-2871.6400000000003"/>
  </r>
  <r>
    <x v="56"/>
    <n v="-659968.44999999995"/>
    <n v="0"/>
  </r>
  <r>
    <x v="57"/>
    <n v="0"/>
    <n v="0"/>
  </r>
  <r>
    <x v="58"/>
    <n v="-19306.740000000002"/>
    <n v="0"/>
  </r>
  <r>
    <x v="59"/>
    <n v="430"/>
    <n v="-430"/>
  </r>
  <r>
    <x v="60"/>
    <n v="-704449.22"/>
    <n v="704449.22"/>
  </r>
  <r>
    <x v="61"/>
    <n v="83724.009999999995"/>
    <n v="-13719.23"/>
  </r>
  <r>
    <x v="62"/>
    <n v="3557"/>
    <n v="0"/>
  </r>
  <r>
    <x v="63"/>
    <n v="0"/>
    <n v="0"/>
  </r>
  <r>
    <x v="64"/>
    <n v="-15000000"/>
    <n v="0"/>
  </r>
  <r>
    <x v="65"/>
    <n v="0"/>
    <n v="0"/>
  </r>
  <r>
    <x v="66"/>
    <n v="0"/>
    <n v="0"/>
  </r>
  <r>
    <x v="67"/>
    <n v="-42592703.700000003"/>
    <n v="0"/>
  </r>
  <r>
    <x v="68"/>
    <n v="-840206.36"/>
    <n v="586241.13"/>
  </r>
  <r>
    <x v="69"/>
    <n v="-729987.1"/>
    <n v="0"/>
  </r>
  <r>
    <x v="70"/>
    <n v="-4288002.32"/>
    <n v="274757.32"/>
  </r>
  <r>
    <x v="71"/>
    <n v="-904622.16"/>
    <n v="0"/>
  </r>
  <r>
    <x v="72"/>
    <n v="214.7"/>
    <n v="0"/>
  </r>
  <r>
    <x v="73"/>
    <n v="117493101"/>
    <n v="4774373"/>
  </r>
  <r>
    <x v="74"/>
    <n v="0.08"/>
    <n v="0"/>
  </r>
  <r>
    <x v="75"/>
    <n v="0"/>
    <n v="0"/>
  </r>
  <r>
    <x v="76"/>
    <n v="0"/>
    <n v="0"/>
  </r>
  <r>
    <x v="77"/>
    <n v="223952.01"/>
    <n v="586061.87943400245"/>
  </r>
  <r>
    <x v="78"/>
    <n v="49248.9"/>
    <n v="-669"/>
  </r>
  <r>
    <x v="79"/>
    <n v="5197.1499999999996"/>
    <n v="0"/>
  </r>
  <r>
    <x v="80"/>
    <n v="63969.49"/>
    <n v="0"/>
  </r>
  <r>
    <x v="81"/>
    <n v="0"/>
    <n v="0"/>
  </r>
  <r>
    <x v="82"/>
    <n v="-3347.82"/>
    <n v="0"/>
  </r>
  <r>
    <x v="83"/>
    <n v="213226.1"/>
    <n v="0"/>
  </r>
  <r>
    <x v="84"/>
    <n v="0"/>
    <n v="316630"/>
  </r>
  <r>
    <x v="85"/>
    <n v="1244900"/>
    <n v="-1055"/>
  </r>
  <r>
    <x v="86"/>
    <n v="1177049"/>
    <n v="10197.790000000001"/>
  </r>
  <r>
    <x v="87"/>
    <n v="0"/>
    <n v="677690"/>
  </r>
  <r>
    <x v="88"/>
    <n v="0"/>
    <n v="0"/>
  </r>
  <r>
    <x v="89"/>
    <n v="-389722.92"/>
    <n v="0"/>
  </r>
  <r>
    <x v="90"/>
    <n v="0"/>
    <n v="0"/>
  </r>
  <r>
    <x v="91"/>
    <n v="0"/>
    <n v="0"/>
  </r>
  <r>
    <x v="92"/>
    <n v="-2647.01"/>
    <n v="-675042.99"/>
  </r>
  <r>
    <x v="93"/>
    <n v="-39493.25"/>
    <n v="39493.25"/>
  </r>
  <r>
    <x v="94"/>
    <n v="0"/>
    <n v="0"/>
  </r>
  <r>
    <x v="95"/>
    <n v="11398"/>
    <n v="-11398"/>
  </r>
  <r>
    <x v="96"/>
    <n v="278.95"/>
    <n v="0"/>
  </r>
  <r>
    <x v="97"/>
    <n v="116820"/>
    <n v="-1980"/>
  </r>
  <r>
    <x v="98"/>
    <n v="779573"/>
    <n v="0"/>
  </r>
  <r>
    <x v="99"/>
    <n v="0"/>
    <n v="0"/>
  </r>
  <r>
    <x v="100"/>
    <n v="8180"/>
    <n v="0"/>
  </r>
  <r>
    <x v="101"/>
    <n v="-4418459.6500000004"/>
    <n v="4510526.8099999996"/>
  </r>
  <r>
    <x v="102"/>
    <n v="-708.5"/>
    <n v="708.5"/>
  </r>
  <r>
    <x v="103"/>
    <n v="5152"/>
    <n v="0"/>
  </r>
  <r>
    <x v="104"/>
    <n v="-453997"/>
    <n v="0"/>
  </r>
  <r>
    <x v="105"/>
    <n v="453997"/>
    <n v="0"/>
  </r>
  <r>
    <x v="106"/>
    <n v="-120716.2"/>
    <n v="-734317.72"/>
  </r>
  <r>
    <x v="107"/>
    <n v="10342858.35"/>
    <n v="0"/>
  </r>
  <r>
    <x v="108"/>
    <n v="-215210"/>
    <n v="215210"/>
  </r>
  <r>
    <x v="109"/>
    <n v="0"/>
    <n v="0"/>
  </r>
  <r>
    <x v="110"/>
    <n v="-0.01"/>
    <n v="0"/>
  </r>
  <r>
    <x v="111"/>
    <n v="0"/>
    <n v="0"/>
  </r>
  <r>
    <x v="112"/>
    <n v="-25266951.75"/>
    <n v="0"/>
  </r>
  <r>
    <x v="113"/>
    <n v="0.74"/>
    <n v="0"/>
  </r>
  <r>
    <x v="114"/>
    <n v="246035.78"/>
    <n v="40696.448767123249"/>
  </r>
  <r>
    <x v="115"/>
    <n v="0"/>
    <n v="0"/>
  </r>
  <r>
    <x v="116"/>
    <n v="-851981"/>
    <n v="-4600138"/>
  </r>
  <r>
    <x v="117"/>
    <n v="705075"/>
    <n v="0"/>
  </r>
  <r>
    <x v="118"/>
    <n v="12204.86"/>
    <n v="0"/>
  </r>
  <r>
    <x v="119"/>
    <n v="0.5"/>
    <n v="0"/>
  </r>
  <r>
    <x v="120"/>
    <n v="1424"/>
    <n v="-118"/>
  </r>
  <r>
    <x v="121"/>
    <n v="6160"/>
    <n v="-6160"/>
  </r>
  <r>
    <x v="122"/>
    <n v="427.5"/>
    <n v="-427.5"/>
  </r>
  <r>
    <x v="123"/>
    <n v="30390.6"/>
    <n v="-30390.6"/>
  </r>
  <r>
    <x v="124"/>
    <n v="38487.269999999997"/>
    <n v="163914.12999999998"/>
  </r>
  <r>
    <x v="125"/>
    <n v="0"/>
    <n v="0"/>
  </r>
  <r>
    <x v="126"/>
    <n v="0"/>
    <n v="0"/>
  </r>
  <r>
    <x v="127"/>
    <n v="0"/>
    <n v="0"/>
  </r>
  <r>
    <x v="128"/>
    <n v="-270.32"/>
    <n v="0"/>
  </r>
  <r>
    <x v="129"/>
    <n v="-33649"/>
    <n v="33649"/>
  </r>
  <r>
    <x v="130"/>
    <n v="5007918.18"/>
    <n v="0"/>
  </r>
  <r>
    <x v="131"/>
    <n v="7250"/>
    <n v="0"/>
  </r>
  <r>
    <x v="132"/>
    <n v="7286.25"/>
    <n v="0"/>
  </r>
  <r>
    <x v="133"/>
    <n v="3572"/>
    <n v="0"/>
  </r>
  <r>
    <x v="134"/>
    <n v="8400"/>
    <n v="0"/>
  </r>
  <r>
    <x v="135"/>
    <n v="108750"/>
    <n v="-25781"/>
  </r>
  <r>
    <x v="136"/>
    <n v="1506"/>
    <n v="0"/>
  </r>
  <r>
    <x v="137"/>
    <n v="3000"/>
    <n v="0"/>
  </r>
  <r>
    <x v="138"/>
    <n v="3000"/>
    <n v="0"/>
  </r>
  <r>
    <x v="139"/>
    <n v="235470.11"/>
    <n v="0"/>
  </r>
  <r>
    <x v="140"/>
    <n v="235470.1"/>
    <n v="0"/>
  </r>
  <r>
    <x v="141"/>
    <n v="2933405.65"/>
    <n v="0"/>
  </r>
  <r>
    <x v="142"/>
    <n v="-208980"/>
    <n v="22750"/>
  </r>
  <r>
    <x v="143"/>
    <n v="5566887.8600000003"/>
    <n v="0"/>
  </r>
  <r>
    <x v="144"/>
    <n v="0"/>
    <n v="0"/>
  </r>
  <r>
    <x v="145"/>
    <n v="158108.20000000001"/>
    <n v="0"/>
  </r>
  <r>
    <x v="146"/>
    <n v="0"/>
    <n v="0"/>
  </r>
  <r>
    <x v="147"/>
    <n v="2377905.7999999998"/>
    <n v="0"/>
  </r>
  <r>
    <x v="148"/>
    <n v="3771870.52"/>
    <n v="222882.90000000002"/>
  </r>
  <r>
    <x v="149"/>
    <n v="1326453"/>
    <n v="0"/>
  </r>
  <r>
    <x v="150"/>
    <n v="0"/>
    <n v="0"/>
  </r>
  <r>
    <x v="151"/>
    <n v="-0.23"/>
    <n v="0"/>
  </r>
  <r>
    <x v="152"/>
    <n v="3983.89"/>
    <n v="0"/>
  </r>
  <r>
    <x v="153"/>
    <n v="0.46"/>
    <n v="301.85000000000002"/>
  </r>
  <r>
    <x v="154"/>
    <n v="40212121.079999998"/>
    <n v="-525080.02283400297"/>
  </r>
  <r>
    <x v="155"/>
    <n v="-6040243.3600000003"/>
    <n v="73074.153400000519"/>
  </r>
  <r>
    <x v="156"/>
    <n v="0"/>
    <n v="0"/>
  </r>
  <r>
    <x v="157"/>
    <n v="700614"/>
    <n v="0"/>
  </r>
  <r>
    <x v="158"/>
    <n v="0"/>
    <n v="0"/>
  </r>
  <r>
    <x v="159"/>
    <n v="60384.639999999999"/>
    <n v="0"/>
  </r>
  <r>
    <x v="160"/>
    <n v="-1"/>
    <n v="-466808.04"/>
  </r>
  <r>
    <x v="161"/>
    <n v="-54000"/>
    <n v="0"/>
  </r>
  <r>
    <x v="162"/>
    <n v="0"/>
    <n v="0"/>
  </r>
  <r>
    <x v="163"/>
    <n v="0"/>
    <n v="0"/>
  </r>
  <r>
    <x v="164"/>
    <n v="0"/>
    <n v="0"/>
  </r>
  <r>
    <x v="165"/>
    <n v="0"/>
    <n v="0"/>
  </r>
  <r>
    <x v="166"/>
    <n v="-822270.4"/>
    <n v="31006"/>
  </r>
  <r>
    <x v="167"/>
    <n v="458193"/>
    <n v="-458193"/>
  </r>
  <r>
    <x v="168"/>
    <n v="0"/>
    <n v="0"/>
  </r>
  <r>
    <x v="169"/>
    <n v="-24500"/>
    <n v="0"/>
  </r>
  <r>
    <x v="170"/>
    <n v="0"/>
    <n v="0"/>
  </r>
  <r>
    <x v="171"/>
    <n v="0"/>
    <n v="0"/>
  </r>
  <r>
    <x v="172"/>
    <n v="0"/>
    <n v="0"/>
  </r>
  <r>
    <x v="173"/>
    <n v="575"/>
    <n v="0"/>
  </r>
  <r>
    <x v="174"/>
    <n v="2100"/>
    <n v="0"/>
  </r>
  <r>
    <x v="175"/>
    <n v="170918.02"/>
    <n v="-150"/>
  </r>
  <r>
    <x v="176"/>
    <n v="1450.33"/>
    <n v="-344.33"/>
  </r>
  <r>
    <x v="177"/>
    <n v="-362850"/>
    <n v="0"/>
  </r>
  <r>
    <x v="178"/>
    <n v="362850"/>
    <n v="0"/>
  </r>
  <r>
    <x v="179"/>
    <n v="-81126.94"/>
    <n v="0"/>
  </r>
  <r>
    <x v="180"/>
    <n v="-94655"/>
    <n v="94655"/>
  </r>
  <r>
    <x v="181"/>
    <n v="-310400"/>
    <n v="310400"/>
  </r>
  <r>
    <x v="182"/>
    <n v="11418417.48"/>
    <n v="150"/>
  </r>
  <r>
    <x v="183"/>
    <n v="-11418568.539999999"/>
    <n v="0"/>
  </r>
  <r>
    <x v="184"/>
    <n v="-286080.03000000003"/>
    <n v="-82704"/>
  </r>
  <r>
    <x v="185"/>
    <n v="-36000"/>
    <n v="3600"/>
  </r>
  <r>
    <x v="186"/>
    <n v="0.34"/>
    <n v="4157.8800000001211"/>
  </r>
  <r>
    <x v="187"/>
    <n v="0"/>
    <n v="0"/>
  </r>
  <r>
    <x v="188"/>
    <n v="62932.92"/>
    <n v="-62932.92"/>
  </r>
  <r>
    <x v="189"/>
    <n v="25267.5"/>
    <n v="-7794.2506849315105"/>
  </r>
  <r>
    <x v="190"/>
    <n v="212400"/>
    <n v="-41316.164383561598"/>
  </r>
  <r>
    <x v="191"/>
    <n v="104078.47"/>
    <n v="619.71561643834866"/>
  </r>
  <r>
    <x v="192"/>
    <n v="26225.9"/>
    <n v="2059.0171270718201"/>
  </r>
  <r>
    <x v="193"/>
    <n v="26450.81"/>
    <n v="0"/>
  </r>
  <r>
    <x v="194"/>
    <n v="9937.27"/>
    <n v="0"/>
  </r>
  <r>
    <x v="195"/>
    <n v="107343.2"/>
    <n v="0"/>
  </r>
  <r>
    <x v="196"/>
    <n v="238219.44"/>
    <n v="347437.36"/>
  </r>
  <r>
    <x v="197"/>
    <n v="0"/>
    <n v="0"/>
  </r>
  <r>
    <x v="198"/>
    <n v="683"/>
    <n v="0"/>
  </r>
  <r>
    <x v="199"/>
    <n v="0"/>
    <n v="0"/>
  </r>
  <r>
    <x v="200"/>
    <n v="-27832"/>
    <n v="27832"/>
  </r>
  <r>
    <x v="201"/>
    <n v="-8614"/>
    <n v="0"/>
  </r>
  <r>
    <x v="202"/>
    <n v="-9700"/>
    <n v="4600"/>
  </r>
  <r>
    <x v="203"/>
    <n v="2189560"/>
    <n v="-432766"/>
  </r>
  <r>
    <x v="204"/>
    <n v="36000.9"/>
    <n v="-24750"/>
  </r>
  <r>
    <x v="205"/>
    <n v="-80874157.920000002"/>
    <n v="0"/>
  </r>
  <r>
    <x v="206"/>
    <n v="-1405795.56"/>
    <n v="-4157.8800000001211"/>
  </r>
  <r>
    <x v="207"/>
    <n v="-393400"/>
    <n v="0"/>
  </r>
  <r>
    <x v="208"/>
    <n v="-168600"/>
    <n v="0"/>
  </r>
  <r>
    <x v="209"/>
    <n v="-3343429"/>
    <n v="0"/>
  </r>
  <r>
    <x v="210"/>
    <n v="-91954.64"/>
    <n v="91954.64"/>
  </r>
  <r>
    <x v="211"/>
    <n v="-188234"/>
    <n v="0"/>
  </r>
  <r>
    <x v="212"/>
    <n v="-6815666"/>
    <n v="6815666"/>
  </r>
  <r>
    <x v="213"/>
    <n v="-736322.8"/>
    <n v="736322.8"/>
  </r>
  <r>
    <x v="214"/>
    <n v="-10342858.35"/>
    <n v="0"/>
  </r>
  <r>
    <x v="215"/>
    <n v="-6480"/>
    <n v="0"/>
  </r>
  <r>
    <x v="216"/>
    <n v="31458121.219999999"/>
    <n v="0"/>
  </r>
  <r>
    <x v="217"/>
    <n v="27963531.23"/>
    <n v="0"/>
  </r>
  <r>
    <x v="218"/>
    <n v="74019196.129999995"/>
    <n v="0"/>
  </r>
  <r>
    <x v="219"/>
    <n v="2864.25"/>
    <n v="0"/>
  </r>
  <r>
    <x v="220"/>
    <n v="133433069.66"/>
    <n v="0"/>
  </r>
  <r>
    <x v="221"/>
    <n v="8549630.8800000008"/>
    <n v="0"/>
  </r>
  <r>
    <x v="222"/>
    <n v="180550"/>
    <n v="0"/>
  </r>
  <r>
    <x v="223"/>
    <n v="0"/>
    <n v="0"/>
  </r>
  <r>
    <x v="224"/>
    <n v="0"/>
    <n v="0"/>
  </r>
  <r>
    <x v="225"/>
    <n v="-65244"/>
    <n v="65244"/>
  </r>
  <r>
    <x v="226"/>
    <n v="0"/>
    <n v="0"/>
  </r>
  <r>
    <x v="227"/>
    <n v="39340"/>
    <n v="0"/>
  </r>
  <r>
    <x v="228"/>
    <n v="-4740"/>
    <n v="0"/>
  </r>
  <r>
    <x v="229"/>
    <n v="-128248.63"/>
    <n v="0"/>
  </r>
  <r>
    <x v="230"/>
    <n v="0"/>
    <n v="0"/>
  </r>
  <r>
    <x v="231"/>
    <n v="28167"/>
    <n v="0"/>
  </r>
  <r>
    <x v="232"/>
    <n v="4363183.9800000004"/>
    <n v="0"/>
  </r>
  <r>
    <x v="233"/>
    <n v="3392920.26"/>
    <n v="-1427950.1863013699"/>
  </r>
  <r>
    <x v="234"/>
    <n v="8407740"/>
    <n v="-599733.76000000001"/>
  </r>
  <r>
    <x v="235"/>
    <n v="178774.1"/>
    <n v="-2059.0171270718201"/>
  </r>
  <r>
    <x v="236"/>
    <n v="0"/>
    <n v="0"/>
  </r>
  <r>
    <x v="237"/>
    <n v="0"/>
    <n v="0"/>
  </r>
  <r>
    <x v="238"/>
    <n v="4280286.79"/>
    <n v="0"/>
  </r>
  <r>
    <x v="239"/>
    <n v="1020942"/>
    <n v="0"/>
  </r>
  <r>
    <x v="240"/>
    <n v="8445420.2200000007"/>
    <n v="0"/>
  </r>
  <r>
    <x v="241"/>
    <n v="146907017.63"/>
    <n v="-798674.22"/>
  </r>
  <r>
    <x v="242"/>
    <n v="0"/>
    <n v="0"/>
  </r>
  <r>
    <x v="243"/>
    <n v="-209388671.03999999"/>
    <n v="3522185.4320455571"/>
  </r>
  <r>
    <x v="244"/>
    <n v="-1193471.78"/>
    <n v="46312.86"/>
  </r>
  <r>
    <x v="245"/>
    <n v="0"/>
    <n v="0"/>
  </r>
  <r>
    <x v="246"/>
    <n v="-58113.700000000004"/>
    <n v="0"/>
  </r>
  <r>
    <x v="247"/>
    <n v="0.4"/>
    <n v="-560"/>
  </r>
  <r>
    <x v="248"/>
    <n v="0"/>
    <n v="0"/>
  </r>
  <r>
    <x v="249"/>
    <n v="-62688"/>
    <n v="62688"/>
  </r>
  <r>
    <x v="250"/>
    <n v="1377663"/>
    <n v="76325.333333333256"/>
  </r>
  <r>
    <x v="251"/>
    <n v="7985"/>
    <n v="0"/>
  </r>
  <r>
    <x v="252"/>
    <n v="10500"/>
    <n v="0"/>
  </r>
  <r>
    <x v="253"/>
    <n v="-1.06"/>
    <n v="0"/>
  </r>
  <r>
    <x v="254"/>
    <n v="0.53"/>
    <n v="0"/>
  </r>
  <r>
    <x v="255"/>
    <n v="0"/>
    <n v="0"/>
  </r>
  <r>
    <x v="256"/>
    <n v="0.01"/>
    <n v="0"/>
  </r>
  <r>
    <x v="257"/>
    <n v="19.98"/>
    <n v="0"/>
  </r>
  <r>
    <x v="258"/>
    <n v="0"/>
    <n v="0"/>
  </r>
  <r>
    <x v="259"/>
    <n v="-275008"/>
    <n v="0"/>
  </r>
  <r>
    <x v="260"/>
    <n v="0"/>
    <n v="0"/>
  </r>
  <r>
    <x v="261"/>
    <n v="-15443674.32"/>
    <n v="0"/>
  </r>
  <r>
    <x v="262"/>
    <n v="-3493327.81"/>
    <n v="593188.43000000005"/>
  </r>
  <r>
    <x v="263"/>
    <n v="-122871258.02"/>
    <n v="-5872674.1799999997"/>
  </r>
  <r>
    <x v="264"/>
    <n v="-113631610.14"/>
    <n v="15804108"/>
  </r>
  <r>
    <x v="265"/>
    <n v="-195327.52"/>
    <n v="0"/>
  </r>
  <r>
    <x v="266"/>
    <n v="1357.5"/>
    <n v="0"/>
  </r>
  <r>
    <x v="267"/>
    <n v="1044.5"/>
    <n v="0"/>
  </r>
  <r>
    <x v="268"/>
    <n v="4182.37"/>
    <n v="0"/>
  </r>
  <r>
    <x v="269"/>
    <n v="1396998"/>
    <n v="0"/>
  </r>
  <r>
    <x v="270"/>
    <n v="-104272"/>
    <n v="104272"/>
  </r>
  <r>
    <x v="271"/>
    <n v="16400"/>
    <n v="0"/>
  </r>
  <r>
    <x v="272"/>
    <n v="-3333553.79"/>
    <n v="0"/>
  </r>
  <r>
    <x v="273"/>
    <n v="-111118.54"/>
    <n v="0"/>
  </r>
  <r>
    <x v="274"/>
    <n v="390.9"/>
    <n v="-115"/>
  </r>
  <r>
    <x v="275"/>
    <n v="0"/>
    <n v="0"/>
  </r>
  <r>
    <x v="276"/>
    <n v="0"/>
    <n v="0"/>
  </r>
  <r>
    <x v="277"/>
    <n v="-1600"/>
    <n v="0"/>
  </r>
  <r>
    <x v="278"/>
    <n v="-331689.56"/>
    <n v="109691.02"/>
  </r>
  <r>
    <x v="279"/>
    <n v="-2068.85"/>
    <n v="2068.85"/>
  </r>
  <r>
    <x v="280"/>
    <n v="2691438.73"/>
    <n v="812196.02000000014"/>
  </r>
  <r>
    <x v="281"/>
    <n v="58.11"/>
    <n v="-58.11"/>
  </r>
  <r>
    <x v="282"/>
    <n v="471.95"/>
    <n v="0"/>
  </r>
  <r>
    <x v="283"/>
    <n v="0"/>
    <n v="0"/>
  </r>
  <r>
    <x v="284"/>
    <n v="0"/>
    <n v="0"/>
  </r>
  <r>
    <x v="285"/>
    <n v="116387.92"/>
    <n v="7794.2506849315105"/>
  </r>
  <r>
    <x v="286"/>
    <n v="0"/>
    <n v="0"/>
  </r>
  <r>
    <x v="287"/>
    <n v="0"/>
    <n v="0"/>
  </r>
  <r>
    <x v="288"/>
    <n v="0"/>
    <n v="0"/>
  </r>
  <r>
    <x v="289"/>
    <n v="2500"/>
    <n v="0"/>
  </r>
  <r>
    <x v="290"/>
    <n v="-107844"/>
    <n v="107844"/>
  </r>
  <r>
    <x v="291"/>
    <n v="-117"/>
    <n v="0"/>
  </r>
  <r>
    <x v="292"/>
    <n v="130.33000000000001"/>
    <n v="-130.33000000000001"/>
  </r>
  <r>
    <x v="293"/>
    <n v="0"/>
    <n v="0"/>
  </r>
  <r>
    <x v="294"/>
    <n v="0"/>
    <n v="0"/>
  </r>
  <r>
    <x v="295"/>
    <n v="0"/>
    <n v="0"/>
  </r>
  <r>
    <x v="296"/>
    <n v="-5152"/>
    <n v="5152"/>
  </r>
  <r>
    <x v="297"/>
    <n v="90"/>
    <n v="-90"/>
  </r>
  <r>
    <x v="298"/>
    <n v="0"/>
    <n v="0"/>
  </r>
  <r>
    <x v="299"/>
    <n v="149494"/>
    <n v="0"/>
  </r>
  <r>
    <x v="300"/>
    <n v="0"/>
    <n v="0"/>
  </r>
  <r>
    <x v="301"/>
    <n v="830.13"/>
    <n v="-830.13"/>
  </r>
  <r>
    <x v="302"/>
    <n v="3101"/>
    <n v="0"/>
  </r>
  <r>
    <x v="303"/>
    <n v="0"/>
    <n v="0"/>
  </r>
  <r>
    <x v="304"/>
    <n v="0"/>
    <n v="0"/>
  </r>
  <r>
    <x v="305"/>
    <n v="179937"/>
    <n v="-179937"/>
  </r>
  <r>
    <x v="306"/>
    <n v="-423.62"/>
    <n v="0"/>
  </r>
  <r>
    <x v="307"/>
    <n v="7.0000000000000007E-2"/>
    <n v="0"/>
  </r>
  <r>
    <x v="308"/>
    <n v="-1098"/>
    <n v="0"/>
  </r>
  <r>
    <x v="309"/>
    <n v="-3742.84"/>
    <n v="0"/>
  </r>
  <r>
    <x v="310"/>
    <n v="0"/>
    <n v="0"/>
  </r>
  <r>
    <x v="311"/>
    <n v="-26237.97"/>
    <n v="0"/>
  </r>
  <r>
    <x v="312"/>
    <n v="-0.15"/>
    <n v="0"/>
  </r>
  <r>
    <x v="313"/>
    <n v="1909"/>
    <n v="0"/>
  </r>
  <r>
    <x v="314"/>
    <n v="4423.93"/>
    <n v="0"/>
  </r>
  <r>
    <x v="315"/>
    <n v="158.5"/>
    <n v="0"/>
  </r>
  <r>
    <x v="316"/>
    <n v="-11569"/>
    <n v="0"/>
  </r>
  <r>
    <x v="317"/>
    <n v="212"/>
    <n v="0"/>
  </r>
  <r>
    <x v="318"/>
    <n v="4358.3900000000003"/>
    <n v="-7855.9966666666623"/>
  </r>
  <r>
    <x v="319"/>
    <n v="21113.439999999999"/>
    <n v="0"/>
  </r>
  <r>
    <x v="320"/>
    <n v="0.5"/>
    <n v="0"/>
  </r>
  <r>
    <x v="321"/>
    <n v="-944"/>
    <n v="0"/>
  </r>
  <r>
    <x v="322"/>
    <n v="-81710.7"/>
    <n v="0"/>
  </r>
  <r>
    <x v="323"/>
    <n v="3.22"/>
    <n v="0"/>
  </r>
  <r>
    <x v="324"/>
    <n v="171634.59"/>
    <n v="0"/>
  </r>
  <r>
    <x v="325"/>
    <n v="691936.21"/>
    <n v="0"/>
  </r>
  <r>
    <x v="326"/>
    <n v="-72925"/>
    <n v="0"/>
  </r>
  <r>
    <x v="327"/>
    <n v="0"/>
    <n v="0"/>
  </r>
  <r>
    <x v="328"/>
    <n v="0"/>
    <n v="0"/>
  </r>
  <r>
    <x v="329"/>
    <n v="6614033.96"/>
    <n v="-6614033.96"/>
  </r>
  <r>
    <x v="330"/>
    <n v="-213.71"/>
    <n v="213.71"/>
  </r>
  <r>
    <x v="331"/>
    <n v="2261961.5699999998"/>
    <n v="-2261944.4099999997"/>
  </r>
  <r>
    <x v="332"/>
    <n v="2218.79"/>
    <n v="-2218.79"/>
  </r>
  <r>
    <x v="333"/>
    <n v="-1781311"/>
    <n v="0"/>
  </r>
  <r>
    <x v="334"/>
    <n v="-4753251.7"/>
    <n v="0"/>
  </r>
  <r>
    <x v="335"/>
    <n v="-0.45"/>
    <n v="0"/>
  </r>
  <r>
    <x v="336"/>
    <n v="0"/>
    <n v="0"/>
  </r>
  <r>
    <x v="337"/>
    <n v="19697.98"/>
    <n v="0"/>
  </r>
  <r>
    <x v="338"/>
    <n v="47004.26"/>
    <n v="0"/>
  </r>
  <r>
    <x v="339"/>
    <n v="0"/>
    <n v="0"/>
  </r>
  <r>
    <x v="340"/>
    <n v="41386.51"/>
    <n v="0"/>
  </r>
  <r>
    <x v="341"/>
    <n v="0"/>
    <n v="0"/>
  </r>
  <r>
    <x v="342"/>
    <n v="125583.6"/>
    <n v="0"/>
  </r>
  <r>
    <x v="343"/>
    <n v="370367.69"/>
    <n v="0"/>
  </r>
  <r>
    <x v="344"/>
    <n v="605978.1"/>
    <n v="-605978.1"/>
  </r>
  <r>
    <x v="345"/>
    <n v="49703"/>
    <n v="0"/>
  </r>
  <r>
    <x v="346"/>
    <n v="0"/>
    <n v="0"/>
  </r>
  <r>
    <x v="347"/>
    <n v="0"/>
    <n v="0"/>
  </r>
  <r>
    <x v="348"/>
    <n v="-8915"/>
    <n v="8915"/>
  </r>
  <r>
    <x v="349"/>
    <n v="-8334"/>
    <n v="0"/>
  </r>
  <r>
    <x v="350"/>
    <n v="0"/>
    <n v="0"/>
  </r>
  <r>
    <x v="351"/>
    <n v="2667"/>
    <n v="-2667"/>
  </r>
  <r>
    <x v="352"/>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357" firstHeaderRow="1" firstDataRow="1" firstDataCol="1"/>
  <pivotFields count="3">
    <pivotField axis="axisRow" showAll="0">
      <items count="35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2"/>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3"/>
        <item x="144"/>
        <item x="145"/>
        <item x="146"/>
        <item x="147"/>
        <item x="148"/>
        <item x="149"/>
        <item x="150"/>
        <item x="151"/>
        <item x="152"/>
        <item x="153"/>
        <item x="154"/>
        <item x="155"/>
        <item x="156"/>
        <item x="157"/>
        <item x="158"/>
        <item x="159"/>
        <item x="160"/>
        <item x="142"/>
        <item x="161"/>
        <item x="162"/>
        <item x="163"/>
        <item x="164"/>
        <item x="165"/>
        <item x="166"/>
        <item x="167"/>
        <item x="168"/>
        <item x="169"/>
        <item x="170"/>
        <item x="171"/>
        <item x="172"/>
        <item x="173"/>
        <item x="174"/>
        <item x="175"/>
        <item x="176"/>
        <item x="177"/>
        <item x="0"/>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1"/>
        <item x="280"/>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9"/>
        <item x="318"/>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m="1" x="353"/>
        <item x="352"/>
        <item x="178"/>
        <item x="351"/>
        <item t="default"/>
      </items>
    </pivotField>
    <pivotField numFmtId="43" showAll="0"/>
    <pivotField dataField="1" numFmtId="43" showAll="0"/>
  </pivotFields>
  <rowFields count="1">
    <field x="0"/>
  </rowFields>
  <rowItems count="3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1"/>
    </i>
    <i>
      <x v="352"/>
    </i>
    <i>
      <x v="353"/>
    </i>
    <i t="grand">
      <x/>
    </i>
  </rowItems>
  <colItems count="1">
    <i/>
  </colItems>
  <dataFields count="1">
    <dataField name="Sum of Additional entries" fld="2" baseField="0" baseItem="0" numFmtId="4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ExternalData_1" connectionId="4" autoFormatId="16" applyNumberFormats="0" applyBorderFormats="0" applyFontFormats="0" applyPatternFormats="0" applyAlignmentFormats="0" applyWidthHeightFormats="0">
  <queryTableRefresh nextId="6">
    <queryTableFields count="5">
      <queryTableField id="1" name="$_PrimaryGroup" tableColumnId="1"/>
      <queryTableField id="2" name="$Parent" tableColumnId="2"/>
      <queryTableField id="3" name="$Name" tableColumnId="3"/>
      <queryTableField id="4" name="Opening Balance" tableColumnId="4"/>
      <queryTableField id="5" name="Closing Balance" tableColumnId="5"/>
    </queryTableFields>
  </queryTableRefresh>
</queryTable>
</file>

<file path=xl/queryTables/queryTable2.xml><?xml version="1.0" encoding="utf-8"?>
<queryTable xmlns="http://schemas.openxmlformats.org/spreadsheetml/2006/main" name="ExternalData_2" connectionId="8" autoFormatId="16" applyNumberFormats="0" applyBorderFormats="0" applyFontFormats="0" applyPatternFormats="0" applyAlignmentFormats="0" applyWidthHeightFormats="0">
  <queryTableRefresh nextId="14">
    <queryTableFields count="5">
      <queryTableField id="6" name="$_PrimaryGroup" tableColumnId="1"/>
      <queryTableField id="7" name="$Parent" tableColumnId="2"/>
      <queryTableField id="8" name="$Name" tableColumnId="3"/>
      <queryTableField id="9" name="Opening Balance" tableColumnId="4"/>
      <queryTableField id="5" name="Closing Balance" tableColumnId="5"/>
    </queryTableFields>
  </queryTableRefresh>
</queryTable>
</file>

<file path=xl/queryTables/queryTable3.xml><?xml version="1.0" encoding="utf-8"?>
<queryTable xmlns="http://schemas.openxmlformats.org/spreadsheetml/2006/main" name="ExternalData_3" connectionId="7" autoFormatId="16" applyNumberFormats="0" applyBorderFormats="0" applyFontFormats="0" applyPatternFormats="0" applyAlignmentFormats="0" applyWidthHeightFormats="0">
  <queryTableRefresh nextId="10">
    <queryTableFields count="5">
      <queryTableField id="1" name="$_PrimaryGroup" tableColumnId="1"/>
      <queryTableField id="2" name="$Parent" tableColumnId="2"/>
      <queryTableField id="3" name="$Name" tableColumnId="3"/>
      <queryTableField id="8" name="Opening Balance" tableColumnId="6"/>
      <queryTableField id="9" name="Closing Balance" tableColumnId="7"/>
    </queryTableFields>
  </queryTableRefresh>
</queryTable>
</file>

<file path=xl/queryTables/queryTable4.xml><?xml version="1.0" encoding="utf-8"?>
<queryTable xmlns="http://schemas.openxmlformats.org/spreadsheetml/2006/main" name="ExternalData_1" connectionId="3" autoFormatId="16" applyNumberFormats="0" applyBorderFormats="0" applyFontFormats="0" applyPatternFormats="0" applyAlignmentFormats="0" applyWidthHeightFormats="0">
  <queryTableRefresh nextId="11" unboundColumnsRight="4">
    <queryTableFields count="9">
      <queryTableField id="1" name="$_PrimaryGroup" tableColumnId="1"/>
      <queryTableField id="2" name="$Parent" tableColumnId="2"/>
      <queryTableField id="3" name="$Name" tableColumnId="3"/>
      <queryTableField id="4" name="Opening Balance" tableColumnId="4"/>
      <queryTableField id="5" name="Closing Balance" tableColumnId="5"/>
      <queryTableField id="6" dataBound="0" tableColumnId="6"/>
      <queryTableField id="7" dataBound="0" tableColumnId="7"/>
      <queryTableField id="8" dataBound="0" tableColumnId="8"/>
      <queryTableField id="10" dataBound="0" tableColumnId="9"/>
    </queryTableFields>
    <queryTableDeletedFields count="1">
      <deletedField name="Multiplication"/>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2" name="Latest_TB" displayName="Latest_TB" ref="A5:E1088" tableType="queryTable" totalsRowShown="0">
  <autoFilter ref="A5:E1088"/>
  <tableColumns count="5">
    <tableColumn id="1" uniqueName="1" name="$_PrimaryGroup" queryTableFieldId="1" dataDxfId="164"/>
    <tableColumn id="2" uniqueName="2" name="$Parent" queryTableFieldId="2" dataDxfId="163"/>
    <tableColumn id="3" uniqueName="3" name="$Name" queryTableFieldId="3" dataDxfId="162"/>
    <tableColumn id="4" uniqueName="4" name="Opening Balance" queryTableFieldId="4" dataDxfId="161" dataCellStyle="Comma [0]"/>
    <tableColumn id="5" uniqueName="5" name="Closing Balance" queryTableFieldId="5" dataDxfId="160" dataCellStyle="Comma [0]"/>
  </tableColumns>
  <tableStyleInfo name="TableStyleMedium7" showFirstColumn="0" showLastColumn="0" showRowStripes="1" showColumnStripes="0"/>
</table>
</file>

<file path=xl/tables/table2.xml><?xml version="1.0" encoding="utf-8"?>
<table xmlns="http://schemas.openxmlformats.org/spreadsheetml/2006/main" id="4" name="PYTBGrouping_1" displayName="PYTBGrouping_1" ref="G5:K7220" tableType="queryTable" totalsRowShown="0">
  <autoFilter ref="G5:K7220"/>
  <tableColumns count="5">
    <tableColumn id="1" uniqueName="1" name="$_PrimaryGroup" queryTableFieldId="6"/>
    <tableColumn id="2" uniqueName="2" name="$Parent" queryTableFieldId="7"/>
    <tableColumn id="3" uniqueName="3" name="$Name" queryTableFieldId="8"/>
    <tableColumn id="4" uniqueName="4" name="Opening Balance" queryTableFieldId="9"/>
    <tableColumn id="5" uniqueName="5" name="Closing Balance" queryTableFieldId="5" dataDxfId="159"/>
  </tableColumns>
  <tableStyleInfo name="TableStyleMedium9" showFirstColumn="0" showLastColumn="0" showRowStripes="1" showColumnStripes="0"/>
</table>
</file>

<file path=xl/tables/table3.xml><?xml version="1.0" encoding="utf-8"?>
<table xmlns="http://schemas.openxmlformats.org/spreadsheetml/2006/main" id="5" name="New_Ledgers" displayName="New_Ledgers" ref="M5:Q105" tableType="queryTable" totalsRowShown="0">
  <autoFilter ref="M5:Q105"/>
  <tableColumns count="5">
    <tableColumn id="1" uniqueName="1" name="$_PrimaryGroup" queryTableFieldId="1"/>
    <tableColumn id="2" uniqueName="2" name="$Parent" queryTableFieldId="2"/>
    <tableColumn id="3" uniqueName="3" name="$Name" queryTableFieldId="3"/>
    <tableColumn id="6" uniqueName="6" name="Opening Balance" queryTableFieldId="8"/>
    <tableColumn id="7" uniqueName="7" name="Closing Balance" queryTableFieldId="9"/>
  </tableColumns>
  <tableStyleInfo name="TableStyleMedium7" showFirstColumn="0" showLastColumn="0" showRowStripes="1" showColumnStripes="0"/>
</table>
</file>

<file path=xl/tables/table4.xml><?xml version="1.0" encoding="utf-8"?>
<table xmlns="http://schemas.openxmlformats.org/spreadsheetml/2006/main" id="1" name="Matching_Ledgers" displayName="Matching_Ledgers" ref="S5:W6" insertRow="1" totalsRowShown="0">
  <autoFilter ref="S5:W6"/>
  <tableColumns count="5">
    <tableColumn id="1" name="Primary Group"/>
    <tableColumn id="2" name="Parent "/>
    <tableColumn id="3" name="GL Name"/>
    <tableColumn id="4" name="Latest TB.Opening Balance"/>
    <tableColumn id="5" name="Latest TB.Closing Balance"/>
  </tableColumns>
  <tableStyleInfo name="TableStyleMedium7" showFirstColumn="0" showLastColumn="0" showRowStripes="1" showColumnStripes="0"/>
</table>
</file>

<file path=xl/tables/table5.xml><?xml version="1.0" encoding="utf-8"?>
<table xmlns="http://schemas.openxmlformats.org/spreadsheetml/2006/main" id="3" name="PYTBGrouping" displayName="PYTBGrouping" ref="K10:R7225" totalsRowShown="0" headerRowDxfId="158" dataDxfId="156" headerRowBorderDxfId="157" tableBorderDxfId="155">
  <autoFilter ref="K10:R7225"/>
  <tableColumns count="8">
    <tableColumn id="1" name="$_PrimaryGroup" dataDxfId="154"/>
    <tableColumn id="2" name="$Parent" dataDxfId="153"/>
    <tableColumn id="3" name="$Name" dataDxfId="152"/>
    <tableColumn id="4" name="Opening Balance" dataDxfId="151"/>
    <tableColumn id="7" name="Closing Balance" dataDxfId="150"/>
    <tableColumn id="8" name="FS Group" dataDxfId="149"/>
    <tableColumn id="9" name="Note Line" dataDxfId="148"/>
    <tableColumn id="5" name="Sub Note" dataDxfId="147"/>
  </tableColumns>
  <tableStyleInfo showFirstColumn="0" showLastColumn="0" showRowStripes="1" showColumnStripes="0"/>
</table>
</file>

<file path=xl/tables/table6.xml><?xml version="1.0" encoding="utf-8"?>
<table xmlns="http://schemas.openxmlformats.org/spreadsheetml/2006/main" id="10" name="Final_TB" displayName="Final_TB" ref="B10:J366" tableType="queryTable" totalsRowCount="1" headerRowDxfId="146" dataDxfId="145" totalsRowDxfId="144">
  <autoFilter ref="B10:J365"/>
  <tableColumns count="9">
    <tableColumn id="1" uniqueName="1" name="$_PrimaryGroup" queryTableFieldId="1" dataDxfId="143" totalsRowDxfId="49"/>
    <tableColumn id="2" uniqueName="2" name="$Parent" queryTableFieldId="2" dataDxfId="142" totalsRowDxfId="48"/>
    <tableColumn id="3" uniqueName="3" name="$Name" queryTableFieldId="3" dataDxfId="141" totalsRowDxfId="47"/>
    <tableColumn id="4" uniqueName="4" name="Opening Balance" queryTableFieldId="4" dataDxfId="140" totalsRowDxfId="46" dataCellStyle="Comma [0]"/>
    <tableColumn id="5" uniqueName="5" name="Closing Balance" queryTableFieldId="5" dataDxfId="139" totalsRowDxfId="45" dataCellStyle="Comma [0]"/>
    <tableColumn id="6" uniqueName="6" name="FS Group" queryTableFieldId="6" dataDxfId="138" totalsRowDxfId="44"/>
    <tableColumn id="7" uniqueName="7" name="Note Line" queryTableFieldId="7" dataDxfId="137" totalsRowDxfId="43"/>
    <tableColumn id="8" uniqueName="8" name="Sub Note" queryTableFieldId="8" dataDxfId="136" totalsRowDxfId="42"/>
    <tableColumn id="9" uniqueName="9" name="Column1" queryTableFieldId="10" dataDxfId="135"/>
  </tableColumns>
  <tableStyleInfo showFirstColumn="0" showLastColumn="0" showRowStripes="1" showColumnStripes="0"/>
</table>
</file>

<file path=xl/tables/table7.xml><?xml version="1.0" encoding="utf-8"?>
<table xmlns="http://schemas.openxmlformats.org/spreadsheetml/2006/main" id="6" name="masterTBCY" displayName="masterTBCY" ref="B10:K318" totalsRowCount="1" headerRowDxfId="120" headerRowBorderDxfId="119" tableBorderDxfId="118" totalsRowBorderDxfId="117">
  <autoFilter ref="B10:K317"/>
  <tableColumns count="10">
    <tableColumn id="1" name="Sr.No." totalsRowLabel=" 308 " dataDxfId="116" totalsRowDxfId="115" dataCellStyle="Comma [0]"/>
    <tableColumn id="2" name="FS Group" totalsRowLabel="Other Income" dataDxfId="114" totalsRowDxfId="113"/>
    <tableColumn id="3" name="Note Line" totalsRowLabel="Discount Received" dataDxfId="112" totalsRowDxfId="111"/>
    <tableColumn id="4" name="Coding Applied" totalsRowLabel="OI16" dataDxfId="110" totalsRowDxfId="109"/>
    <tableColumn id="5" name="Amount as per TB" totalsRowFunction="custom" dataDxfId="108" totalsRowDxfId="107">
      <calculatedColumnFormula>+SUMIFS('TB Grouping'!F:F,'TB Grouping'!H:H,masterTBCY[[#This Row],[Note Line]])</calculatedColumnFormula>
      <totalsRowFormula>+SUMIF('TB Grouping'!H:H,masterTBCY[[#Totals],[Note Line]],'TB Grouping'!F:F)</totalsRowFormula>
    </tableColumn>
    <tableColumn id="6" name="Additional Entries" totalsRowLabel=" - " dataDxfId="106" totalsRowDxfId="105" dataCellStyle="Comma">
      <calculatedColumnFormula>SUMIF('Additional &amp; Presentation Entry'!E:E,masterTBCY[[#This Row],[Note Line]],'Additional &amp; Presentation Entry'!G:G)</calculatedColumnFormula>
    </tableColumn>
    <tableColumn id="7" name="Presentation Entry" totalsRowLabel="0" dataDxfId="104" totalsRowDxfId="103" dataCellStyle="Comma">
      <calculatedColumnFormula>SUMIF('Additional &amp; Presentation Entry'!L:L,masterTBCY[[#This Row],[Note Line]],'Additional &amp; Presentation Entry'!N:N)</calculatedColumnFormula>
    </tableColumn>
    <tableColumn id="8" name="Amount" totalsRowFunction="custom" dataDxfId="102" totalsRowDxfId="101">
      <calculatedColumnFormula>+masterTBCY[[#This Row],[Amount as per TB]]+masterTBCY[[#This Row],[Presentation Entry]]</calculatedColumnFormula>
      <totalsRowFormula>SUM(F318:H318)</totalsRowFormula>
    </tableColumn>
    <tableColumn id="9" name="Amount for Financials" totalsRowFunction="custom" dataDxfId="100" totalsRowDxfId="99">
      <calculatedColumnFormula>I11/'Master Data'!$C$25</calculatedColumnFormula>
      <totalsRowFormula>I318/'Master Data'!$C$25</totalsRowFormula>
    </tableColumn>
    <tableColumn id="10" name="Nature" totalsRowLabel="Profit and Loss A/C" dataDxfId="98" totalsRowDxfId="97"/>
  </tableColumns>
  <tableStyleInfo showFirstColumn="0" showLastColumn="0" showRowStripes="1" showColumnStripes="0"/>
</table>
</file>

<file path=xl/tables/table8.xml><?xml version="1.0" encoding="utf-8"?>
<table xmlns="http://schemas.openxmlformats.org/spreadsheetml/2006/main" id="7" name="masterTBPY" displayName="masterTBPY" ref="N10:W315" totalsRowShown="0" headerRowDxfId="96" headerRowBorderDxfId="95" tableBorderDxfId="94" totalsRowBorderDxfId="93">
  <autoFilter ref="N10:W315"/>
  <tableColumns count="10">
    <tableColumn id="1" name="Sr.No." dataDxfId="92"/>
    <tableColumn id="2" name="FS Group" dataDxfId="91" dataCellStyle="Comma 5"/>
    <tableColumn id="3" name="Note Line" dataDxfId="90" dataCellStyle="Comma 5"/>
    <tableColumn id="4" name="Coding Applied" dataDxfId="89"/>
    <tableColumn id="5" name="Amount as per TB" dataDxfId="88" dataCellStyle="Comma [0]">
      <calculatedColumnFormula>SUMIF('TB Grouping'!$Q:$Q,'Master TB'!P11,'TB Grouping'!$O:$O)</calculatedColumnFormula>
    </tableColumn>
    <tableColumn id="6" name="Additional Entries" dataDxfId="87" dataCellStyle="Comma [0]">
      <calculatedColumnFormula>SUMIF('Additional &amp; Presentation Entry'!Q:Q,masterTBCY[[#This Row],[Note Line]],'Additional &amp; Presentation Entry'!S:S)</calculatedColumnFormula>
    </tableColumn>
    <tableColumn id="7" name="Presentation entries" dataDxfId="86" dataCellStyle="Comma [0]">
      <calculatedColumnFormula>SUMIF('Additional &amp; Presentation Entry'!X:X,masterTBCY[[#This Row],[Note Line]],'Additional &amp; Presentation Entry'!Z:Z)</calculatedColumnFormula>
    </tableColumn>
    <tableColumn id="8" name="Amount" dataDxfId="85" dataCellStyle="Comma [0]">
      <calculatedColumnFormula>SUM(R11:T11)</calculatedColumnFormula>
    </tableColumn>
    <tableColumn id="9" name="Amount for Financials" dataDxfId="84" dataCellStyle="Comma [0]">
      <calculatedColumnFormula>U11/'Master Data'!$C$25</calculatedColumnFormula>
    </tableColumn>
    <tableColumn id="10" name="Nature" dataDxfId="83">
      <calculatedColumnFormula>K11</calculatedColumnFormula>
    </tableColumn>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20000"/>
            <a:lumOff val="80000"/>
          </a:schemeClr>
        </a:solidFill>
        <a:ln>
          <a:solidFill>
            <a:schemeClr val="tx1"/>
          </a:solidFill>
        </a:ln>
        <a:effectLst>
          <a:outerShdw blurRad="50800" dist="38100" dir="5400000" algn="t" rotWithShape="0">
            <a:prstClr val="black">
              <a:alpha val="40000"/>
            </a:prstClr>
          </a:outerShdw>
        </a:effectLst>
      </a:spPr>
      <a:bodyPr vertOverflow="clip" horzOverflow="clip" rtlCol="0" anchor="ctr"/>
      <a:lstStyle>
        <a:defPPr algn="ctr">
          <a:defRPr sz="1200" b="1">
            <a:solidFill>
              <a:srgbClr val="002060"/>
            </a:solidFill>
            <a:effectLst/>
            <a:latin typeface="Book Antiqua" panose="0204060205030503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0C41E66-D641-42E7-BA45-C3A16EBBBD12}">
  <we:reference id="wa200000934" version="1.1.0.0" store="en-US" storeType="OMEX"/>
  <we:alternateReferences>
    <we:reference id="WA200000934" version="1.1.0.0" store="WA200000934" storeType="OMEX"/>
  </we:alternateReferences>
  <we:properties>
    <we:property name="tutorialPlayed" value="true"/>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1.xml"/><Relationship Id="rId1" Type="http://schemas.openxmlformats.org/officeDocument/2006/relationships/printerSettings" Target="../printerSettings/printerSettings25.bin"/><Relationship Id="rId4" Type="http://schemas.openxmlformats.org/officeDocument/2006/relationships/table" Target="../tables/table8.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31"/>
  <sheetViews>
    <sheetView zoomScale="80" zoomScaleNormal="80" workbookViewId="0"/>
  </sheetViews>
  <sheetFormatPr defaultRowHeight="15" x14ac:dyDescent="0.25"/>
  <cols>
    <col min="1" max="1" width="26.85546875" bestFit="1" customWidth="1"/>
    <col min="2" max="2" width="24.7109375" bestFit="1" customWidth="1"/>
  </cols>
  <sheetData>
    <row r="1" spans="1:6" x14ac:dyDescent="0.25">
      <c r="A1" t="s">
        <v>1981</v>
      </c>
      <c r="B1" t="s">
        <v>1982</v>
      </c>
      <c r="C1" t="s">
        <v>1022</v>
      </c>
    </row>
    <row r="2" spans="1:6" ht="409.5" x14ac:dyDescent="0.25">
      <c r="A2" t="s">
        <v>1980</v>
      </c>
      <c r="B2" t="s">
        <v>1976</v>
      </c>
      <c r="C2" t="s">
        <v>1978</v>
      </c>
      <c r="F2" s="1724" t="s">
        <v>1983</v>
      </c>
    </row>
    <row r="3" spans="1:6" x14ac:dyDescent="0.25">
      <c r="A3" t="s">
        <v>1877</v>
      </c>
      <c r="B3" t="s">
        <v>1976</v>
      </c>
      <c r="C3" t="s">
        <v>1978</v>
      </c>
    </row>
    <row r="4" spans="1:6" x14ac:dyDescent="0.25">
      <c r="A4" t="s">
        <v>1878</v>
      </c>
      <c r="B4" t="s">
        <v>1977</v>
      </c>
      <c r="C4" t="s">
        <v>1979</v>
      </c>
    </row>
    <row r="5" spans="1:6" x14ac:dyDescent="0.25">
      <c r="A5" t="s">
        <v>1879</v>
      </c>
      <c r="B5" t="s">
        <v>1976</v>
      </c>
      <c r="C5" t="s">
        <v>1978</v>
      </c>
    </row>
    <row r="6" spans="1:6" x14ac:dyDescent="0.25">
      <c r="A6" t="s">
        <v>1880</v>
      </c>
      <c r="B6" t="s">
        <v>1977</v>
      </c>
      <c r="C6" t="s">
        <v>1978</v>
      </c>
    </row>
    <row r="7" spans="1:6" x14ac:dyDescent="0.25">
      <c r="A7" t="s">
        <v>1881</v>
      </c>
      <c r="B7" t="s">
        <v>1976</v>
      </c>
      <c r="C7" t="s">
        <v>1978</v>
      </c>
    </row>
    <row r="8" spans="1:6" x14ac:dyDescent="0.25">
      <c r="A8" t="s">
        <v>1882</v>
      </c>
      <c r="B8" t="s">
        <v>1976</v>
      </c>
      <c r="C8" t="s">
        <v>1978</v>
      </c>
    </row>
    <row r="9" spans="1:6" x14ac:dyDescent="0.25">
      <c r="A9" t="s">
        <v>1974</v>
      </c>
      <c r="B9" t="s">
        <v>1976</v>
      </c>
      <c r="C9" t="s">
        <v>1978</v>
      </c>
    </row>
    <row r="10" spans="1:6" x14ac:dyDescent="0.25">
      <c r="A10" t="s">
        <v>1329</v>
      </c>
      <c r="B10" t="s">
        <v>1977</v>
      </c>
      <c r="C10" t="s">
        <v>1978</v>
      </c>
    </row>
    <row r="11" spans="1:6" x14ac:dyDescent="0.25">
      <c r="A11" t="s">
        <v>1883</v>
      </c>
      <c r="B11" t="s">
        <v>1977</v>
      </c>
      <c r="C11" t="s">
        <v>1978</v>
      </c>
    </row>
    <row r="12" spans="1:6" x14ac:dyDescent="0.25">
      <c r="A12" t="s">
        <v>1884</v>
      </c>
      <c r="B12" t="s">
        <v>1976</v>
      </c>
      <c r="C12" t="s">
        <v>1978</v>
      </c>
    </row>
    <row r="13" spans="1:6" x14ac:dyDescent="0.25">
      <c r="A13" t="s">
        <v>1885</v>
      </c>
      <c r="B13" t="s">
        <v>1976</v>
      </c>
      <c r="C13" t="s">
        <v>1978</v>
      </c>
    </row>
    <row r="14" spans="1:6" x14ac:dyDescent="0.25">
      <c r="A14" t="s">
        <v>410</v>
      </c>
      <c r="B14" t="s">
        <v>1977</v>
      </c>
      <c r="C14" t="s">
        <v>1978</v>
      </c>
    </row>
    <row r="15" spans="1:6" x14ac:dyDescent="0.25">
      <c r="A15" t="s">
        <v>409</v>
      </c>
      <c r="B15" t="s">
        <v>1977</v>
      </c>
      <c r="C15" t="s">
        <v>1978</v>
      </c>
    </row>
    <row r="16" spans="1:6" x14ac:dyDescent="0.25">
      <c r="A16" t="s">
        <v>1887</v>
      </c>
      <c r="B16" t="s">
        <v>1976</v>
      </c>
      <c r="C16" t="s">
        <v>1978</v>
      </c>
    </row>
    <row r="17" spans="1:3" x14ac:dyDescent="0.25">
      <c r="A17" t="s">
        <v>1886</v>
      </c>
      <c r="B17" t="s">
        <v>1977</v>
      </c>
      <c r="C17" t="s">
        <v>1978</v>
      </c>
    </row>
    <row r="18" spans="1:3" x14ac:dyDescent="0.25">
      <c r="A18" t="s">
        <v>1975</v>
      </c>
      <c r="B18" t="s">
        <v>1977</v>
      </c>
      <c r="C18" t="s">
        <v>1978</v>
      </c>
    </row>
    <row r="19" spans="1:3" x14ac:dyDescent="0.25">
      <c r="A19" t="s">
        <v>1888</v>
      </c>
      <c r="B19" t="s">
        <v>1977</v>
      </c>
      <c r="C19" t="s">
        <v>1978</v>
      </c>
    </row>
    <row r="20" spans="1:3" x14ac:dyDescent="0.25">
      <c r="A20" t="s">
        <v>1890</v>
      </c>
      <c r="B20" t="s">
        <v>1977</v>
      </c>
      <c r="C20" t="s">
        <v>1978</v>
      </c>
    </row>
    <row r="21" spans="1:3" x14ac:dyDescent="0.25">
      <c r="A21" t="s">
        <v>1870</v>
      </c>
      <c r="B21" t="s">
        <v>1977</v>
      </c>
      <c r="C21" t="s">
        <v>1978</v>
      </c>
    </row>
    <row r="22" spans="1:3" x14ac:dyDescent="0.25">
      <c r="A22" t="s">
        <v>1891</v>
      </c>
      <c r="B22" t="s">
        <v>1977</v>
      </c>
      <c r="C22" t="s">
        <v>1978</v>
      </c>
    </row>
    <row r="23" spans="1:3" x14ac:dyDescent="0.25">
      <c r="A23" t="s">
        <v>1892</v>
      </c>
      <c r="B23" t="s">
        <v>1977</v>
      </c>
      <c r="C23" t="s">
        <v>1978</v>
      </c>
    </row>
    <row r="24" spans="1:3" x14ac:dyDescent="0.25">
      <c r="A24" t="s">
        <v>1893</v>
      </c>
      <c r="B24" t="s">
        <v>1977</v>
      </c>
      <c r="C24" t="s">
        <v>1978</v>
      </c>
    </row>
    <row r="25" spans="1:3" x14ac:dyDescent="0.25">
      <c r="A25" t="s">
        <v>1873</v>
      </c>
      <c r="B25" t="s">
        <v>1977</v>
      </c>
      <c r="C25" t="s">
        <v>1978</v>
      </c>
    </row>
    <row r="26" spans="1:3" x14ac:dyDescent="0.25">
      <c r="A26" t="s">
        <v>1894</v>
      </c>
      <c r="B26" t="s">
        <v>1977</v>
      </c>
      <c r="C26" t="s">
        <v>1978</v>
      </c>
    </row>
    <row r="27" spans="1:3" x14ac:dyDescent="0.25">
      <c r="A27" t="s">
        <v>1895</v>
      </c>
      <c r="B27" t="s">
        <v>1977</v>
      </c>
      <c r="C27" t="s">
        <v>1978</v>
      </c>
    </row>
    <row r="28" spans="1:3" x14ac:dyDescent="0.25">
      <c r="A28" t="s">
        <v>1889</v>
      </c>
      <c r="B28" t="s">
        <v>1976</v>
      </c>
      <c r="C28" t="s">
        <v>1978</v>
      </c>
    </row>
    <row r="29" spans="1:3" x14ac:dyDescent="0.25">
      <c r="A29" t="s">
        <v>1896</v>
      </c>
      <c r="B29" t="s">
        <v>1977</v>
      </c>
      <c r="C29" t="s">
        <v>1979</v>
      </c>
    </row>
    <row r="30" spans="1:3" x14ac:dyDescent="0.25">
      <c r="A30" t="s">
        <v>1897</v>
      </c>
      <c r="B30" t="s">
        <v>1977</v>
      </c>
      <c r="C30" t="s">
        <v>1979</v>
      </c>
    </row>
    <row r="31" spans="1:3" x14ac:dyDescent="0.25">
      <c r="A31" t="s">
        <v>1898</v>
      </c>
      <c r="B31" t="s">
        <v>1977</v>
      </c>
      <c r="C31" t="s">
        <v>1979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sheetPr>
  <dimension ref="A1:N29"/>
  <sheetViews>
    <sheetView showGridLines="0" zoomScale="80" zoomScaleNormal="80" workbookViewId="0"/>
  </sheetViews>
  <sheetFormatPr defaultRowHeight="16.5" zeroHeight="1" x14ac:dyDescent="0.3"/>
  <cols>
    <col min="1" max="1" width="3.7109375" style="1" customWidth="1"/>
    <col min="2" max="2" width="39.140625" style="1" bestFit="1" customWidth="1"/>
    <col min="3" max="3" width="47.42578125" style="1" bestFit="1" customWidth="1"/>
    <col min="4" max="21" width="8.85546875" style="1"/>
    <col min="22" max="16383" width="0" style="1" hidden="1" customWidth="1"/>
    <col min="16384" max="16384" width="8.85546875" style="1"/>
  </cols>
  <sheetData>
    <row r="1" spans="1:14" s="344" customFormat="1" x14ac:dyDescent="0.3"/>
    <row r="2" spans="1:14" s="344" customFormat="1" x14ac:dyDescent="0.3">
      <c r="A2" s="789"/>
    </row>
    <row r="3" spans="1:14" s="344" customFormat="1" x14ac:dyDescent="0.3"/>
    <row r="4" spans="1:14" s="344" customFormat="1" x14ac:dyDescent="0.3"/>
    <row r="5" spans="1:14" s="344" customFormat="1" x14ac:dyDescent="0.3">
      <c r="I5" s="789"/>
      <c r="N5" s="789" t="s">
        <v>2043</v>
      </c>
    </row>
    <row r="6" spans="1:14" s="344" customFormat="1" x14ac:dyDescent="0.3"/>
    <row r="7" spans="1:14" x14ac:dyDescent="0.3"/>
    <row r="8" spans="1:14" x14ac:dyDescent="0.3"/>
    <row r="9" spans="1:14" x14ac:dyDescent="0.3"/>
    <row r="10" spans="1:14" ht="17.25" thickBot="1" x14ac:dyDescent="0.35">
      <c r="A10"/>
      <c r="B10"/>
    </row>
    <row r="11" spans="1:14" ht="17.25" thickBot="1" x14ac:dyDescent="0.35">
      <c r="A11"/>
      <c r="B11" s="1726" t="s">
        <v>1939</v>
      </c>
      <c r="C11" s="1175" t="s">
        <v>1946</v>
      </c>
    </row>
    <row r="12" spans="1:14" x14ac:dyDescent="0.3">
      <c r="A12"/>
      <c r="B12" s="908" t="s">
        <v>1885</v>
      </c>
      <c r="C12" s="1173" t="s">
        <v>730</v>
      </c>
    </row>
    <row r="13" spans="1:14" x14ac:dyDescent="0.3">
      <c r="A13"/>
      <c r="B13" s="908" t="s">
        <v>1884</v>
      </c>
      <c r="C13" s="1173" t="s">
        <v>731</v>
      </c>
    </row>
    <row r="14" spans="1:14" x14ac:dyDescent="0.3">
      <c r="A14"/>
      <c r="B14" s="908" t="s">
        <v>1940</v>
      </c>
      <c r="C14" s="1173" t="s">
        <v>1947</v>
      </c>
    </row>
    <row r="15" spans="1:14" x14ac:dyDescent="0.3">
      <c r="A15"/>
      <c r="B15" s="1174" t="s">
        <v>1941</v>
      </c>
      <c r="C15" s="1173" t="s">
        <v>565</v>
      </c>
    </row>
    <row r="16" spans="1:14" x14ac:dyDescent="0.3">
      <c r="A16"/>
      <c r="B16" s="1174" t="s">
        <v>1942</v>
      </c>
      <c r="C16" s="909" t="s">
        <v>1948</v>
      </c>
    </row>
    <row r="17" spans="1:3" x14ac:dyDescent="0.3">
      <c r="A17"/>
      <c r="B17" s="1174" t="s">
        <v>1943</v>
      </c>
      <c r="C17" s="909" t="s">
        <v>1949</v>
      </c>
    </row>
    <row r="18" spans="1:3" x14ac:dyDescent="0.3">
      <c r="A18"/>
      <c r="B18" s="1174" t="s">
        <v>1944</v>
      </c>
      <c r="C18" s="909"/>
    </row>
    <row r="19" spans="1:3" x14ac:dyDescent="0.3">
      <c r="A19"/>
      <c r="B19" s="1174" t="s">
        <v>1945</v>
      </c>
      <c r="C19" s="909"/>
    </row>
    <row r="20" spans="1:3" x14ac:dyDescent="0.3">
      <c r="A20"/>
      <c r="B20" s="908" t="s">
        <v>1950</v>
      </c>
      <c r="C20" s="909"/>
    </row>
    <row r="21" spans="1:3" ht="33" x14ac:dyDescent="0.3">
      <c r="A21"/>
      <c r="B21" s="1766" t="s">
        <v>1967</v>
      </c>
      <c r="C21" s="909"/>
    </row>
    <row r="22" spans="1:3" ht="33.75" thickBot="1" x14ac:dyDescent="0.35">
      <c r="B22" s="1725" t="s">
        <v>2002</v>
      </c>
      <c r="C22" s="913"/>
    </row>
    <row r="23" spans="1:3" x14ac:dyDescent="0.3"/>
    <row r="24" spans="1:3" x14ac:dyDescent="0.3"/>
    <row r="25" spans="1:3" x14ac:dyDescent="0.3">
      <c r="B25" s="4" t="s">
        <v>1984</v>
      </c>
    </row>
    <row r="26" spans="1:3" x14ac:dyDescent="0.3"/>
    <row r="27" spans="1:3" x14ac:dyDescent="0.3"/>
    <row r="28" spans="1:3" x14ac:dyDescent="0.3"/>
    <row r="29" spans="1:3" x14ac:dyDescent="0.3"/>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I58"/>
  <sheetViews>
    <sheetView topLeftCell="A21" workbookViewId="0">
      <selection activeCell="I24" sqref="I24"/>
    </sheetView>
  </sheetViews>
  <sheetFormatPr defaultColWidth="9.140625" defaultRowHeight="16.5" x14ac:dyDescent="0.3"/>
  <cols>
    <col min="1" max="2" width="3.7109375" style="1" customWidth="1"/>
    <col min="3" max="3" width="35.85546875" style="1" bestFit="1" customWidth="1"/>
    <col min="4" max="4" width="15.28515625" style="1" bestFit="1" customWidth="1"/>
    <col min="5" max="6" width="9.140625" style="1"/>
    <col min="7" max="7" width="30.85546875" style="1" bestFit="1" customWidth="1"/>
    <col min="8" max="8" width="14.140625" style="1" bestFit="1" customWidth="1"/>
    <col min="9" max="9" width="14.28515625" style="1" bestFit="1" customWidth="1"/>
    <col min="10" max="16384" width="9.140625" style="1"/>
  </cols>
  <sheetData>
    <row r="2" spans="3:8" x14ac:dyDescent="0.3">
      <c r="C2" s="1812" t="s">
        <v>3169</v>
      </c>
    </row>
    <row r="3" spans="3:8" x14ac:dyDescent="0.3">
      <c r="C3" s="1812" t="s">
        <v>3185</v>
      </c>
    </row>
    <row r="4" spans="3:8" x14ac:dyDescent="0.3">
      <c r="C4" s="1812"/>
    </row>
    <row r="5" spans="3:8" x14ac:dyDescent="0.3">
      <c r="C5" s="1812" t="s">
        <v>3347</v>
      </c>
      <c r="G5" s="1812" t="s">
        <v>3348</v>
      </c>
    </row>
    <row r="7" spans="3:8" x14ac:dyDescent="0.3">
      <c r="C7" s="1813" t="s">
        <v>20</v>
      </c>
      <c r="D7" s="1813" t="s">
        <v>183</v>
      </c>
      <c r="G7" s="1813" t="s">
        <v>20</v>
      </c>
      <c r="H7" s="1813" t="s">
        <v>183</v>
      </c>
    </row>
    <row r="8" spans="3:8" x14ac:dyDescent="0.3">
      <c r="C8" s="183" t="s">
        <v>2752</v>
      </c>
      <c r="D8" s="2577">
        <v>1311817</v>
      </c>
      <c r="G8" s="183" t="s">
        <v>2975</v>
      </c>
      <c r="H8" s="2578">
        <v>554725</v>
      </c>
    </row>
    <row r="9" spans="3:8" x14ac:dyDescent="0.3">
      <c r="C9" s="183" t="s">
        <v>2874</v>
      </c>
      <c r="D9" s="2577">
        <v>11377</v>
      </c>
      <c r="G9" s="183" t="s">
        <v>2752</v>
      </c>
      <c r="H9" s="2578">
        <v>295250</v>
      </c>
    </row>
    <row r="10" spans="3:8" x14ac:dyDescent="0.3">
      <c r="C10" s="183" t="s">
        <v>2858</v>
      </c>
      <c r="D10" s="2577">
        <v>239355</v>
      </c>
      <c r="G10" s="183" t="s">
        <v>2858</v>
      </c>
      <c r="H10" s="2578">
        <v>232304</v>
      </c>
    </row>
    <row r="11" spans="3:8" x14ac:dyDescent="0.3">
      <c r="C11" s="183" t="s">
        <v>2975</v>
      </c>
      <c r="D11" s="2577">
        <v>1127105.5</v>
      </c>
      <c r="G11" s="184" t="s">
        <v>2874</v>
      </c>
      <c r="H11" s="2579">
        <v>32968</v>
      </c>
    </row>
    <row r="12" spans="3:8" x14ac:dyDescent="0.3">
      <c r="C12" s="183" t="s">
        <v>2213</v>
      </c>
      <c r="D12" s="2577">
        <v>33100</v>
      </c>
    </row>
    <row r="13" spans="3:8" x14ac:dyDescent="0.3">
      <c r="C13" s="183" t="s">
        <v>2361</v>
      </c>
      <c r="D13" s="2577">
        <v>1083484</v>
      </c>
    </row>
    <row r="14" spans="3:8" x14ac:dyDescent="0.3">
      <c r="C14" s="183" t="s">
        <v>3130</v>
      </c>
      <c r="D14" s="2577">
        <v>375</v>
      </c>
    </row>
    <row r="15" spans="3:8" x14ac:dyDescent="0.3">
      <c r="C15" s="183" t="s">
        <v>3151</v>
      </c>
      <c r="D15" s="2577">
        <v>45050</v>
      </c>
    </row>
    <row r="16" spans="3:8" x14ac:dyDescent="0.3">
      <c r="C16" s="183" t="s">
        <v>2656</v>
      </c>
      <c r="D16" s="2577">
        <v>10000</v>
      </c>
    </row>
    <row r="17" spans="2:9" x14ac:dyDescent="0.3">
      <c r="C17" s="183" t="s">
        <v>3063</v>
      </c>
      <c r="D17" s="2577">
        <v>15980.16</v>
      </c>
    </row>
    <row r="18" spans="2:9" x14ac:dyDescent="0.3">
      <c r="C18" s="183" t="s">
        <v>3043</v>
      </c>
      <c r="D18" s="2577">
        <v>393400</v>
      </c>
    </row>
    <row r="19" spans="2:9" x14ac:dyDescent="0.3">
      <c r="C19" s="184" t="s">
        <v>3045</v>
      </c>
      <c r="D19" s="2307">
        <v>9243.1299999999992</v>
      </c>
    </row>
    <row r="21" spans="2:9" x14ac:dyDescent="0.3">
      <c r="C21" s="1812" t="s">
        <v>3776</v>
      </c>
      <c r="G21" s="1812" t="s">
        <v>3777</v>
      </c>
    </row>
    <row r="24" spans="2:9" x14ac:dyDescent="0.3">
      <c r="B24" s="1">
        <v>1</v>
      </c>
      <c r="C24" s="1" t="str">
        <f>+C8</f>
        <v>Repair &amp; Maintenance</v>
      </c>
      <c r="D24" s="179">
        <f>+D8</f>
        <v>1311817</v>
      </c>
      <c r="G24" s="1" t="s">
        <v>2975</v>
      </c>
      <c r="H24" s="179">
        <f>+SUMIFS($H$8:$H$11,$G$8:$G$11,G24)</f>
        <v>554725</v>
      </c>
      <c r="I24" s="1917">
        <f>+H24+H27+H30+H33</f>
        <v>1115247</v>
      </c>
    </row>
    <row r="25" spans="2:9" x14ac:dyDescent="0.3">
      <c r="C25" s="1" t="s">
        <v>2737</v>
      </c>
      <c r="D25" s="179">
        <f>-D24</f>
        <v>-1311817</v>
      </c>
      <c r="G25" s="1" t="str">
        <f>+C25</f>
        <v>Recharge MITUS - Others</v>
      </c>
      <c r="H25" s="179">
        <f>-H24</f>
        <v>-554725</v>
      </c>
    </row>
    <row r="26" spans="2:9" x14ac:dyDescent="0.3">
      <c r="D26" s="179"/>
      <c r="H26" s="179"/>
    </row>
    <row r="27" spans="2:9" x14ac:dyDescent="0.3">
      <c r="B27" s="1">
        <v>2</v>
      </c>
      <c r="C27" s="1" t="str">
        <f>+C9</f>
        <v>Staff Welfare Expenses</v>
      </c>
      <c r="D27" s="179">
        <f>+SUMIFS($D$8:$D$19,$C$8:$C$19,C27)</f>
        <v>11377</v>
      </c>
      <c r="G27" s="1" t="s">
        <v>2752</v>
      </c>
      <c r="H27" s="179">
        <f>+SUMIFS($H$8:$H$11,$G$8:$G$11,G27)</f>
        <v>295250</v>
      </c>
    </row>
    <row r="28" spans="2:9" x14ac:dyDescent="0.3">
      <c r="C28" s="1" t="s">
        <v>2737</v>
      </c>
      <c r="D28" s="179">
        <f>-D27</f>
        <v>-11377</v>
      </c>
      <c r="G28" s="1" t="str">
        <f>+C28</f>
        <v>Recharge MITUS - Others</v>
      </c>
      <c r="H28" s="179">
        <f>-H27</f>
        <v>-295250</v>
      </c>
    </row>
    <row r="29" spans="2:9" x14ac:dyDescent="0.3">
      <c r="D29" s="179"/>
      <c r="H29" s="179"/>
    </row>
    <row r="30" spans="2:9" x14ac:dyDescent="0.3">
      <c r="B30" s="1">
        <v>3</v>
      </c>
      <c r="C30" s="1" t="str">
        <f>+C10</f>
        <v>Security Guard</v>
      </c>
      <c r="D30" s="179">
        <f>+SUMIFS($D$8:$D$19,$C$8:$C$19,C30)</f>
        <v>239355</v>
      </c>
      <c r="G30" s="1" t="s">
        <v>2858</v>
      </c>
      <c r="H30" s="179">
        <f>+SUMIFS($H$8:$H$11,$G$8:$G$11,G30)</f>
        <v>232304</v>
      </c>
    </row>
    <row r="31" spans="2:9" x14ac:dyDescent="0.3">
      <c r="C31" s="1" t="str">
        <f>+C28</f>
        <v>Recharge MITUS - Others</v>
      </c>
      <c r="D31" s="179">
        <f>-D30</f>
        <v>-239355</v>
      </c>
      <c r="G31" s="1" t="str">
        <f>+C31</f>
        <v>Recharge MITUS - Others</v>
      </c>
      <c r="H31" s="179">
        <f>-H30</f>
        <v>-232304</v>
      </c>
    </row>
    <row r="32" spans="2:9" x14ac:dyDescent="0.3">
      <c r="D32" s="179"/>
      <c r="H32" s="179"/>
    </row>
    <row r="33" spans="2:8" x14ac:dyDescent="0.3">
      <c r="B33" s="1">
        <v>4</v>
      </c>
      <c r="C33" s="1" t="str">
        <f>+C11</f>
        <v>Transportation (Employee)</v>
      </c>
      <c r="D33" s="179">
        <f>+SUMIFS($D$8:$D$19,$C$8:$C$19,C33)</f>
        <v>1127105.5</v>
      </c>
      <c r="G33" s="1" t="s">
        <v>2874</v>
      </c>
      <c r="H33" s="179">
        <f>+SUMIFS($H$8:$H$11,$G$8:$G$11,G33)</f>
        <v>32968</v>
      </c>
    </row>
    <row r="34" spans="2:8" x14ac:dyDescent="0.3">
      <c r="C34" s="1" t="str">
        <f>+C31</f>
        <v>Recharge MITUS - Others</v>
      </c>
      <c r="D34" s="179">
        <f>-D33</f>
        <v>-1127105.5</v>
      </c>
      <c r="G34" s="1" t="str">
        <f>+C34</f>
        <v>Recharge MITUS - Others</v>
      </c>
      <c r="H34" s="179">
        <f>-H33</f>
        <v>-32968</v>
      </c>
    </row>
    <row r="35" spans="2:8" x14ac:dyDescent="0.3">
      <c r="D35" s="179"/>
    </row>
    <row r="36" spans="2:8" x14ac:dyDescent="0.3">
      <c r="B36" s="1">
        <v>5</v>
      </c>
      <c r="C36" s="1" t="str">
        <f>+C12</f>
        <v>Computer Expenses</v>
      </c>
      <c r="D36" s="179">
        <f>+SUMIFS($D$8:$D$19,$C$8:$C$19,C36)</f>
        <v>33100</v>
      </c>
    </row>
    <row r="37" spans="2:8" x14ac:dyDescent="0.3">
      <c r="C37" s="1" t="s">
        <v>2737</v>
      </c>
      <c r="D37" s="179">
        <f>-D36</f>
        <v>-33100</v>
      </c>
    </row>
    <row r="38" spans="2:8" x14ac:dyDescent="0.3">
      <c r="D38" s="179"/>
    </row>
    <row r="39" spans="2:8" x14ac:dyDescent="0.3">
      <c r="B39" s="1">
        <v>6</v>
      </c>
      <c r="C39" s="1" t="str">
        <f>+C13</f>
        <v>Gratuity Expenses</v>
      </c>
      <c r="D39" s="179">
        <f>+SUMIFS($D$8:$D$19,$C$8:$C$19,C39)</f>
        <v>1083484</v>
      </c>
    </row>
    <row r="40" spans="2:8" x14ac:dyDescent="0.3">
      <c r="C40" s="1" t="s">
        <v>2737</v>
      </c>
      <c r="D40" s="179">
        <f>-D39</f>
        <v>-1083484</v>
      </c>
    </row>
    <row r="41" spans="2:8" x14ac:dyDescent="0.3">
      <c r="D41" s="179"/>
    </row>
    <row r="42" spans="2:8" x14ac:dyDescent="0.3">
      <c r="B42" s="1">
        <v>7</v>
      </c>
      <c r="C42" s="1" t="str">
        <f>+C14</f>
        <v>LWF Employer Contribution</v>
      </c>
      <c r="D42" s="179">
        <f>+SUMIFS($D$8:$D$19,$C$8:$C$19,C42)</f>
        <v>375</v>
      </c>
    </row>
    <row r="43" spans="2:8" x14ac:dyDescent="0.3">
      <c r="C43" s="1" t="s">
        <v>2737</v>
      </c>
      <c r="D43" s="179">
        <f>-D42</f>
        <v>-375</v>
      </c>
    </row>
    <row r="44" spans="2:8" x14ac:dyDescent="0.3">
      <c r="D44" s="179"/>
    </row>
    <row r="45" spans="2:8" x14ac:dyDescent="0.3">
      <c r="B45" s="1">
        <v>8</v>
      </c>
      <c r="C45" s="1" t="str">
        <f>+C15</f>
        <v>Shop Act Renewal</v>
      </c>
      <c r="D45" s="179">
        <f>+SUMIFS($D$8:$D$19,$C$8:$C$19,C45)</f>
        <v>45050</v>
      </c>
    </row>
    <row r="46" spans="2:8" x14ac:dyDescent="0.3">
      <c r="C46" s="1" t="s">
        <v>2737</v>
      </c>
      <c r="D46" s="179">
        <f>-D45</f>
        <v>-45050</v>
      </c>
    </row>
    <row r="47" spans="2:8" x14ac:dyDescent="0.3">
      <c r="D47" s="179"/>
    </row>
    <row r="48" spans="2:8" x14ac:dyDescent="0.3">
      <c r="B48" s="1">
        <v>9</v>
      </c>
      <c r="C48" s="1" t="str">
        <f>+C16</f>
        <v>Profession Tax Payable (Employees)</v>
      </c>
      <c r="D48" s="179">
        <f>+SUMIFS($D$8:$D$19,$C$8:$C$19,C48)</f>
        <v>10000</v>
      </c>
    </row>
    <row r="49" spans="2:4" x14ac:dyDescent="0.3">
      <c r="C49" s="1" t="s">
        <v>2737</v>
      </c>
      <c r="D49" s="179">
        <f>-D48</f>
        <v>-10000</v>
      </c>
    </row>
    <row r="50" spans="2:4" x14ac:dyDescent="0.3">
      <c r="D50" s="179"/>
    </row>
    <row r="51" spans="2:4" x14ac:dyDescent="0.3">
      <c r="B51" s="1">
        <v>10</v>
      </c>
      <c r="C51" s="1" t="str">
        <f>+C17</f>
        <v>GST Expenses</v>
      </c>
      <c r="D51" s="179">
        <f>+SUMIFS($D$8:$D$19,$C$8:$C$19,C51)</f>
        <v>15980.16</v>
      </c>
    </row>
    <row r="52" spans="2:4" x14ac:dyDescent="0.3">
      <c r="C52" s="1" t="s">
        <v>2737</v>
      </c>
      <c r="D52" s="179">
        <f>-D51</f>
        <v>-15980.16</v>
      </c>
    </row>
    <row r="53" spans="2:4" x14ac:dyDescent="0.3">
      <c r="D53" s="179"/>
    </row>
    <row r="54" spans="2:4" x14ac:dyDescent="0.3">
      <c r="B54" s="1">
        <v>11</v>
      </c>
      <c r="C54" s="1" t="str">
        <f>+C18</f>
        <v>Auditor Remuneration</v>
      </c>
      <c r="D54" s="179">
        <f>+SUMIFS($D$8:$D$19,$C$8:$C$19,C54)</f>
        <v>393400</v>
      </c>
    </row>
    <row r="55" spans="2:4" x14ac:dyDescent="0.3">
      <c r="C55" s="1" t="s">
        <v>2737</v>
      </c>
      <c r="D55" s="179">
        <f>-D54</f>
        <v>-393400</v>
      </c>
    </row>
    <row r="56" spans="2:4" x14ac:dyDescent="0.3">
      <c r="D56" s="179"/>
    </row>
    <row r="57" spans="2:4" x14ac:dyDescent="0.3">
      <c r="B57" s="1">
        <v>12</v>
      </c>
      <c r="C57" s="1" t="str">
        <f>+C19</f>
        <v>Bank Charges (Foreign Remitance)</v>
      </c>
      <c r="D57" s="179">
        <f>+SUMIFS($D$8:$D$19,$C$8:$C$19,C57)</f>
        <v>9243.1299999999992</v>
      </c>
    </row>
    <row r="58" spans="2:4" x14ac:dyDescent="0.3">
      <c r="C58" s="1" t="s">
        <v>2737</v>
      </c>
      <c r="D58" s="179">
        <f>-D57</f>
        <v>-9243.1299999999992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P554"/>
  <sheetViews>
    <sheetView showGridLines="0" topLeftCell="K7" zoomScale="80" zoomScaleNormal="80" workbookViewId="0">
      <selection activeCell="P11" sqref="P11"/>
    </sheetView>
  </sheetViews>
  <sheetFormatPr defaultColWidth="8.85546875" defaultRowHeight="16.5" x14ac:dyDescent="0.25"/>
  <cols>
    <col min="1" max="1" width="3.7109375" style="325" customWidth="1"/>
    <col min="2" max="2" width="27.42578125" style="325" bestFit="1" customWidth="1"/>
    <col min="3" max="3" width="22.7109375" style="325" bestFit="1" customWidth="1"/>
    <col min="4" max="4" width="30.28515625" style="325" customWidth="1"/>
    <col min="5" max="5" width="106.28515625" style="325" bestFit="1" customWidth="1"/>
    <col min="6" max="6" width="64.5703125" style="325" bestFit="1" customWidth="1"/>
    <col min="7" max="7" width="17.5703125" style="325" bestFit="1" customWidth="1"/>
    <col min="8" max="8" width="14.42578125" style="325" hidden="1" customWidth="1"/>
    <col min="9" max="9" width="11.140625" style="325" customWidth="1"/>
    <col min="10" max="10" width="57.140625" style="325" customWidth="1"/>
    <col min="11" max="11" width="28.42578125" style="325" bestFit="1" customWidth="1"/>
    <col min="12" max="12" width="60.7109375" style="325" customWidth="1"/>
    <col min="13" max="13" width="46.28515625" style="325" bestFit="1" customWidth="1"/>
    <col min="14" max="14" width="17.7109375" style="325" customWidth="1"/>
    <col min="15" max="15" width="8.85546875" style="325"/>
    <col min="16" max="16" width="15" style="325" bestFit="1" customWidth="1"/>
    <col min="17" max="16384" width="8.85546875" style="325"/>
  </cols>
  <sheetData>
    <row r="1" spans="2:16" s="344" customFormat="1" x14ac:dyDescent="0.3">
      <c r="B1" s="343"/>
    </row>
    <row r="2" spans="2:16" s="344" customFormat="1" x14ac:dyDescent="0.3">
      <c r="B2" s="343"/>
      <c r="C2" s="345"/>
      <c r="D2" s="345"/>
    </row>
    <row r="3" spans="2:16" s="344" customFormat="1" x14ac:dyDescent="0.3">
      <c r="B3" s="343"/>
    </row>
    <row r="4" spans="2:16" s="344" customFormat="1" x14ac:dyDescent="0.3">
      <c r="B4" s="343"/>
    </row>
    <row r="5" spans="2:16" s="344" customFormat="1" x14ac:dyDescent="0.3">
      <c r="B5" s="346"/>
    </row>
    <row r="6" spans="2:16" s="344" customFormat="1" x14ac:dyDescent="0.3">
      <c r="B6" s="346"/>
    </row>
    <row r="8" spans="2:16" x14ac:dyDescent="0.25">
      <c r="B8" s="2706" t="s">
        <v>797</v>
      </c>
      <c r="C8" s="2706"/>
      <c r="D8" s="2706"/>
      <c r="E8" s="2706"/>
      <c r="F8" s="2706"/>
      <c r="G8" s="2706"/>
      <c r="I8" s="2706" t="s">
        <v>1064</v>
      </c>
      <c r="J8" s="2706"/>
      <c r="K8" s="2706"/>
      <c r="L8" s="2706"/>
      <c r="M8" s="2706"/>
      <c r="N8" s="2706"/>
    </row>
    <row r="9" spans="2:16" x14ac:dyDescent="0.25">
      <c r="B9" s="2705" t="s">
        <v>1062</v>
      </c>
      <c r="C9" s="2705"/>
      <c r="D9" s="2705" t="s">
        <v>1063</v>
      </c>
      <c r="E9" s="2705"/>
      <c r="F9" s="339"/>
      <c r="G9" s="340">
        <f>SUBTOTAL(9,G11:G1048576)</f>
        <v>3.3333320134261157E-3</v>
      </c>
      <c r="I9" s="2707" t="s">
        <v>1062</v>
      </c>
      <c r="J9" s="2707"/>
      <c r="K9" s="2707" t="s">
        <v>1063</v>
      </c>
      <c r="L9" s="2707"/>
      <c r="M9" s="340"/>
      <c r="N9" s="340">
        <f>SUBTOTAL(9,N11:N1048576)</f>
        <v>0</v>
      </c>
    </row>
    <row r="10" spans="2:16" s="341" customFormat="1" ht="30" x14ac:dyDescent="0.25">
      <c r="B10" s="337" t="s">
        <v>1001</v>
      </c>
      <c r="C10" s="337" t="s">
        <v>729</v>
      </c>
      <c r="D10" s="337" t="s">
        <v>1001</v>
      </c>
      <c r="E10" s="337" t="s">
        <v>729</v>
      </c>
      <c r="F10" s="338" t="s">
        <v>727</v>
      </c>
      <c r="G10" s="338" t="s">
        <v>1061</v>
      </c>
      <c r="I10" s="337" t="s">
        <v>1001</v>
      </c>
      <c r="J10" s="337" t="s">
        <v>729</v>
      </c>
      <c r="K10" s="337" t="s">
        <v>1001</v>
      </c>
      <c r="L10" s="337" t="s">
        <v>729</v>
      </c>
      <c r="M10" s="337" t="s">
        <v>727</v>
      </c>
      <c r="N10" s="337" t="s">
        <v>1061</v>
      </c>
    </row>
    <row r="11" spans="2:16" x14ac:dyDescent="0.3">
      <c r="C11" s="342"/>
      <c r="D11" s="325" t="s">
        <v>763</v>
      </c>
      <c r="E11" s="683" t="s">
        <v>2868</v>
      </c>
      <c r="F11" s="2542" t="s">
        <v>2868</v>
      </c>
      <c r="G11" s="2543">
        <v>7794.2506849315105</v>
      </c>
      <c r="H11" s="1779" t="s">
        <v>3623</v>
      </c>
      <c r="I11" s="342" t="s">
        <v>3633</v>
      </c>
      <c r="J11" s="2539" t="s">
        <v>3635</v>
      </c>
      <c r="K11" s="325" t="s">
        <v>763</v>
      </c>
      <c r="L11" s="325" t="s">
        <v>794</v>
      </c>
      <c r="M11" s="325" t="s">
        <v>2752</v>
      </c>
      <c r="N11" s="1777">
        <f>+_xlfn.XLOOKUP(M11,'Recharge Summary'!$C$24:$C$58,'Recharge Summary'!$D$24:$D$58)</f>
        <v>1311817</v>
      </c>
      <c r="P11" s="1779"/>
    </row>
    <row r="12" spans="2:16" x14ac:dyDescent="0.3">
      <c r="B12" s="342"/>
      <c r="C12" s="342"/>
      <c r="D12" s="325" t="s">
        <v>363</v>
      </c>
      <c r="E12" s="683" t="s">
        <v>2015</v>
      </c>
      <c r="F12" s="2542" t="s">
        <v>2640</v>
      </c>
      <c r="G12" s="2543">
        <v>-7794.2506849315105</v>
      </c>
      <c r="I12" s="342" t="s">
        <v>3633</v>
      </c>
      <c r="J12" s="2539"/>
      <c r="K12" s="325" t="s">
        <v>763</v>
      </c>
      <c r="L12" s="325" t="s">
        <v>2737</v>
      </c>
      <c r="M12" s="325" t="s">
        <v>2737</v>
      </c>
      <c r="N12" s="1777">
        <f>-N11</f>
        <v>-1311817</v>
      </c>
    </row>
    <row r="13" spans="2:16" ht="16.5" customHeight="1" x14ac:dyDescent="0.3">
      <c r="B13" s="342"/>
      <c r="C13" s="342"/>
      <c r="E13" s="683"/>
      <c r="F13" s="1828"/>
      <c r="G13" s="1781"/>
      <c r="I13" s="342"/>
      <c r="J13" s="2539"/>
      <c r="N13" s="1777"/>
    </row>
    <row r="14" spans="2:16" x14ac:dyDescent="0.3">
      <c r="B14" s="342"/>
      <c r="C14" s="342"/>
      <c r="D14" s="325" t="s">
        <v>363</v>
      </c>
      <c r="E14" s="683" t="s">
        <v>2015</v>
      </c>
      <c r="F14" s="2540" t="s">
        <v>2642</v>
      </c>
      <c r="G14" s="2541">
        <v>619.71561643834866</v>
      </c>
      <c r="H14" s="325" t="s">
        <v>3623</v>
      </c>
      <c r="I14" s="342" t="s">
        <v>3633</v>
      </c>
      <c r="J14" s="2539" t="s">
        <v>3635</v>
      </c>
      <c r="K14" s="325" t="s">
        <v>997</v>
      </c>
      <c r="L14" s="325" t="s">
        <v>762</v>
      </c>
      <c r="M14" s="325" t="s">
        <v>2874</v>
      </c>
      <c r="N14" s="1777">
        <f>+_xlfn.XLOOKUP(M14,'Recharge Summary'!$C$24:$C$58,'Recharge Summary'!$D$24:$D$58)</f>
        <v>11377</v>
      </c>
    </row>
    <row r="15" spans="2:16" ht="16.5" customHeight="1" x14ac:dyDescent="0.3">
      <c r="B15" s="342"/>
      <c r="C15" s="342"/>
      <c r="D15" s="325" t="s">
        <v>763</v>
      </c>
      <c r="E15" s="683" t="s">
        <v>234</v>
      </c>
      <c r="F15" s="2540" t="s">
        <v>2418</v>
      </c>
      <c r="G15" s="2541">
        <v>-619.71561643834866</v>
      </c>
      <c r="I15" s="342" t="s">
        <v>3633</v>
      </c>
      <c r="J15" s="2539"/>
      <c r="K15" s="325" t="s">
        <v>763</v>
      </c>
      <c r="L15" s="325" t="s">
        <v>2737</v>
      </c>
      <c r="M15" s="325" t="s">
        <v>2737</v>
      </c>
      <c r="N15" s="1777">
        <f>-N14</f>
        <v>-11377</v>
      </c>
    </row>
    <row r="16" spans="2:16" ht="16.5" customHeight="1" x14ac:dyDescent="0.3">
      <c r="B16" s="342"/>
      <c r="C16" s="342"/>
      <c r="E16" s="683"/>
      <c r="F16" s="2526"/>
      <c r="G16" s="1780"/>
      <c r="J16" s="2539"/>
      <c r="N16" s="1777"/>
    </row>
    <row r="17" spans="2:14" ht="16.5" customHeight="1" x14ac:dyDescent="0.3">
      <c r="B17" s="342"/>
      <c r="C17" s="342"/>
      <c r="D17" s="325" t="s">
        <v>363</v>
      </c>
      <c r="E17" s="683" t="s">
        <v>2015</v>
      </c>
      <c r="F17" s="2553" t="s">
        <v>2636</v>
      </c>
      <c r="G17" s="2554">
        <v>2059.0171270718201</v>
      </c>
      <c r="H17" s="325" t="s">
        <v>3623</v>
      </c>
      <c r="I17" s="325" t="s">
        <v>3634</v>
      </c>
      <c r="J17" s="2539" t="s">
        <v>3635</v>
      </c>
      <c r="K17" s="325" t="s">
        <v>763</v>
      </c>
      <c r="L17" s="325" t="s">
        <v>3523</v>
      </c>
      <c r="M17" s="325" t="s">
        <v>2858</v>
      </c>
      <c r="N17" s="1777">
        <f>+_xlfn.XLOOKUP(M17,'Recharge Summary'!$C$24:$C$58,'Recharge Summary'!$D$24:$D$58)</f>
        <v>239355</v>
      </c>
    </row>
    <row r="18" spans="2:14" x14ac:dyDescent="0.3">
      <c r="B18" s="342"/>
      <c r="C18" s="342"/>
      <c r="D18" s="325" t="s">
        <v>763</v>
      </c>
      <c r="E18" s="683" t="s">
        <v>3507</v>
      </c>
      <c r="F18" s="2553" t="s">
        <v>2733</v>
      </c>
      <c r="G18" s="2554">
        <v>-2059.0171270718201</v>
      </c>
      <c r="I18" s="325" t="s">
        <v>3634</v>
      </c>
      <c r="J18" s="2539"/>
      <c r="K18" s="325" t="s">
        <v>763</v>
      </c>
      <c r="L18" s="325" t="s">
        <v>2737</v>
      </c>
      <c r="M18" s="325" t="s">
        <v>2737</v>
      </c>
      <c r="N18" s="1777">
        <f>-N17</f>
        <v>-239355</v>
      </c>
    </row>
    <row r="19" spans="2:14" ht="16.5" customHeight="1" x14ac:dyDescent="0.3">
      <c r="B19" s="342"/>
      <c r="C19" s="342"/>
      <c r="E19" s="683"/>
      <c r="F19" s="2526"/>
      <c r="G19" s="1782"/>
      <c r="J19" s="2539"/>
      <c r="N19" s="1777"/>
    </row>
    <row r="20" spans="2:14" ht="16.5" customHeight="1" x14ac:dyDescent="0.25">
      <c r="B20" s="342"/>
      <c r="C20" s="342"/>
      <c r="D20" s="325" t="s">
        <v>508</v>
      </c>
      <c r="E20" s="683" t="s">
        <v>1303</v>
      </c>
      <c r="F20" s="2556" t="s">
        <v>2113</v>
      </c>
      <c r="G20" s="2554">
        <v>48433</v>
      </c>
      <c r="H20" s="325" t="s">
        <v>3624</v>
      </c>
      <c r="I20" s="325" t="s">
        <v>3634</v>
      </c>
      <c r="J20" s="2539" t="s">
        <v>3636</v>
      </c>
      <c r="K20" s="325" t="s">
        <v>763</v>
      </c>
      <c r="L20" s="325" t="s">
        <v>766</v>
      </c>
      <c r="M20" s="325" t="s">
        <v>2975</v>
      </c>
      <c r="N20" s="1777">
        <f>+_xlfn.XLOOKUP(M20,'Recharge Summary'!$C$24:$C$58,'Recharge Summary'!$D$24:$D$58)</f>
        <v>1127105.5</v>
      </c>
    </row>
    <row r="21" spans="2:14" ht="16.5" customHeight="1" x14ac:dyDescent="0.25">
      <c r="B21" s="342"/>
      <c r="C21" s="342"/>
      <c r="D21" s="325" t="s">
        <v>508</v>
      </c>
      <c r="E21" s="683" t="s">
        <v>1303</v>
      </c>
      <c r="F21" s="2556" t="s">
        <v>3040</v>
      </c>
      <c r="G21" s="2554">
        <v>25002</v>
      </c>
      <c r="I21" s="325" t="s">
        <v>3634</v>
      </c>
      <c r="J21" s="2539"/>
      <c r="K21" s="325" t="s">
        <v>763</v>
      </c>
      <c r="L21" s="325" t="s">
        <v>2737</v>
      </c>
      <c r="M21" s="325" t="s">
        <v>2737</v>
      </c>
      <c r="N21" s="1777">
        <f>-N20</f>
        <v>-1127105.5</v>
      </c>
    </row>
    <row r="22" spans="2:14" ht="16.5" customHeight="1" x14ac:dyDescent="0.25">
      <c r="B22" s="342"/>
      <c r="C22" s="342"/>
      <c r="D22" s="325" t="s">
        <v>508</v>
      </c>
      <c r="E22" s="683" t="s">
        <v>1303</v>
      </c>
      <c r="F22" s="2556" t="s">
        <v>3046</v>
      </c>
      <c r="G22" s="2554">
        <v>25002</v>
      </c>
      <c r="I22" s="325" t="s">
        <v>3634</v>
      </c>
      <c r="J22" s="2539"/>
      <c r="N22" s="1777"/>
    </row>
    <row r="23" spans="2:14" ht="16.5" customHeight="1" x14ac:dyDescent="0.25">
      <c r="B23" s="342"/>
      <c r="C23" s="342"/>
      <c r="D23" s="325" t="s">
        <v>508</v>
      </c>
      <c r="E23" s="683" t="s">
        <v>1303</v>
      </c>
      <c r="F23" s="2556" t="s">
        <v>3044</v>
      </c>
      <c r="G23" s="2554">
        <v>12000</v>
      </c>
      <c r="I23" s="325" t="s">
        <v>3634</v>
      </c>
      <c r="J23" s="2539"/>
      <c r="K23" s="325" t="s">
        <v>763</v>
      </c>
      <c r="L23" s="325" t="s">
        <v>2754</v>
      </c>
      <c r="M23" s="325" t="s">
        <v>2213</v>
      </c>
      <c r="N23" s="1777">
        <f>+_xlfn.XLOOKUP(M23,'Recharge Summary'!$C$24:$C$58,'Recharge Summary'!$D$24:$D$58)</f>
        <v>33100</v>
      </c>
    </row>
    <row r="24" spans="2:14" ht="16.5" customHeight="1" x14ac:dyDescent="0.25">
      <c r="B24" s="342"/>
      <c r="C24" s="342"/>
      <c r="D24" s="325" t="s">
        <v>508</v>
      </c>
      <c r="E24" s="683" t="s">
        <v>1303</v>
      </c>
      <c r="F24" s="2556" t="s">
        <v>2458</v>
      </c>
      <c r="G24" s="2554">
        <v>33649</v>
      </c>
      <c r="I24" s="325" t="s">
        <v>3634</v>
      </c>
      <c r="J24" s="2539"/>
      <c r="K24" s="325" t="s">
        <v>763</v>
      </c>
      <c r="L24" s="325" t="s">
        <v>2737</v>
      </c>
      <c r="M24" s="325" t="s">
        <v>2737</v>
      </c>
      <c r="N24" s="1777">
        <f>-N23</f>
        <v>-33100</v>
      </c>
    </row>
    <row r="25" spans="2:14" ht="16.5" customHeight="1" x14ac:dyDescent="0.25">
      <c r="B25" s="342"/>
      <c r="C25" s="342"/>
      <c r="D25" s="325" t="s">
        <v>508</v>
      </c>
      <c r="E25" s="683" t="s">
        <v>1303</v>
      </c>
      <c r="F25" s="2556" t="s">
        <v>3090</v>
      </c>
      <c r="G25" s="2554">
        <v>27832</v>
      </c>
      <c r="I25" s="325" t="s">
        <v>3634</v>
      </c>
      <c r="J25" s="2539"/>
      <c r="N25" s="1777"/>
    </row>
    <row r="26" spans="2:14" ht="16.5" customHeight="1" x14ac:dyDescent="0.25">
      <c r="B26" s="342"/>
      <c r="C26" s="342"/>
      <c r="D26" s="325" t="s">
        <v>508</v>
      </c>
      <c r="E26" s="683" t="s">
        <v>1303</v>
      </c>
      <c r="F26" s="2556" t="s">
        <v>2714</v>
      </c>
      <c r="G26" s="2554">
        <v>65244</v>
      </c>
      <c r="I26" s="325" t="s">
        <v>3634</v>
      </c>
      <c r="J26" s="2539"/>
      <c r="K26" s="1777" t="s">
        <v>997</v>
      </c>
      <c r="L26" s="1777" t="s">
        <v>1033</v>
      </c>
      <c r="M26" s="1777" t="s">
        <v>2361</v>
      </c>
      <c r="N26" s="1777">
        <v>1083484</v>
      </c>
    </row>
    <row r="27" spans="2:14" ht="16.5" customHeight="1" x14ac:dyDescent="0.25">
      <c r="B27" s="342"/>
      <c r="C27" s="342"/>
      <c r="D27" s="325" t="s">
        <v>508</v>
      </c>
      <c r="E27" s="683" t="s">
        <v>1303</v>
      </c>
      <c r="F27" s="2556" t="s">
        <v>2778</v>
      </c>
      <c r="G27" s="2554">
        <v>104272</v>
      </c>
      <c r="I27" s="325" t="s">
        <v>3634</v>
      </c>
      <c r="J27" s="2539"/>
      <c r="K27" s="1777" t="s">
        <v>763</v>
      </c>
      <c r="L27" s="1777" t="s">
        <v>2737</v>
      </c>
      <c r="M27" s="1777" t="s">
        <v>2737</v>
      </c>
      <c r="N27" s="1777">
        <v>-1083484</v>
      </c>
    </row>
    <row r="28" spans="2:14" ht="16.5" customHeight="1" x14ac:dyDescent="0.25">
      <c r="B28" s="342"/>
      <c r="C28" s="342"/>
      <c r="D28" s="325" t="s">
        <v>508</v>
      </c>
      <c r="E28" s="683" t="s">
        <v>1303</v>
      </c>
      <c r="F28" s="2556" t="s">
        <v>2832</v>
      </c>
      <c r="G28" s="2554">
        <v>107844</v>
      </c>
      <c r="I28" s="325" t="s">
        <v>3634</v>
      </c>
      <c r="J28" s="2539"/>
      <c r="N28" s="1777"/>
    </row>
    <row r="29" spans="2:14" ht="16.5" customHeight="1" x14ac:dyDescent="0.25">
      <c r="B29" s="342"/>
      <c r="C29" s="342"/>
      <c r="D29" s="325" t="s">
        <v>508</v>
      </c>
      <c r="E29" s="683" t="s">
        <v>1303</v>
      </c>
      <c r="F29" s="2556" t="s">
        <v>3024</v>
      </c>
      <c r="G29" s="2554">
        <v>8915</v>
      </c>
      <c r="I29" s="325" t="s">
        <v>3634</v>
      </c>
      <c r="J29" s="2539"/>
      <c r="K29" s="325" t="s">
        <v>763</v>
      </c>
      <c r="L29" s="325" t="s">
        <v>235</v>
      </c>
      <c r="M29" s="325" t="s">
        <v>3130</v>
      </c>
      <c r="N29" s="1777">
        <f>+_xlfn.XLOOKUP(M29,'Recharge Summary'!$C$24:$C$58,'Recharge Summary'!$D$24:$D$58)</f>
        <v>375</v>
      </c>
    </row>
    <row r="30" spans="2:14" ht="16.5" customHeight="1" x14ac:dyDescent="0.3">
      <c r="B30" s="342"/>
      <c r="C30" s="342"/>
      <c r="D30" s="325" t="s">
        <v>508</v>
      </c>
      <c r="E30" s="683" t="s">
        <v>1303</v>
      </c>
      <c r="F30" s="2553" t="s">
        <v>2554</v>
      </c>
      <c r="G30" s="2554">
        <v>-458193</v>
      </c>
      <c r="I30" s="325" t="s">
        <v>3634</v>
      </c>
      <c r="J30" s="2539"/>
      <c r="K30" s="325" t="s">
        <v>763</v>
      </c>
      <c r="L30" s="325" t="s">
        <v>2737</v>
      </c>
      <c r="M30" s="325" t="s">
        <v>2737</v>
      </c>
      <c r="N30" s="1777">
        <f>-N29</f>
        <v>-375</v>
      </c>
    </row>
    <row r="31" spans="2:14" ht="16.5" customHeight="1" x14ac:dyDescent="0.3">
      <c r="B31" s="342"/>
      <c r="C31" s="342"/>
      <c r="E31" s="683"/>
      <c r="F31" s="2526"/>
      <c r="G31" s="1782"/>
      <c r="J31" s="2539"/>
      <c r="N31" s="1777"/>
    </row>
    <row r="32" spans="2:14" x14ac:dyDescent="0.3">
      <c r="B32" s="342"/>
      <c r="C32" s="342"/>
      <c r="D32" s="325" t="s">
        <v>508</v>
      </c>
      <c r="E32" s="325" t="s">
        <v>1970</v>
      </c>
      <c r="F32" s="2542" t="s">
        <v>3170</v>
      </c>
      <c r="G32" s="2544">
        <v>46800</v>
      </c>
      <c r="H32" s="325" t="s">
        <v>3624</v>
      </c>
      <c r="I32" s="325" t="s">
        <v>3633</v>
      </c>
      <c r="J32" s="2539" t="s">
        <v>3637</v>
      </c>
      <c r="K32" s="325" t="s">
        <v>763</v>
      </c>
      <c r="L32" s="325" t="s">
        <v>235</v>
      </c>
      <c r="M32" s="325" t="s">
        <v>3151</v>
      </c>
      <c r="N32" s="1777">
        <f>+_xlfn.XLOOKUP(M32,'Recharge Summary'!$C$24:$C$58,'Recharge Summary'!$D$24:$D$58)</f>
        <v>45050</v>
      </c>
    </row>
    <row r="33" spans="2:14" x14ac:dyDescent="0.3">
      <c r="B33" s="342"/>
      <c r="C33" s="342"/>
      <c r="D33" s="325" t="s">
        <v>763</v>
      </c>
      <c r="E33" s="683" t="s">
        <v>771</v>
      </c>
      <c r="F33" s="2542" t="s">
        <v>2657</v>
      </c>
      <c r="G33" s="2543">
        <v>-46800</v>
      </c>
      <c r="I33" s="325" t="s">
        <v>3633</v>
      </c>
      <c r="J33" s="2539"/>
      <c r="K33" s="325" t="s">
        <v>763</v>
      </c>
      <c r="L33" s="325" t="s">
        <v>2737</v>
      </c>
      <c r="M33" s="325" t="s">
        <v>2737</v>
      </c>
      <c r="N33" s="1777">
        <f>-N32</f>
        <v>-45050</v>
      </c>
    </row>
    <row r="34" spans="2:14" x14ac:dyDescent="0.3">
      <c r="B34" s="342"/>
      <c r="C34" s="342"/>
      <c r="E34" s="683"/>
      <c r="F34" s="1828"/>
      <c r="G34" s="1777"/>
      <c r="I34" s="1779"/>
      <c r="J34" s="2539"/>
      <c r="N34" s="1777"/>
    </row>
    <row r="35" spans="2:14" x14ac:dyDescent="0.3">
      <c r="B35" s="342"/>
      <c r="C35" s="342"/>
      <c r="D35" s="325" t="s">
        <v>508</v>
      </c>
      <c r="E35" s="683" t="s">
        <v>1970</v>
      </c>
      <c r="F35" s="2542" t="s">
        <v>2222</v>
      </c>
      <c r="G35" s="2543">
        <f>4227.04</f>
        <v>4227.04</v>
      </c>
      <c r="H35" s="325" t="s">
        <v>3624</v>
      </c>
      <c r="I35" s="325" t="s">
        <v>3633</v>
      </c>
      <c r="J35" s="2539" t="s">
        <v>3638</v>
      </c>
      <c r="K35" s="325" t="s">
        <v>763</v>
      </c>
      <c r="L35" s="325" t="s">
        <v>235</v>
      </c>
      <c r="M35" s="325" t="s">
        <v>2656</v>
      </c>
      <c r="N35" s="1777">
        <f>+_xlfn.XLOOKUP(M35,'Recharge Summary'!$C$24:$C$58,'Recharge Summary'!$D$24:$D$58)</f>
        <v>10000</v>
      </c>
    </row>
    <row r="36" spans="2:14" x14ac:dyDescent="0.3">
      <c r="B36" s="342"/>
      <c r="C36" s="342"/>
      <c r="D36" s="325" t="s">
        <v>752</v>
      </c>
      <c r="E36" s="683" t="s">
        <v>983</v>
      </c>
      <c r="F36" s="2542" t="s">
        <v>3086</v>
      </c>
      <c r="G36" s="2543">
        <f>-4227.04</f>
        <v>-4227.04</v>
      </c>
      <c r="I36" s="325" t="s">
        <v>3633</v>
      </c>
      <c r="J36" s="2539"/>
      <c r="K36" s="325" t="s">
        <v>763</v>
      </c>
      <c r="L36" s="325" t="s">
        <v>2737</v>
      </c>
      <c r="M36" s="325" t="s">
        <v>2737</v>
      </c>
      <c r="N36" s="1777">
        <f>-N35</f>
        <v>-10000</v>
      </c>
    </row>
    <row r="37" spans="2:14" x14ac:dyDescent="0.3">
      <c r="B37" s="342"/>
      <c r="C37" s="342"/>
      <c r="E37" s="683"/>
      <c r="F37" s="1828"/>
      <c r="G37" s="1777"/>
      <c r="J37" s="2539"/>
      <c r="N37" s="1777"/>
    </row>
    <row r="38" spans="2:14" x14ac:dyDescent="0.3">
      <c r="B38" s="342"/>
      <c r="C38" s="342"/>
      <c r="D38" s="325" t="s">
        <v>763</v>
      </c>
      <c r="E38" s="683" t="s">
        <v>234</v>
      </c>
      <c r="F38" s="2555" t="s">
        <v>2751</v>
      </c>
      <c r="G38" s="2533">
        <f>62688</f>
        <v>62688</v>
      </c>
      <c r="H38" s="325" t="s">
        <v>3624</v>
      </c>
      <c r="I38" s="325" t="s">
        <v>3634</v>
      </c>
      <c r="J38" s="2539" t="s">
        <v>3639</v>
      </c>
      <c r="K38" s="325" t="s">
        <v>763</v>
      </c>
      <c r="L38" s="325" t="s">
        <v>235</v>
      </c>
      <c r="M38" s="325" t="s">
        <v>3063</v>
      </c>
      <c r="N38" s="1777">
        <f>+_xlfn.XLOOKUP(M38,'Recharge Summary'!$C$24:$C$58,'Recharge Summary'!$D$24:$D$58)</f>
        <v>15980.16</v>
      </c>
    </row>
    <row r="39" spans="2:14" x14ac:dyDescent="0.3">
      <c r="B39" s="342"/>
      <c r="C39" s="342"/>
      <c r="D39" s="325" t="s">
        <v>752</v>
      </c>
      <c r="E39" s="683" t="s">
        <v>983</v>
      </c>
      <c r="F39" s="2555" t="s">
        <v>3086</v>
      </c>
      <c r="G39" s="2533">
        <f>-62688</f>
        <v>-62688</v>
      </c>
      <c r="I39" s="325" t="s">
        <v>3634</v>
      </c>
      <c r="J39" s="2539"/>
      <c r="K39" s="325" t="s">
        <v>763</v>
      </c>
      <c r="L39" s="325" t="s">
        <v>2737</v>
      </c>
      <c r="M39" s="325" t="s">
        <v>2737</v>
      </c>
      <c r="N39" s="1777">
        <f>-N38</f>
        <v>-15980.16</v>
      </c>
    </row>
    <row r="40" spans="2:14" x14ac:dyDescent="0.3">
      <c r="B40" s="342"/>
      <c r="C40" s="342"/>
      <c r="E40" s="683"/>
      <c r="F40" s="1828"/>
      <c r="G40" s="1777"/>
      <c r="J40" s="2539"/>
      <c r="N40" s="1777"/>
    </row>
    <row r="41" spans="2:14" x14ac:dyDescent="0.3">
      <c r="B41" s="342"/>
      <c r="C41" s="342"/>
      <c r="D41" s="325" t="s">
        <v>763</v>
      </c>
      <c r="E41" s="683" t="s">
        <v>987</v>
      </c>
      <c r="F41" s="2542" t="s">
        <v>3043</v>
      </c>
      <c r="G41" s="2544">
        <v>128520</v>
      </c>
      <c r="H41" s="325" t="s">
        <v>3624</v>
      </c>
      <c r="I41" s="325" t="s">
        <v>3633</v>
      </c>
      <c r="J41" s="2539" t="s">
        <v>3640</v>
      </c>
      <c r="K41" s="325" t="s">
        <v>763</v>
      </c>
      <c r="L41" s="325" t="s">
        <v>987</v>
      </c>
      <c r="M41" s="325" t="s">
        <v>3043</v>
      </c>
      <c r="N41" s="1777">
        <v>393400</v>
      </c>
    </row>
    <row r="42" spans="2:14" x14ac:dyDescent="0.3">
      <c r="B42" s="342"/>
      <c r="C42" s="342"/>
      <c r="D42" s="325" t="s">
        <v>763</v>
      </c>
      <c r="E42" s="683" t="s">
        <v>771</v>
      </c>
      <c r="F42" s="2542" t="s">
        <v>2657</v>
      </c>
      <c r="G42" s="2543">
        <v>-128520</v>
      </c>
      <c r="I42" s="325" t="s">
        <v>3633</v>
      </c>
      <c r="J42" s="2539"/>
      <c r="K42" s="325" t="s">
        <v>763</v>
      </c>
      <c r="L42" s="325" t="s">
        <v>2737</v>
      </c>
      <c r="M42" s="325" t="s">
        <v>2737</v>
      </c>
      <c r="N42" s="1777">
        <v>-393400</v>
      </c>
    </row>
    <row r="43" spans="2:14" x14ac:dyDescent="0.3">
      <c r="B43" s="342"/>
      <c r="C43" s="342"/>
      <c r="E43" s="683"/>
      <c r="F43" s="1828"/>
      <c r="G43" s="1777"/>
      <c r="J43" s="2539"/>
      <c r="N43" s="1777"/>
    </row>
    <row r="44" spans="2:14" ht="16.5" customHeight="1" x14ac:dyDescent="0.3">
      <c r="B44" s="342"/>
      <c r="C44" s="342"/>
      <c r="D44" s="325" t="s">
        <v>763</v>
      </c>
      <c r="E44" s="683" t="s">
        <v>758</v>
      </c>
      <c r="F44" s="2553" t="s">
        <v>2732</v>
      </c>
      <c r="G44" s="2533">
        <v>218006.24</v>
      </c>
      <c r="H44" s="325" t="s">
        <v>3624</v>
      </c>
      <c r="I44" s="325" t="s">
        <v>3634</v>
      </c>
      <c r="J44" s="2539" t="s">
        <v>3642</v>
      </c>
      <c r="K44" s="325" t="s">
        <v>763</v>
      </c>
      <c r="L44" s="325" t="s">
        <v>2172</v>
      </c>
      <c r="M44" s="325" t="s">
        <v>3045</v>
      </c>
      <c r="N44" s="1777">
        <f>+_xlfn.XLOOKUP(M44,'Recharge Summary'!$C$24:$C$58,'Recharge Summary'!$D$24:$D$58)</f>
        <v>9243.1299999999992</v>
      </c>
    </row>
    <row r="45" spans="2:14" ht="16.5" customHeight="1" x14ac:dyDescent="0.3">
      <c r="B45" s="1825"/>
      <c r="C45" s="1825"/>
      <c r="D45" s="325" t="s">
        <v>508</v>
      </c>
      <c r="E45" s="325" t="s">
        <v>1669</v>
      </c>
      <c r="F45" s="2553" t="s">
        <v>3172</v>
      </c>
      <c r="G45" s="2533">
        <f>-G44</f>
        <v>-218006.24</v>
      </c>
      <c r="I45" s="325" t="s">
        <v>3634</v>
      </c>
      <c r="J45" s="2539"/>
      <c r="K45" s="325" t="s">
        <v>763</v>
      </c>
      <c r="L45" s="325" t="s">
        <v>2737</v>
      </c>
      <c r="M45" s="325" t="s">
        <v>2737</v>
      </c>
      <c r="N45" s="1777">
        <f>-N44</f>
        <v>-9243.1299999999992</v>
      </c>
    </row>
    <row r="46" spans="2:14" x14ac:dyDescent="0.3">
      <c r="B46" s="342"/>
      <c r="C46" s="342"/>
      <c r="F46" s="2526"/>
      <c r="G46" s="1777"/>
      <c r="J46" s="2539"/>
    </row>
    <row r="47" spans="2:14" x14ac:dyDescent="0.3">
      <c r="B47" s="342"/>
      <c r="C47" s="342"/>
      <c r="D47" s="325" t="s">
        <v>363</v>
      </c>
      <c r="E47" s="325" t="s">
        <v>2015</v>
      </c>
      <c r="F47" s="2542" t="s">
        <v>3173</v>
      </c>
      <c r="G47" s="2543">
        <v>693000</v>
      </c>
      <c r="H47" s="325" t="s">
        <v>3624</v>
      </c>
      <c r="I47" s="325" t="s">
        <v>3634</v>
      </c>
      <c r="J47" s="2539" t="s">
        <v>3643</v>
      </c>
    </row>
    <row r="48" spans="2:14" x14ac:dyDescent="0.3">
      <c r="B48" s="342"/>
      <c r="C48" s="342"/>
      <c r="D48" s="325" t="s">
        <v>763</v>
      </c>
      <c r="E48" s="683" t="s">
        <v>758</v>
      </c>
      <c r="F48" s="2542" t="s">
        <v>2732</v>
      </c>
      <c r="G48" s="2543">
        <v>-693000</v>
      </c>
      <c r="I48" s="325" t="s">
        <v>3634</v>
      </c>
      <c r="J48" s="2539"/>
    </row>
    <row r="49" spans="2:10" x14ac:dyDescent="0.3">
      <c r="B49" s="342"/>
      <c r="C49" s="342"/>
      <c r="E49" s="683"/>
      <c r="F49" s="1828"/>
      <c r="G49" s="1777"/>
      <c r="J49" s="2539"/>
    </row>
    <row r="50" spans="2:10" x14ac:dyDescent="0.3">
      <c r="B50" s="1825"/>
      <c r="C50" s="1825"/>
      <c r="D50" s="325" t="s">
        <v>743</v>
      </c>
      <c r="E50" s="683" t="s">
        <v>1513</v>
      </c>
      <c r="F50" s="2542" t="s">
        <v>2532</v>
      </c>
      <c r="G50" s="2543">
        <v>124740</v>
      </c>
      <c r="H50" s="325" t="s">
        <v>3624</v>
      </c>
      <c r="I50" s="325" t="s">
        <v>3634</v>
      </c>
      <c r="J50" s="2539" t="s">
        <v>3644</v>
      </c>
    </row>
    <row r="51" spans="2:10" x14ac:dyDescent="0.3">
      <c r="B51" s="342"/>
      <c r="C51" s="342"/>
      <c r="D51" s="325" t="s">
        <v>763</v>
      </c>
      <c r="E51" s="683" t="s">
        <v>758</v>
      </c>
      <c r="F51" s="2542" t="s">
        <v>2732</v>
      </c>
      <c r="G51" s="2543">
        <v>-124740</v>
      </c>
      <c r="I51" s="325" t="s">
        <v>3634</v>
      </c>
      <c r="J51" s="2539"/>
    </row>
    <row r="52" spans="2:10" x14ac:dyDescent="0.3">
      <c r="B52" s="342"/>
      <c r="C52" s="342"/>
      <c r="E52" s="683"/>
      <c r="F52" s="1828"/>
      <c r="G52" s="1777"/>
      <c r="J52" s="2539"/>
    </row>
    <row r="53" spans="2:10" x14ac:dyDescent="0.3">
      <c r="B53" s="342"/>
      <c r="C53" s="342"/>
      <c r="D53" s="325" t="s">
        <v>763</v>
      </c>
      <c r="E53" s="683" t="s">
        <v>771</v>
      </c>
      <c r="F53" s="2542" t="s">
        <v>2657</v>
      </c>
      <c r="G53" s="2543">
        <v>5000</v>
      </c>
      <c r="H53" s="325" t="s">
        <v>3624</v>
      </c>
      <c r="I53" s="325" t="s">
        <v>3633</v>
      </c>
      <c r="J53" s="2539" t="s">
        <v>3647</v>
      </c>
    </row>
    <row r="54" spans="2:10" x14ac:dyDescent="0.3">
      <c r="B54" s="342"/>
      <c r="C54" s="342"/>
      <c r="D54" s="325" t="s">
        <v>508</v>
      </c>
      <c r="E54" s="683" t="s">
        <v>1303</v>
      </c>
      <c r="F54" s="2542" t="s">
        <v>3109</v>
      </c>
      <c r="G54" s="2543">
        <v>-499.99666666666167</v>
      </c>
      <c r="I54" s="325" t="s">
        <v>3633</v>
      </c>
      <c r="J54" s="2539"/>
    </row>
    <row r="55" spans="2:10" x14ac:dyDescent="0.3">
      <c r="B55" s="342"/>
      <c r="C55" s="342"/>
      <c r="D55" s="325" t="s">
        <v>799</v>
      </c>
      <c r="E55" s="325" t="s">
        <v>1291</v>
      </c>
      <c r="F55" s="2542" t="s">
        <v>3174</v>
      </c>
      <c r="G55" s="2543">
        <v>-4500</v>
      </c>
      <c r="I55" s="325" t="s">
        <v>3633</v>
      </c>
      <c r="J55" s="2539"/>
    </row>
    <row r="56" spans="2:10" x14ac:dyDescent="0.3">
      <c r="B56" s="1824"/>
      <c r="C56" s="1824"/>
      <c r="F56" s="1828"/>
      <c r="G56" s="1782"/>
      <c r="J56" s="2539"/>
    </row>
    <row r="57" spans="2:10" x14ac:dyDescent="0.3">
      <c r="B57" s="342"/>
      <c r="C57" s="342"/>
      <c r="D57" s="325" t="s">
        <v>763</v>
      </c>
      <c r="E57" s="683" t="s">
        <v>771</v>
      </c>
      <c r="F57" s="2542" t="s">
        <v>2657</v>
      </c>
      <c r="G57" s="2543">
        <v>203560</v>
      </c>
      <c r="H57" s="325" t="s">
        <v>3624</v>
      </c>
      <c r="I57" s="325" t="s">
        <v>3633</v>
      </c>
      <c r="J57" s="2539" t="s">
        <v>3648</v>
      </c>
    </row>
    <row r="58" spans="2:10" x14ac:dyDescent="0.3">
      <c r="B58" s="342"/>
      <c r="C58" s="342"/>
      <c r="D58" s="325" t="s">
        <v>508</v>
      </c>
      <c r="E58" s="683" t="s">
        <v>1303</v>
      </c>
      <c r="F58" s="2542" t="s">
        <v>3109</v>
      </c>
      <c r="G58" s="2543">
        <v>-20356</v>
      </c>
      <c r="I58" s="325" t="s">
        <v>3633</v>
      </c>
      <c r="J58" s="2539"/>
    </row>
    <row r="59" spans="2:10" x14ac:dyDescent="0.3">
      <c r="B59" s="342"/>
      <c r="C59" s="342"/>
      <c r="D59" s="325" t="s">
        <v>799</v>
      </c>
      <c r="E59" s="325" t="s">
        <v>1291</v>
      </c>
      <c r="F59" s="2542" t="s">
        <v>3174</v>
      </c>
      <c r="G59" s="2543">
        <v>-183204</v>
      </c>
      <c r="I59" s="325" t="s">
        <v>3633</v>
      </c>
      <c r="J59" s="2539"/>
    </row>
    <row r="60" spans="2:10" x14ac:dyDescent="0.3">
      <c r="B60" s="342"/>
      <c r="C60" s="342"/>
      <c r="F60" s="1828"/>
      <c r="G60" s="1777"/>
      <c r="J60" s="2539"/>
    </row>
    <row r="61" spans="2:10" x14ac:dyDescent="0.3">
      <c r="B61" s="342"/>
      <c r="C61" s="342"/>
      <c r="D61" s="325" t="s">
        <v>799</v>
      </c>
      <c r="E61" s="325" t="s">
        <v>1291</v>
      </c>
      <c r="F61" s="2542" t="s">
        <v>3174</v>
      </c>
      <c r="G61" s="2543">
        <v>105000</v>
      </c>
      <c r="H61" s="325" t="s">
        <v>3624</v>
      </c>
      <c r="I61" s="325" t="s">
        <v>3633</v>
      </c>
      <c r="J61" s="2539" t="s">
        <v>3649</v>
      </c>
    </row>
    <row r="62" spans="2:10" x14ac:dyDescent="0.3">
      <c r="B62" s="342"/>
      <c r="C62" s="342"/>
      <c r="D62" s="325" t="s">
        <v>763</v>
      </c>
      <c r="E62" s="683" t="s">
        <v>771</v>
      </c>
      <c r="F62" s="2542" t="s">
        <v>2657</v>
      </c>
      <c r="G62" s="2543">
        <v>-105000</v>
      </c>
      <c r="I62" s="325" t="s">
        <v>3633</v>
      </c>
      <c r="J62" s="2539"/>
    </row>
    <row r="63" spans="2:10" x14ac:dyDescent="0.3">
      <c r="B63" s="342"/>
      <c r="C63" s="342"/>
      <c r="E63" s="683"/>
      <c r="F63" s="1828"/>
      <c r="G63" s="1777"/>
      <c r="J63" s="2539"/>
    </row>
    <row r="64" spans="2:10" x14ac:dyDescent="0.3">
      <c r="B64" s="342"/>
      <c r="C64" s="342"/>
      <c r="D64" s="325" t="s">
        <v>799</v>
      </c>
      <c r="E64" s="683" t="s">
        <v>1291</v>
      </c>
      <c r="F64" s="2542" t="s">
        <v>2630</v>
      </c>
      <c r="G64" s="2543">
        <v>3600</v>
      </c>
      <c r="H64" s="325" t="s">
        <v>3624</v>
      </c>
      <c r="I64" s="325" t="s">
        <v>3634</v>
      </c>
      <c r="J64" s="2539" t="s">
        <v>3650</v>
      </c>
    </row>
    <row r="65" spans="2:10" x14ac:dyDescent="0.3">
      <c r="B65" s="342"/>
      <c r="C65" s="342"/>
      <c r="D65" s="325" t="s">
        <v>508</v>
      </c>
      <c r="E65" s="683" t="s">
        <v>1303</v>
      </c>
      <c r="F65" s="2542" t="s">
        <v>3109</v>
      </c>
      <c r="G65" s="2543">
        <f>-G64</f>
        <v>-3600</v>
      </c>
      <c r="I65" s="325" t="s">
        <v>3634</v>
      </c>
      <c r="J65" s="2539"/>
    </row>
    <row r="66" spans="2:10" x14ac:dyDescent="0.3">
      <c r="B66" s="342"/>
      <c r="C66" s="342"/>
      <c r="E66" s="683"/>
      <c r="F66" s="1828"/>
      <c r="G66" s="1777"/>
      <c r="J66" s="2539"/>
    </row>
    <row r="67" spans="2:10" x14ac:dyDescent="0.3">
      <c r="B67" s="342"/>
      <c r="C67" s="342"/>
      <c r="D67" s="325" t="s">
        <v>799</v>
      </c>
      <c r="E67" s="683" t="s">
        <v>1291</v>
      </c>
      <c r="F67" s="2542" t="s">
        <v>3587</v>
      </c>
      <c r="G67" s="2543">
        <v>31006</v>
      </c>
      <c r="H67" s="325" t="s">
        <v>3624</v>
      </c>
      <c r="I67" s="325" t="s">
        <v>3633</v>
      </c>
      <c r="J67" s="2539" t="s">
        <v>3646</v>
      </c>
    </row>
    <row r="68" spans="2:10" x14ac:dyDescent="0.3">
      <c r="B68" s="342"/>
      <c r="C68" s="342"/>
      <c r="D68" s="325" t="s">
        <v>763</v>
      </c>
      <c r="E68" s="683" t="s">
        <v>771</v>
      </c>
      <c r="F68" s="2542" t="s">
        <v>2657</v>
      </c>
      <c r="G68" s="2546">
        <f>-G67</f>
        <v>-31006</v>
      </c>
      <c r="I68" s="325" t="s">
        <v>3633</v>
      </c>
      <c r="J68" s="2539"/>
    </row>
    <row r="69" spans="2:10" x14ac:dyDescent="0.3">
      <c r="B69" s="342"/>
      <c r="C69" s="342"/>
      <c r="E69" s="683"/>
      <c r="F69" s="1828"/>
      <c r="G69" s="1777"/>
      <c r="J69" s="2539"/>
    </row>
    <row r="70" spans="2:10" x14ac:dyDescent="0.3">
      <c r="B70" s="342"/>
      <c r="C70" s="342"/>
      <c r="D70" s="325" t="s">
        <v>799</v>
      </c>
      <c r="E70" s="683" t="s">
        <v>1291</v>
      </c>
      <c r="F70" s="2542" t="s">
        <v>2513</v>
      </c>
      <c r="G70" s="2543">
        <v>20250</v>
      </c>
      <c r="H70" s="325" t="s">
        <v>3624</v>
      </c>
      <c r="I70" s="325" t="s">
        <v>3634</v>
      </c>
      <c r="J70" s="2539" t="s">
        <v>3651</v>
      </c>
    </row>
    <row r="71" spans="2:10" x14ac:dyDescent="0.3">
      <c r="B71" s="342"/>
      <c r="C71" s="342"/>
      <c r="D71" s="325" t="s">
        <v>508</v>
      </c>
      <c r="E71" s="683" t="s">
        <v>1303</v>
      </c>
      <c r="F71" s="2542" t="s">
        <v>3109</v>
      </c>
      <c r="G71" s="2543">
        <v>2250</v>
      </c>
      <c r="I71" s="325" t="s">
        <v>3634</v>
      </c>
      <c r="J71" s="2539"/>
    </row>
    <row r="72" spans="2:10" x14ac:dyDescent="0.3">
      <c r="B72" s="342"/>
      <c r="C72" s="342"/>
      <c r="D72" s="325" t="s">
        <v>763</v>
      </c>
      <c r="E72" s="683" t="s">
        <v>771</v>
      </c>
      <c r="F72" s="2542" t="s">
        <v>2658</v>
      </c>
      <c r="G72" s="2543">
        <v>-22500</v>
      </c>
      <c r="I72" s="325" t="s">
        <v>3634</v>
      </c>
      <c r="J72" s="2539"/>
    </row>
    <row r="73" spans="2:10" x14ac:dyDescent="0.3">
      <c r="B73" s="342"/>
      <c r="C73" s="342"/>
      <c r="E73" s="683"/>
      <c r="F73" s="1828"/>
      <c r="G73" s="1777"/>
      <c r="J73" s="2539"/>
    </row>
    <row r="74" spans="2:10" x14ac:dyDescent="0.3">
      <c r="B74" s="342"/>
      <c r="C74" s="342"/>
      <c r="D74" s="325" t="s">
        <v>799</v>
      </c>
      <c r="E74" s="683" t="s">
        <v>1291</v>
      </c>
      <c r="F74" s="2542" t="s">
        <v>2513</v>
      </c>
      <c r="G74" s="2543">
        <v>2500</v>
      </c>
      <c r="H74" s="325" t="s">
        <v>3624</v>
      </c>
      <c r="I74" s="325" t="s">
        <v>3634</v>
      </c>
      <c r="J74" s="2539" t="s">
        <v>3652</v>
      </c>
    </row>
    <row r="75" spans="2:10" x14ac:dyDescent="0.3">
      <c r="B75" s="342"/>
      <c r="C75" s="342"/>
      <c r="D75" s="325" t="s">
        <v>508</v>
      </c>
      <c r="E75" s="683" t="s">
        <v>1303</v>
      </c>
      <c r="F75" s="2542" t="s">
        <v>3109</v>
      </c>
      <c r="G75" s="2543">
        <v>-250</v>
      </c>
      <c r="I75" s="325" t="s">
        <v>3634</v>
      </c>
      <c r="J75" s="2539"/>
    </row>
    <row r="76" spans="2:10" x14ac:dyDescent="0.3">
      <c r="B76" s="342"/>
      <c r="C76" s="342"/>
      <c r="D76" s="325" t="s">
        <v>763</v>
      </c>
      <c r="E76" s="683" t="s">
        <v>771</v>
      </c>
      <c r="F76" s="2542" t="s">
        <v>2658</v>
      </c>
      <c r="G76" s="2543">
        <v>-2250</v>
      </c>
      <c r="I76" s="325" t="s">
        <v>3634</v>
      </c>
      <c r="J76" s="2539"/>
    </row>
    <row r="77" spans="2:10" x14ac:dyDescent="0.3">
      <c r="B77" s="342"/>
      <c r="C77" s="342"/>
      <c r="E77" s="683"/>
      <c r="F77" s="1828"/>
      <c r="G77" s="1777"/>
      <c r="J77" s="2539"/>
    </row>
    <row r="78" spans="2:10" ht="16.5" customHeight="1" x14ac:dyDescent="0.3">
      <c r="B78" s="342"/>
      <c r="C78" s="342"/>
      <c r="D78" s="325" t="s">
        <v>799</v>
      </c>
      <c r="E78" s="325" t="s">
        <v>1291</v>
      </c>
      <c r="F78" s="2542" t="s">
        <v>3590</v>
      </c>
      <c r="G78" s="2543">
        <v>175000</v>
      </c>
      <c r="H78" s="325" t="s">
        <v>3624</v>
      </c>
      <c r="I78" s="325" t="s">
        <v>3633</v>
      </c>
      <c r="J78" s="2539" t="s">
        <v>3653</v>
      </c>
    </row>
    <row r="79" spans="2:10" x14ac:dyDescent="0.3">
      <c r="B79" s="342"/>
      <c r="C79" s="342"/>
      <c r="D79" s="325" t="s">
        <v>763</v>
      </c>
      <c r="E79" s="325" t="s">
        <v>771</v>
      </c>
      <c r="F79" s="2542" t="s">
        <v>2657</v>
      </c>
      <c r="G79" s="2543">
        <v>-175000</v>
      </c>
      <c r="I79" s="325" t="s">
        <v>3633</v>
      </c>
      <c r="J79" s="2539"/>
    </row>
    <row r="80" spans="2:10" x14ac:dyDescent="0.3">
      <c r="B80" s="342"/>
      <c r="C80" s="342"/>
      <c r="F80" s="1828"/>
      <c r="G80" s="1777"/>
      <c r="J80" s="2539"/>
    </row>
    <row r="81" spans="2:10" x14ac:dyDescent="0.3">
      <c r="B81" s="342"/>
      <c r="C81" s="342"/>
      <c r="D81" s="325" t="s">
        <v>799</v>
      </c>
      <c r="E81" s="325" t="s">
        <v>1291</v>
      </c>
      <c r="F81" s="2542" t="s">
        <v>3590</v>
      </c>
      <c r="G81" s="2543">
        <v>4000</v>
      </c>
      <c r="H81" s="325" t="s">
        <v>3624</v>
      </c>
      <c r="I81" s="325" t="s">
        <v>3633</v>
      </c>
      <c r="J81" s="2539" t="s">
        <v>3654</v>
      </c>
    </row>
    <row r="82" spans="2:10" x14ac:dyDescent="0.3">
      <c r="B82" s="342"/>
      <c r="C82" s="342"/>
      <c r="D82" s="325" t="s">
        <v>763</v>
      </c>
      <c r="E82" s="325" t="s">
        <v>771</v>
      </c>
      <c r="F82" s="2542" t="s">
        <v>2657</v>
      </c>
      <c r="G82" s="2543">
        <v>-4000</v>
      </c>
      <c r="I82" s="325" t="s">
        <v>3633</v>
      </c>
      <c r="J82" s="2539"/>
    </row>
    <row r="83" spans="2:10" x14ac:dyDescent="0.3">
      <c r="B83" s="342"/>
      <c r="C83" s="342"/>
      <c r="F83" s="1828"/>
      <c r="G83" s="1777"/>
      <c r="J83" s="2539"/>
    </row>
    <row r="84" spans="2:10" x14ac:dyDescent="0.3">
      <c r="B84" s="342"/>
      <c r="C84" s="342"/>
      <c r="D84" s="325" t="s">
        <v>799</v>
      </c>
      <c r="E84" s="325" t="s">
        <v>1291</v>
      </c>
      <c r="F84" s="2542" t="s">
        <v>3590</v>
      </c>
      <c r="G84" s="2543">
        <v>131400</v>
      </c>
      <c r="H84" s="325" t="s">
        <v>3624</v>
      </c>
      <c r="I84" s="325" t="s">
        <v>3633</v>
      </c>
      <c r="J84" s="2539" t="s">
        <v>3655</v>
      </c>
    </row>
    <row r="85" spans="2:10" x14ac:dyDescent="0.3">
      <c r="B85" s="342"/>
      <c r="C85" s="342"/>
      <c r="D85" s="325" t="s">
        <v>508</v>
      </c>
      <c r="E85" s="683" t="s">
        <v>1303</v>
      </c>
      <c r="F85" s="2542" t="s">
        <v>3109</v>
      </c>
      <c r="G85" s="2543">
        <v>14600</v>
      </c>
      <c r="I85" s="325" t="s">
        <v>3633</v>
      </c>
      <c r="J85" s="2539"/>
    </row>
    <row r="86" spans="2:10" x14ac:dyDescent="0.3">
      <c r="B86" s="342"/>
      <c r="C86" s="342"/>
      <c r="D86" s="325" t="s">
        <v>763</v>
      </c>
      <c r="E86" s="683" t="s">
        <v>771</v>
      </c>
      <c r="F86" s="2542" t="s">
        <v>2657</v>
      </c>
      <c r="G86" s="2543">
        <v>-146000</v>
      </c>
      <c r="I86" s="325" t="s">
        <v>3633</v>
      </c>
      <c r="J86" s="2539"/>
    </row>
    <row r="87" spans="2:10" x14ac:dyDescent="0.3">
      <c r="B87" s="342"/>
      <c r="C87" s="342"/>
      <c r="E87" s="683"/>
      <c r="F87" s="1828"/>
      <c r="G87" s="1777"/>
      <c r="J87" s="2539"/>
    </row>
    <row r="88" spans="2:10" x14ac:dyDescent="0.3">
      <c r="B88" s="342"/>
      <c r="C88" s="342"/>
      <c r="D88" s="325" t="s">
        <v>763</v>
      </c>
      <c r="E88" s="683" t="s">
        <v>758</v>
      </c>
      <c r="F88" s="2542" t="s">
        <v>758</v>
      </c>
      <c r="G88" s="2543">
        <v>76325.333333333256</v>
      </c>
      <c r="H88" s="325" t="s">
        <v>3624</v>
      </c>
      <c r="I88" s="325" t="s">
        <v>3633</v>
      </c>
      <c r="J88" s="2539" t="s">
        <v>3642</v>
      </c>
    </row>
    <row r="89" spans="2:10" ht="16.5" customHeight="1" x14ac:dyDescent="0.3">
      <c r="B89" s="342"/>
      <c r="C89" s="342"/>
      <c r="D89" s="325" t="s">
        <v>508</v>
      </c>
      <c r="E89" s="325" t="s">
        <v>1669</v>
      </c>
      <c r="F89" s="2540" t="s">
        <v>3172</v>
      </c>
      <c r="G89" s="2543">
        <f>-G88</f>
        <v>-76325.333333333256</v>
      </c>
      <c r="I89" s="325" t="s">
        <v>3633</v>
      </c>
      <c r="J89" s="2539"/>
    </row>
    <row r="90" spans="2:10" ht="16.5" customHeight="1" x14ac:dyDescent="0.3">
      <c r="B90" s="342"/>
      <c r="C90" s="342"/>
      <c r="F90" s="2526"/>
      <c r="G90" s="1777"/>
      <c r="J90" s="2539"/>
    </row>
    <row r="91" spans="2:10" x14ac:dyDescent="0.3">
      <c r="B91" s="342"/>
      <c r="C91" s="342"/>
      <c r="D91" s="325" t="s">
        <v>363</v>
      </c>
      <c r="E91" s="683" t="s">
        <v>2015</v>
      </c>
      <c r="F91" s="2555" t="s">
        <v>3622</v>
      </c>
      <c r="G91" s="2533">
        <v>1333259.1863013699</v>
      </c>
      <c r="H91" s="325" t="s">
        <v>3624</v>
      </c>
      <c r="I91" s="325" t="s">
        <v>3634</v>
      </c>
      <c r="J91" s="2539" t="s">
        <v>3658</v>
      </c>
    </row>
    <row r="92" spans="2:10" x14ac:dyDescent="0.3">
      <c r="B92" s="342"/>
      <c r="C92" s="342"/>
      <c r="D92" s="325" t="s">
        <v>997</v>
      </c>
      <c r="E92" s="683" t="s">
        <v>762</v>
      </c>
      <c r="F92" s="2555" t="s">
        <v>2731</v>
      </c>
      <c r="G92" s="2533">
        <v>-1333259.1863013699</v>
      </c>
      <c r="I92" s="325" t="s">
        <v>3634</v>
      </c>
      <c r="J92" s="2539"/>
    </row>
    <row r="93" spans="2:10" x14ac:dyDescent="0.3">
      <c r="B93" s="342"/>
      <c r="C93" s="342"/>
      <c r="E93" s="683"/>
      <c r="F93" s="1828"/>
      <c r="G93" s="1777"/>
      <c r="J93" s="2539"/>
    </row>
    <row r="94" spans="2:10" x14ac:dyDescent="0.3">
      <c r="B94" s="342"/>
      <c r="C94" s="342"/>
      <c r="D94" s="325" t="s">
        <v>363</v>
      </c>
      <c r="E94" s="683" t="s">
        <v>2015</v>
      </c>
      <c r="F94" s="2555" t="s">
        <v>3622</v>
      </c>
      <c r="G94" s="2533">
        <v>94691</v>
      </c>
      <c r="H94" s="325" t="s">
        <v>3624</v>
      </c>
      <c r="I94" s="325" t="s">
        <v>3634</v>
      </c>
      <c r="J94" s="2539" t="s">
        <v>3658</v>
      </c>
    </row>
    <row r="95" spans="2:10" x14ac:dyDescent="0.3">
      <c r="B95" s="342"/>
      <c r="C95" s="342"/>
      <c r="D95" s="325" t="s">
        <v>997</v>
      </c>
      <c r="E95" s="683" t="s">
        <v>762</v>
      </c>
      <c r="F95" s="2555" t="s">
        <v>2731</v>
      </c>
      <c r="G95" s="2533">
        <v>-94691</v>
      </c>
      <c r="I95" s="325" t="s">
        <v>3634</v>
      </c>
      <c r="J95" s="2539"/>
    </row>
    <row r="96" spans="2:10" x14ac:dyDescent="0.3">
      <c r="B96" s="342"/>
      <c r="C96" s="342"/>
      <c r="E96" s="683"/>
      <c r="F96" s="1828"/>
      <c r="G96" s="1777"/>
      <c r="J96" s="2539"/>
    </row>
    <row r="97" spans="2:10" x14ac:dyDescent="0.3">
      <c r="B97" s="342"/>
      <c r="C97" s="342"/>
      <c r="D97" s="325" t="s">
        <v>747</v>
      </c>
      <c r="E97" s="683" t="s">
        <v>1551</v>
      </c>
      <c r="F97" s="2542" t="s">
        <v>2125</v>
      </c>
      <c r="G97" s="2544">
        <f>184683</f>
        <v>184683</v>
      </c>
      <c r="H97" s="325" t="s">
        <v>3624</v>
      </c>
      <c r="I97" s="325" t="s">
        <v>3633</v>
      </c>
      <c r="J97" s="2539" t="s">
        <v>3657</v>
      </c>
    </row>
    <row r="98" spans="2:10" x14ac:dyDescent="0.3">
      <c r="B98" s="342"/>
      <c r="C98" s="342"/>
      <c r="D98" s="325" t="s">
        <v>752</v>
      </c>
      <c r="E98" s="683" t="s">
        <v>983</v>
      </c>
      <c r="F98" s="2542" t="s">
        <v>3086</v>
      </c>
      <c r="G98" s="2543">
        <f>-184683</f>
        <v>-184683</v>
      </c>
      <c r="I98" s="325" t="s">
        <v>3633</v>
      </c>
      <c r="J98" s="2539"/>
    </row>
    <row r="99" spans="2:10" x14ac:dyDescent="0.3">
      <c r="B99" s="342"/>
      <c r="C99" s="342"/>
      <c r="E99" s="683"/>
      <c r="F99" s="1828"/>
      <c r="G99" s="1777"/>
      <c r="J99" s="2539"/>
    </row>
    <row r="100" spans="2:10" x14ac:dyDescent="0.3">
      <c r="B100" s="342"/>
      <c r="C100" s="342"/>
      <c r="D100" s="325" t="s">
        <v>508</v>
      </c>
      <c r="E100" s="683" t="s">
        <v>1303</v>
      </c>
      <c r="F100" s="2542" t="s">
        <v>3074</v>
      </c>
      <c r="G100" s="2547">
        <v>215210</v>
      </c>
      <c r="H100" s="325" t="s">
        <v>3624</v>
      </c>
      <c r="I100" s="325" t="s">
        <v>3633</v>
      </c>
      <c r="J100" s="2539" t="s">
        <v>3645</v>
      </c>
    </row>
    <row r="101" spans="2:10" x14ac:dyDescent="0.3">
      <c r="B101" s="342"/>
      <c r="C101" s="342"/>
      <c r="D101" s="325" t="s">
        <v>752</v>
      </c>
      <c r="E101" s="683" t="s">
        <v>983</v>
      </c>
      <c r="F101" s="2542" t="s">
        <v>3086</v>
      </c>
      <c r="G101" s="2547">
        <v>-215210</v>
      </c>
      <c r="I101" s="325" t="s">
        <v>3633</v>
      </c>
      <c r="J101" s="2539"/>
    </row>
    <row r="102" spans="2:10" x14ac:dyDescent="0.3">
      <c r="F102" s="1828"/>
      <c r="J102" s="2539"/>
    </row>
    <row r="103" spans="2:10" x14ac:dyDescent="0.3">
      <c r="D103" s="325" t="s">
        <v>363</v>
      </c>
      <c r="E103" s="321" t="s">
        <v>2018</v>
      </c>
      <c r="F103" s="2542" t="s">
        <v>3070</v>
      </c>
      <c r="G103" s="2541">
        <v>84823.31</v>
      </c>
      <c r="I103" s="325" t="s">
        <v>3633</v>
      </c>
      <c r="J103" s="2539" t="s">
        <v>3660</v>
      </c>
    </row>
    <row r="104" spans="2:10" x14ac:dyDescent="0.3">
      <c r="D104" s="325" t="s">
        <v>363</v>
      </c>
      <c r="E104" s="321" t="s">
        <v>2018</v>
      </c>
      <c r="F104" s="2542" t="s">
        <v>3581</v>
      </c>
      <c r="G104" s="2541">
        <v>-84823.31</v>
      </c>
      <c r="I104" s="325" t="s">
        <v>3633</v>
      </c>
      <c r="J104" s="2539"/>
    </row>
    <row r="105" spans="2:10" x14ac:dyDescent="0.3">
      <c r="F105" s="1828"/>
      <c r="G105" s="1781"/>
      <c r="J105" s="2539"/>
    </row>
    <row r="106" spans="2:10" x14ac:dyDescent="0.3">
      <c r="D106" s="325" t="s">
        <v>363</v>
      </c>
      <c r="E106" s="325" t="s">
        <v>2018</v>
      </c>
      <c r="F106" s="2542" t="s">
        <v>3596</v>
      </c>
      <c r="G106" s="2543">
        <v>259684</v>
      </c>
      <c r="I106" s="325" t="s">
        <v>3633</v>
      </c>
      <c r="J106" s="2539" t="s">
        <v>3661</v>
      </c>
    </row>
    <row r="107" spans="2:10" x14ac:dyDescent="0.3">
      <c r="D107" s="325" t="s">
        <v>363</v>
      </c>
      <c r="E107" s="325" t="s">
        <v>2018</v>
      </c>
      <c r="F107" s="2542" t="s">
        <v>3051</v>
      </c>
      <c r="G107" s="2544">
        <v>259684</v>
      </c>
      <c r="I107" s="325" t="s">
        <v>3633</v>
      </c>
      <c r="J107" s="2539"/>
    </row>
    <row r="108" spans="2:10" x14ac:dyDescent="0.3">
      <c r="D108" s="325" t="s">
        <v>363</v>
      </c>
      <c r="E108" s="325" t="s">
        <v>2018</v>
      </c>
      <c r="F108" s="2542" t="s">
        <v>3581</v>
      </c>
      <c r="G108" s="2543">
        <v>-519368</v>
      </c>
      <c r="I108" s="325" t="s">
        <v>3633</v>
      </c>
      <c r="J108" s="2539"/>
    </row>
    <row r="109" spans="2:10" x14ac:dyDescent="0.3">
      <c r="F109" s="1828"/>
      <c r="G109" s="1781"/>
      <c r="J109" s="2539"/>
    </row>
    <row r="110" spans="2:10" x14ac:dyDescent="0.3">
      <c r="D110" s="325" t="s">
        <v>363</v>
      </c>
      <c r="E110" s="325" t="s">
        <v>2018</v>
      </c>
      <c r="F110" s="2542" t="s">
        <v>3070</v>
      </c>
      <c r="G110" s="2543">
        <v>5574.3899999999994</v>
      </c>
      <c r="I110" s="325" t="s">
        <v>3633</v>
      </c>
      <c r="J110" s="2539" t="s">
        <v>3660</v>
      </c>
    </row>
    <row r="111" spans="2:10" x14ac:dyDescent="0.3">
      <c r="D111" s="325" t="s">
        <v>363</v>
      </c>
      <c r="E111" s="325" t="s">
        <v>2018</v>
      </c>
      <c r="F111" s="2542" t="s">
        <v>3581</v>
      </c>
      <c r="G111" s="2544">
        <v>-5574.3899999999994</v>
      </c>
      <c r="I111" s="325" t="s">
        <v>3633</v>
      </c>
      <c r="J111" s="2539"/>
    </row>
    <row r="112" spans="2:10" x14ac:dyDescent="0.3">
      <c r="F112" s="1828"/>
      <c r="G112" s="1781"/>
      <c r="J112" s="2539"/>
    </row>
    <row r="113" spans="4:10" x14ac:dyDescent="0.3">
      <c r="D113" s="325" t="s">
        <v>363</v>
      </c>
      <c r="E113" s="325" t="s">
        <v>2018</v>
      </c>
      <c r="F113" s="2542" t="s">
        <v>3581</v>
      </c>
      <c r="G113" s="2544">
        <v>2346129</v>
      </c>
      <c r="I113" s="325" t="s">
        <v>3633</v>
      </c>
      <c r="J113" s="2539" t="s">
        <v>3661</v>
      </c>
    </row>
    <row r="114" spans="4:10" x14ac:dyDescent="0.3">
      <c r="D114" s="325" t="s">
        <v>363</v>
      </c>
      <c r="E114" s="325" t="s">
        <v>2018</v>
      </c>
      <c r="F114" s="2542" t="s">
        <v>3051</v>
      </c>
      <c r="G114" s="2543">
        <v>-1771684</v>
      </c>
      <c r="I114" s="325" t="s">
        <v>3633</v>
      </c>
      <c r="J114" s="2539"/>
    </row>
    <row r="115" spans="4:10" x14ac:dyDescent="0.3">
      <c r="D115" s="325" t="s">
        <v>508</v>
      </c>
      <c r="E115" s="325" t="s">
        <v>1303</v>
      </c>
      <c r="F115" s="2542" t="s">
        <v>3066</v>
      </c>
      <c r="G115" s="2543">
        <v>-574445</v>
      </c>
      <c r="I115" s="325" t="s">
        <v>3633</v>
      </c>
      <c r="J115" s="2539"/>
    </row>
    <row r="116" spans="4:10" x14ac:dyDescent="0.3">
      <c r="F116" s="1828"/>
      <c r="G116" s="1781"/>
      <c r="J116" s="2539"/>
    </row>
    <row r="117" spans="4:10" x14ac:dyDescent="0.3">
      <c r="D117" s="325" t="s">
        <v>363</v>
      </c>
      <c r="E117" s="325" t="s">
        <v>2018</v>
      </c>
      <c r="F117" s="2542" t="s">
        <v>3070</v>
      </c>
      <c r="G117" s="2544">
        <v>395.09</v>
      </c>
      <c r="I117" s="325" t="s">
        <v>3633</v>
      </c>
      <c r="J117" s="2539" t="s">
        <v>3660</v>
      </c>
    </row>
    <row r="118" spans="4:10" x14ac:dyDescent="0.3">
      <c r="D118" s="325" t="s">
        <v>363</v>
      </c>
      <c r="E118" s="325" t="s">
        <v>2018</v>
      </c>
      <c r="F118" s="2542" t="s">
        <v>3581</v>
      </c>
      <c r="G118" s="2543">
        <v>-395.09</v>
      </c>
      <c r="I118" s="325" t="s">
        <v>3633</v>
      </c>
      <c r="J118" s="2539"/>
    </row>
    <row r="119" spans="4:10" x14ac:dyDescent="0.3">
      <c r="F119" s="1828"/>
      <c r="G119" s="2510"/>
      <c r="J119" s="2539"/>
    </row>
    <row r="120" spans="4:10" x14ac:dyDescent="0.3">
      <c r="D120" s="325" t="s">
        <v>363</v>
      </c>
      <c r="E120" s="325" t="s">
        <v>2018</v>
      </c>
      <c r="F120" s="2542" t="s">
        <v>3581</v>
      </c>
      <c r="G120" s="2543">
        <v>2154.6</v>
      </c>
      <c r="I120" s="325" t="s">
        <v>3633</v>
      </c>
      <c r="J120" s="2539" t="s">
        <v>3662</v>
      </c>
    </row>
    <row r="121" spans="4:10" ht="16.5" customHeight="1" x14ac:dyDescent="0.3">
      <c r="D121" s="325" t="s">
        <v>363</v>
      </c>
      <c r="E121" s="325" t="s">
        <v>2018</v>
      </c>
      <c r="F121" s="2542" t="s">
        <v>3070</v>
      </c>
      <c r="G121" s="2543">
        <v>-2154.6</v>
      </c>
      <c r="I121" s="325" t="s">
        <v>3633</v>
      </c>
      <c r="J121" s="2539"/>
    </row>
    <row r="122" spans="4:10" x14ac:dyDescent="0.3">
      <c r="F122" s="1828"/>
      <c r="G122" s="1781"/>
      <c r="J122" s="2539"/>
    </row>
    <row r="123" spans="4:10" x14ac:dyDescent="0.3">
      <c r="D123" s="325" t="s">
        <v>363</v>
      </c>
      <c r="E123" s="325" t="s">
        <v>2018</v>
      </c>
      <c r="F123" s="2542" t="s">
        <v>3051</v>
      </c>
      <c r="G123" s="2544">
        <v>543825</v>
      </c>
      <c r="I123" s="325" t="s">
        <v>3633</v>
      </c>
      <c r="J123" s="2539" t="s">
        <v>3661</v>
      </c>
    </row>
    <row r="124" spans="4:10" x14ac:dyDescent="0.3">
      <c r="D124" s="325" t="s">
        <v>363</v>
      </c>
      <c r="E124" s="325" t="s">
        <v>2018</v>
      </c>
      <c r="F124" s="2542" t="s">
        <v>3581</v>
      </c>
      <c r="G124" s="2543">
        <v>-543825</v>
      </c>
      <c r="I124" s="325" t="s">
        <v>3633</v>
      </c>
      <c r="J124" s="2539"/>
    </row>
    <row r="125" spans="4:10" x14ac:dyDescent="0.3">
      <c r="F125" s="1828"/>
      <c r="G125" s="1781"/>
      <c r="J125" s="2539"/>
    </row>
    <row r="126" spans="4:10" x14ac:dyDescent="0.3">
      <c r="D126" s="325" t="s">
        <v>363</v>
      </c>
      <c r="E126" s="325" t="s">
        <v>2018</v>
      </c>
      <c r="F126" s="2542" t="s">
        <v>3051</v>
      </c>
      <c r="G126" s="2544">
        <v>494738</v>
      </c>
      <c r="I126" s="325" t="s">
        <v>3633</v>
      </c>
      <c r="J126" s="2539" t="s">
        <v>3661</v>
      </c>
    </row>
    <row r="127" spans="4:10" x14ac:dyDescent="0.3">
      <c r="D127" s="325" t="s">
        <v>363</v>
      </c>
      <c r="E127" s="325" t="s">
        <v>2018</v>
      </c>
      <c r="F127" s="2542" t="s">
        <v>3596</v>
      </c>
      <c r="G127" s="2543">
        <v>418193</v>
      </c>
      <c r="I127" s="325" t="s">
        <v>3633</v>
      </c>
      <c r="J127" s="2539"/>
    </row>
    <row r="128" spans="4:10" x14ac:dyDescent="0.3">
      <c r="D128" s="325" t="s">
        <v>363</v>
      </c>
      <c r="E128" s="325" t="s">
        <v>2018</v>
      </c>
      <c r="F128" s="2542" t="s">
        <v>3581</v>
      </c>
      <c r="G128" s="2544">
        <v>-912931</v>
      </c>
      <c r="I128" s="325" t="s">
        <v>3633</v>
      </c>
      <c r="J128" s="2539"/>
    </row>
    <row r="129" spans="4:10" ht="16.5" customHeight="1" x14ac:dyDescent="0.3">
      <c r="F129" s="1828"/>
      <c r="G129" s="1781"/>
      <c r="J129" s="2539"/>
    </row>
    <row r="130" spans="4:10" x14ac:dyDescent="0.3">
      <c r="D130" s="325" t="s">
        <v>363</v>
      </c>
      <c r="E130" s="325" t="s">
        <v>2018</v>
      </c>
      <c r="F130" s="2542" t="s">
        <v>3581</v>
      </c>
      <c r="G130" s="2543">
        <v>195577</v>
      </c>
      <c r="I130" s="325" t="s">
        <v>3633</v>
      </c>
      <c r="J130" s="2539" t="s">
        <v>3661</v>
      </c>
    </row>
    <row r="131" spans="4:10" x14ac:dyDescent="0.3">
      <c r="D131" s="325" t="s">
        <v>363</v>
      </c>
      <c r="E131" s="325" t="s">
        <v>2018</v>
      </c>
      <c r="F131" s="2542" t="s">
        <v>3051</v>
      </c>
      <c r="G131" s="2544">
        <v>-195577</v>
      </c>
      <c r="I131" s="325" t="s">
        <v>3633</v>
      </c>
      <c r="J131" s="2539"/>
    </row>
    <row r="132" spans="4:10" x14ac:dyDescent="0.3">
      <c r="F132" s="1828"/>
      <c r="G132" s="1781"/>
      <c r="J132" s="2539"/>
    </row>
    <row r="133" spans="4:10" x14ac:dyDescent="0.3">
      <c r="D133" s="325" t="s">
        <v>363</v>
      </c>
      <c r="E133" s="325" t="s">
        <v>2018</v>
      </c>
      <c r="F133" s="2542" t="s">
        <v>3581</v>
      </c>
      <c r="G133" s="2543">
        <v>576650</v>
      </c>
      <c r="I133" s="325" t="s">
        <v>3633</v>
      </c>
      <c r="J133" s="2539" t="s">
        <v>3661</v>
      </c>
    </row>
    <row r="134" spans="4:10" x14ac:dyDescent="0.3">
      <c r="D134" s="325" t="s">
        <v>363</v>
      </c>
      <c r="E134" s="325" t="s">
        <v>2018</v>
      </c>
      <c r="F134" s="2542" t="s">
        <v>3051</v>
      </c>
      <c r="G134" s="2543">
        <v>-576650</v>
      </c>
      <c r="I134" s="325" t="s">
        <v>3633</v>
      </c>
      <c r="J134" s="2539"/>
    </row>
    <row r="135" spans="4:10" x14ac:dyDescent="0.3">
      <c r="F135" s="1828"/>
      <c r="G135" s="2510"/>
      <c r="J135" s="2539"/>
    </row>
    <row r="136" spans="4:10" x14ac:dyDescent="0.3">
      <c r="D136" s="325" t="s">
        <v>363</v>
      </c>
      <c r="E136" s="325" t="s">
        <v>2018</v>
      </c>
      <c r="F136" s="2542" t="s">
        <v>3051</v>
      </c>
      <c r="G136" s="2543">
        <v>135767</v>
      </c>
      <c r="I136" s="325" t="s">
        <v>3633</v>
      </c>
      <c r="J136" s="2539" t="s">
        <v>3661</v>
      </c>
    </row>
    <row r="137" spans="4:10" x14ac:dyDescent="0.3">
      <c r="D137" s="325" t="s">
        <v>363</v>
      </c>
      <c r="E137" s="325" t="s">
        <v>2018</v>
      </c>
      <c r="F137" s="2542" t="s">
        <v>3596</v>
      </c>
      <c r="G137" s="2543">
        <v>135767</v>
      </c>
      <c r="I137" s="325" t="s">
        <v>3633</v>
      </c>
      <c r="J137" s="2539"/>
    </row>
    <row r="138" spans="4:10" x14ac:dyDescent="0.3">
      <c r="D138" s="325" t="s">
        <v>363</v>
      </c>
      <c r="E138" s="325" t="s">
        <v>2018</v>
      </c>
      <c r="F138" s="2542" t="s">
        <v>3581</v>
      </c>
      <c r="G138" s="2543">
        <v>-271534</v>
      </c>
      <c r="I138" s="325" t="s">
        <v>3633</v>
      </c>
      <c r="J138" s="2539"/>
    </row>
    <row r="139" spans="4:10" x14ac:dyDescent="0.3">
      <c r="F139" s="1828"/>
      <c r="G139" s="1781"/>
      <c r="J139" s="2539"/>
    </row>
    <row r="140" spans="4:10" ht="16.5" customHeight="1" x14ac:dyDescent="0.3">
      <c r="D140" s="325" t="s">
        <v>363</v>
      </c>
      <c r="E140" s="325" t="s">
        <v>2018</v>
      </c>
      <c r="F140" s="2542" t="s">
        <v>3581</v>
      </c>
      <c r="G140" s="2544">
        <v>3509858</v>
      </c>
      <c r="I140" s="325" t="s">
        <v>3633</v>
      </c>
      <c r="J140" s="2539" t="s">
        <v>3661</v>
      </c>
    </row>
    <row r="141" spans="4:10" ht="16.5" customHeight="1" x14ac:dyDescent="0.3">
      <c r="D141" s="325" t="s">
        <v>363</v>
      </c>
      <c r="E141" s="325" t="s">
        <v>2018</v>
      </c>
      <c r="F141" s="2542" t="s">
        <v>3051</v>
      </c>
      <c r="G141" s="2544">
        <v>-3509858</v>
      </c>
      <c r="I141" s="325" t="s">
        <v>3633</v>
      </c>
      <c r="J141" s="2539"/>
    </row>
    <row r="142" spans="4:10" x14ac:dyDescent="0.3">
      <c r="F142" s="1828"/>
      <c r="G142" s="1781"/>
      <c r="J142" s="2539"/>
    </row>
    <row r="143" spans="4:10" x14ac:dyDescent="0.3">
      <c r="D143" s="325" t="s">
        <v>508</v>
      </c>
      <c r="E143" s="325" t="s">
        <v>1303</v>
      </c>
      <c r="F143" s="2542" t="s">
        <v>3066</v>
      </c>
      <c r="G143" s="2543">
        <v>574445</v>
      </c>
      <c r="I143" s="325" t="s">
        <v>3633</v>
      </c>
      <c r="J143" s="2539" t="s">
        <v>3661</v>
      </c>
    </row>
    <row r="144" spans="4:10" x14ac:dyDescent="0.3">
      <c r="D144" s="325" t="s">
        <v>363</v>
      </c>
      <c r="E144" s="325" t="s">
        <v>2018</v>
      </c>
      <c r="F144" s="2542" t="s">
        <v>3581</v>
      </c>
      <c r="G144" s="2543">
        <v>-574445</v>
      </c>
      <c r="I144" s="325" t="s">
        <v>3633</v>
      </c>
      <c r="J144" s="2539"/>
    </row>
    <row r="145" spans="4:10" ht="16.5" customHeight="1" x14ac:dyDescent="0.3">
      <c r="F145" s="1828"/>
      <c r="G145" s="2510"/>
      <c r="J145" s="2539"/>
    </row>
    <row r="146" spans="4:10" x14ac:dyDescent="0.3">
      <c r="D146" s="325" t="s">
        <v>363</v>
      </c>
      <c r="E146" s="325" t="s">
        <v>2018</v>
      </c>
      <c r="F146" s="2542" t="s">
        <v>3581</v>
      </c>
      <c r="G146" s="2543">
        <v>841636</v>
      </c>
      <c r="I146" s="325" t="s">
        <v>3633</v>
      </c>
      <c r="J146" s="2539" t="s">
        <v>3661</v>
      </c>
    </row>
    <row r="147" spans="4:10" x14ac:dyDescent="0.3">
      <c r="D147" s="325" t="s">
        <v>363</v>
      </c>
      <c r="E147" s="325" t="s">
        <v>2018</v>
      </c>
      <c r="F147" s="2542" t="s">
        <v>3051</v>
      </c>
      <c r="G147" s="2543">
        <v>-841636</v>
      </c>
      <c r="I147" s="325" t="s">
        <v>3633</v>
      </c>
      <c r="J147" s="2539"/>
    </row>
    <row r="148" spans="4:10" x14ac:dyDescent="0.3">
      <c r="F148" s="1828"/>
      <c r="G148" s="1781"/>
      <c r="J148" s="2539"/>
    </row>
    <row r="149" spans="4:10" x14ac:dyDescent="0.3">
      <c r="D149" s="325" t="s">
        <v>363</v>
      </c>
      <c r="E149" s="325" t="s">
        <v>2018</v>
      </c>
      <c r="F149" s="2542" t="s">
        <v>3070</v>
      </c>
      <c r="G149" s="2543">
        <v>19356.12</v>
      </c>
      <c r="I149" s="325" t="s">
        <v>3633</v>
      </c>
      <c r="J149" s="2539" t="s">
        <v>3660</v>
      </c>
    </row>
    <row r="150" spans="4:10" x14ac:dyDescent="0.3">
      <c r="D150" s="325" t="s">
        <v>363</v>
      </c>
      <c r="E150" s="325" t="s">
        <v>2018</v>
      </c>
      <c r="F150" s="2542" t="s">
        <v>3596</v>
      </c>
      <c r="G150" s="2544">
        <v>-19356.12</v>
      </c>
      <c r="I150" s="325" t="s">
        <v>3633</v>
      </c>
      <c r="J150" s="2539"/>
    </row>
    <row r="151" spans="4:10" x14ac:dyDescent="0.3">
      <c r="F151" s="1828"/>
      <c r="G151" s="1781"/>
      <c r="J151" s="2539"/>
    </row>
    <row r="152" spans="4:10" x14ac:dyDescent="0.3">
      <c r="D152" s="325" t="s">
        <v>363</v>
      </c>
      <c r="E152" s="325" t="s">
        <v>2018</v>
      </c>
      <c r="F152" s="2542" t="s">
        <v>3596</v>
      </c>
      <c r="G152" s="2543">
        <v>20237</v>
      </c>
      <c r="I152" s="325" t="s">
        <v>3633</v>
      </c>
      <c r="J152" s="2539" t="s">
        <v>3661</v>
      </c>
    </row>
    <row r="153" spans="4:10" x14ac:dyDescent="0.3">
      <c r="D153" s="325" t="s">
        <v>508</v>
      </c>
      <c r="E153" s="325" t="s">
        <v>1303</v>
      </c>
      <c r="F153" s="2542" t="s">
        <v>3066</v>
      </c>
      <c r="G153" s="2543">
        <v>-20237</v>
      </c>
      <c r="I153" s="325" t="s">
        <v>3633</v>
      </c>
      <c r="J153" s="2539"/>
    </row>
    <row r="154" spans="4:10" ht="16.5" customHeight="1" x14ac:dyDescent="0.3">
      <c r="F154" s="1828"/>
      <c r="G154" s="1781"/>
      <c r="J154" s="2539"/>
    </row>
    <row r="155" spans="4:10" ht="16.5" customHeight="1" x14ac:dyDescent="0.3">
      <c r="D155" s="1821" t="s">
        <v>363</v>
      </c>
      <c r="E155" s="325" t="s">
        <v>2018</v>
      </c>
      <c r="F155" s="2542" t="s">
        <v>3596</v>
      </c>
      <c r="G155" s="2543">
        <v>4254.66</v>
      </c>
      <c r="I155" s="325" t="s">
        <v>3633</v>
      </c>
      <c r="J155" s="2539" t="s">
        <v>3662</v>
      </c>
    </row>
    <row r="156" spans="4:10" ht="16.5" customHeight="1" x14ac:dyDescent="0.3">
      <c r="D156" s="321" t="s">
        <v>363</v>
      </c>
      <c r="E156" s="325" t="s">
        <v>2018</v>
      </c>
      <c r="F156" s="2542" t="s">
        <v>3070</v>
      </c>
      <c r="G156" s="2543">
        <v>-4254.66</v>
      </c>
      <c r="I156" s="325" t="s">
        <v>3633</v>
      </c>
      <c r="J156" s="2539"/>
    </row>
    <row r="157" spans="4:10" ht="16.5" customHeight="1" x14ac:dyDescent="0.3">
      <c r="F157" s="1828"/>
      <c r="G157" s="1781"/>
      <c r="J157" s="2539"/>
    </row>
    <row r="158" spans="4:10" x14ac:dyDescent="0.3">
      <c r="D158" s="321" t="s">
        <v>363</v>
      </c>
      <c r="E158" s="325" t="s">
        <v>2018</v>
      </c>
      <c r="F158" s="2542" t="s">
        <v>3070</v>
      </c>
      <c r="G158" s="2543">
        <v>8368.74</v>
      </c>
      <c r="I158" s="325" t="s">
        <v>3633</v>
      </c>
      <c r="J158" s="2539" t="s">
        <v>3660</v>
      </c>
    </row>
    <row r="159" spans="4:10" x14ac:dyDescent="0.3">
      <c r="D159" s="321" t="s">
        <v>363</v>
      </c>
      <c r="E159" s="325" t="s">
        <v>2018</v>
      </c>
      <c r="F159" s="2542" t="s">
        <v>3596</v>
      </c>
      <c r="G159" s="2543">
        <v>-8368.74</v>
      </c>
      <c r="I159" s="325" t="s">
        <v>3633</v>
      </c>
      <c r="J159" s="2539"/>
    </row>
    <row r="160" spans="4:10" ht="16.5" customHeight="1" x14ac:dyDescent="0.3">
      <c r="F160" s="1828"/>
      <c r="G160" s="2510"/>
      <c r="J160" s="2539"/>
    </row>
    <row r="161" spans="4:10" ht="16.5" customHeight="1" x14ac:dyDescent="0.3">
      <c r="D161" s="321" t="s">
        <v>363</v>
      </c>
      <c r="E161" s="325" t="s">
        <v>2018</v>
      </c>
      <c r="F161" s="2542" t="s">
        <v>3596</v>
      </c>
      <c r="G161" s="2543">
        <v>3080</v>
      </c>
      <c r="I161" s="325" t="s">
        <v>3633</v>
      </c>
      <c r="J161" s="2539" t="s">
        <v>3662</v>
      </c>
    </row>
    <row r="162" spans="4:10" x14ac:dyDescent="0.3">
      <c r="D162" s="321" t="s">
        <v>363</v>
      </c>
      <c r="E162" s="325" t="s">
        <v>2018</v>
      </c>
      <c r="F162" s="2542" t="s">
        <v>3070</v>
      </c>
      <c r="G162" s="2543">
        <v>-3080</v>
      </c>
      <c r="I162" s="325" t="s">
        <v>3633</v>
      </c>
      <c r="J162" s="2539"/>
    </row>
    <row r="163" spans="4:10" x14ac:dyDescent="0.3">
      <c r="F163" s="1828"/>
      <c r="G163" s="2510"/>
      <c r="J163" s="2539"/>
    </row>
    <row r="164" spans="4:10" ht="16.5" customHeight="1" x14ac:dyDescent="0.3">
      <c r="D164" s="325" t="s">
        <v>363</v>
      </c>
      <c r="E164" s="325" t="s">
        <v>2018</v>
      </c>
      <c r="F164" s="2542" t="s">
        <v>3070</v>
      </c>
      <c r="G164" s="2543">
        <v>8186</v>
      </c>
      <c r="I164" s="325" t="s">
        <v>3633</v>
      </c>
      <c r="J164" s="2539" t="s">
        <v>3660</v>
      </c>
    </row>
    <row r="165" spans="4:10" ht="16.5" customHeight="1" x14ac:dyDescent="0.3">
      <c r="D165" s="325" t="s">
        <v>363</v>
      </c>
      <c r="E165" s="325" t="s">
        <v>2018</v>
      </c>
      <c r="F165" s="2542" t="s">
        <v>3596</v>
      </c>
      <c r="G165" s="2543">
        <v>-8186</v>
      </c>
      <c r="I165" s="325" t="s">
        <v>3633</v>
      </c>
      <c r="J165" s="2539"/>
    </row>
    <row r="166" spans="4:10" x14ac:dyDescent="0.3">
      <c r="F166" s="1828"/>
      <c r="G166" s="1781"/>
      <c r="J166" s="2539"/>
    </row>
    <row r="167" spans="4:10" x14ac:dyDescent="0.3">
      <c r="D167" s="325" t="s">
        <v>363</v>
      </c>
      <c r="E167" s="325" t="s">
        <v>2018</v>
      </c>
      <c r="F167" s="2542" t="s">
        <v>3070</v>
      </c>
      <c r="G167" s="2543">
        <v>1454.13</v>
      </c>
      <c r="I167" s="325" t="s">
        <v>3633</v>
      </c>
      <c r="J167" s="2539" t="s">
        <v>3660</v>
      </c>
    </row>
    <row r="168" spans="4:10" x14ac:dyDescent="0.3">
      <c r="D168" s="325" t="s">
        <v>363</v>
      </c>
      <c r="E168" s="325" t="s">
        <v>2018</v>
      </c>
      <c r="F168" s="2542" t="s">
        <v>3596</v>
      </c>
      <c r="G168" s="2543">
        <v>-1454.13</v>
      </c>
      <c r="I168" s="325" t="s">
        <v>3633</v>
      </c>
      <c r="J168" s="2539"/>
    </row>
    <row r="169" spans="4:10" x14ac:dyDescent="0.3">
      <c r="F169" s="1828"/>
      <c r="G169" s="1781"/>
      <c r="J169" s="2539"/>
    </row>
    <row r="170" spans="4:10" ht="16.5" customHeight="1" x14ac:dyDescent="0.3">
      <c r="D170" s="325" t="s">
        <v>363</v>
      </c>
      <c r="E170" s="325" t="s">
        <v>2018</v>
      </c>
      <c r="F170" s="2542" t="s">
        <v>3596</v>
      </c>
      <c r="G170" s="2543">
        <v>23470</v>
      </c>
      <c r="I170" s="325" t="s">
        <v>3633</v>
      </c>
      <c r="J170" s="2539" t="s">
        <v>3662</v>
      </c>
    </row>
    <row r="171" spans="4:10" ht="16.5" customHeight="1" x14ac:dyDescent="0.3">
      <c r="D171" s="325" t="s">
        <v>363</v>
      </c>
      <c r="E171" s="325" t="s">
        <v>2018</v>
      </c>
      <c r="F171" s="2542" t="s">
        <v>3070</v>
      </c>
      <c r="G171" s="2543">
        <v>-23470</v>
      </c>
      <c r="I171" s="325" t="s">
        <v>3633</v>
      </c>
      <c r="J171" s="2539"/>
    </row>
    <row r="172" spans="4:10" ht="16.5" customHeight="1" x14ac:dyDescent="0.3">
      <c r="F172" s="1828"/>
      <c r="G172" s="1781"/>
      <c r="J172" s="2539"/>
    </row>
    <row r="173" spans="4:10" x14ac:dyDescent="0.3">
      <c r="D173" s="325" t="s">
        <v>363</v>
      </c>
      <c r="E173" s="325" t="s">
        <v>2018</v>
      </c>
      <c r="F173" s="2542" t="s">
        <v>3596</v>
      </c>
      <c r="G173" s="2543">
        <v>1427.4</v>
      </c>
      <c r="I173" s="325" t="s">
        <v>3633</v>
      </c>
      <c r="J173" s="2539" t="s">
        <v>3662</v>
      </c>
    </row>
    <row r="174" spans="4:10" x14ac:dyDescent="0.3">
      <c r="D174" s="325" t="s">
        <v>363</v>
      </c>
      <c r="E174" s="325" t="s">
        <v>2018</v>
      </c>
      <c r="F174" s="2542" t="s">
        <v>3070</v>
      </c>
      <c r="G174" s="2543">
        <v>-1427.4</v>
      </c>
      <c r="I174" s="325" t="s">
        <v>3633</v>
      </c>
      <c r="J174" s="2539"/>
    </row>
    <row r="175" spans="4:10" x14ac:dyDescent="0.3">
      <c r="F175" s="1828"/>
      <c r="G175" s="1781"/>
      <c r="J175" s="2539"/>
    </row>
    <row r="176" spans="4:10" x14ac:dyDescent="0.3">
      <c r="D176" s="325" t="s">
        <v>363</v>
      </c>
      <c r="E176" s="325" t="s">
        <v>2018</v>
      </c>
      <c r="F176" s="2542" t="s">
        <v>3596</v>
      </c>
      <c r="G176" s="2543">
        <v>10526</v>
      </c>
      <c r="I176" s="325" t="s">
        <v>3633</v>
      </c>
      <c r="J176" s="2539" t="s">
        <v>3663</v>
      </c>
    </row>
    <row r="177" spans="4:10" x14ac:dyDescent="0.3">
      <c r="D177" s="325" t="s">
        <v>763</v>
      </c>
      <c r="E177" s="325" t="s">
        <v>2172</v>
      </c>
      <c r="F177" s="2542" t="s">
        <v>2172</v>
      </c>
      <c r="G177" s="2543">
        <v>-10246</v>
      </c>
      <c r="I177" s="325" t="s">
        <v>3633</v>
      </c>
      <c r="J177" s="2539"/>
    </row>
    <row r="178" spans="4:10" x14ac:dyDescent="0.3">
      <c r="D178" s="325" t="s">
        <v>763</v>
      </c>
      <c r="E178" s="325" t="s">
        <v>772</v>
      </c>
      <c r="F178" s="2548" t="s">
        <v>2749</v>
      </c>
      <c r="G178" s="2543">
        <v>-280</v>
      </c>
      <c r="I178" s="325" t="s">
        <v>3633</v>
      </c>
      <c r="J178" s="2539"/>
    </row>
    <row r="179" spans="4:10" x14ac:dyDescent="0.3">
      <c r="F179" s="1828"/>
      <c r="G179" s="1781"/>
      <c r="J179" s="2539"/>
    </row>
    <row r="180" spans="4:10" x14ac:dyDescent="0.3">
      <c r="D180" s="325" t="s">
        <v>363</v>
      </c>
      <c r="E180" s="325" t="s">
        <v>2018</v>
      </c>
      <c r="F180" s="2542" t="s">
        <v>3070</v>
      </c>
      <c r="G180" s="2543">
        <v>12646</v>
      </c>
      <c r="I180" s="325" t="s">
        <v>3633</v>
      </c>
      <c r="J180" s="2539" t="s">
        <v>3659</v>
      </c>
    </row>
    <row r="181" spans="4:10" x14ac:dyDescent="0.3">
      <c r="D181" s="325" t="s">
        <v>363</v>
      </c>
      <c r="E181" s="325" t="s">
        <v>2018</v>
      </c>
      <c r="F181" s="2542" t="s">
        <v>3596</v>
      </c>
      <c r="G181" s="2543">
        <v>-12646</v>
      </c>
      <c r="I181" s="325" t="s">
        <v>3633</v>
      </c>
      <c r="J181" s="2539"/>
    </row>
    <row r="182" spans="4:10" x14ac:dyDescent="0.3">
      <c r="F182" s="1828"/>
      <c r="G182" s="1781"/>
      <c r="J182" s="2539"/>
    </row>
    <row r="183" spans="4:10" x14ac:dyDescent="0.3">
      <c r="D183" s="325" t="s">
        <v>363</v>
      </c>
      <c r="E183" s="325" t="s">
        <v>2018</v>
      </c>
      <c r="F183" s="2542" t="s">
        <v>3070</v>
      </c>
      <c r="G183" s="2543">
        <v>5809.6900000000005</v>
      </c>
      <c r="I183" s="325" t="s">
        <v>3633</v>
      </c>
      <c r="J183" s="2539" t="s">
        <v>3660</v>
      </c>
    </row>
    <row r="184" spans="4:10" x14ac:dyDescent="0.3">
      <c r="D184" s="325" t="s">
        <v>363</v>
      </c>
      <c r="E184" s="325" t="s">
        <v>2018</v>
      </c>
      <c r="F184" s="2542" t="s">
        <v>3596</v>
      </c>
      <c r="G184" s="2543">
        <v>-5809.6900000000005</v>
      </c>
      <c r="I184" s="325" t="s">
        <v>3633</v>
      </c>
      <c r="J184" s="2539"/>
    </row>
    <row r="185" spans="4:10" x14ac:dyDescent="0.3">
      <c r="F185" s="1828"/>
      <c r="G185" s="1781"/>
      <c r="J185" s="2539"/>
    </row>
    <row r="186" spans="4:10" x14ac:dyDescent="0.3">
      <c r="D186" s="325" t="s">
        <v>508</v>
      </c>
      <c r="E186" s="325" t="s">
        <v>1303</v>
      </c>
      <c r="F186" s="2542" t="s">
        <v>3066</v>
      </c>
      <c r="G186" s="2543">
        <v>20236.509999999998</v>
      </c>
      <c r="I186" s="325" t="s">
        <v>3633</v>
      </c>
      <c r="J186" s="2539" t="s">
        <v>3661</v>
      </c>
    </row>
    <row r="187" spans="4:10" x14ac:dyDescent="0.3">
      <c r="D187" s="325" t="s">
        <v>363</v>
      </c>
      <c r="E187" s="325" t="s">
        <v>2018</v>
      </c>
      <c r="F187" s="2542" t="s">
        <v>3596</v>
      </c>
      <c r="G187" s="2543">
        <v>-20236.509999999998</v>
      </c>
      <c r="I187" s="325" t="s">
        <v>3633</v>
      </c>
      <c r="J187" s="2539"/>
    </row>
    <row r="188" spans="4:10" x14ac:dyDescent="0.3">
      <c r="F188" s="1828"/>
      <c r="G188" s="1781"/>
      <c r="J188" s="2539"/>
    </row>
    <row r="189" spans="4:10" x14ac:dyDescent="0.3">
      <c r="D189" s="325" t="s">
        <v>363</v>
      </c>
      <c r="E189" s="325" t="s">
        <v>2018</v>
      </c>
      <c r="F189" s="2549" t="s">
        <v>3070</v>
      </c>
      <c r="G189" s="2543">
        <v>9793</v>
      </c>
      <c r="I189" s="325" t="s">
        <v>3633</v>
      </c>
      <c r="J189" s="2539" t="s">
        <v>3660</v>
      </c>
    </row>
    <row r="190" spans="4:10" x14ac:dyDescent="0.3">
      <c r="D190" s="325" t="s">
        <v>363</v>
      </c>
      <c r="E190" s="325" t="s">
        <v>2018</v>
      </c>
      <c r="F190" s="2549" t="s">
        <v>3596</v>
      </c>
      <c r="G190" s="2543">
        <v>-9793</v>
      </c>
      <c r="I190" s="325" t="s">
        <v>3633</v>
      </c>
      <c r="J190" s="2539"/>
    </row>
    <row r="191" spans="4:10" x14ac:dyDescent="0.3">
      <c r="F191" s="1828"/>
      <c r="G191" s="1781"/>
      <c r="J191" s="2539"/>
    </row>
    <row r="192" spans="4:10" x14ac:dyDescent="0.3">
      <c r="D192" s="325" t="s">
        <v>363</v>
      </c>
      <c r="E192" s="325" t="s">
        <v>2018</v>
      </c>
      <c r="F192" s="2550" t="s">
        <v>3098</v>
      </c>
      <c r="G192" s="2543">
        <v>2068.85</v>
      </c>
      <c r="I192" s="325" t="s">
        <v>3633</v>
      </c>
      <c r="J192" s="2539" t="s">
        <v>3661</v>
      </c>
    </row>
    <row r="193" spans="4:10" x14ac:dyDescent="0.3">
      <c r="D193" s="325" t="s">
        <v>363</v>
      </c>
      <c r="E193" s="325" t="s">
        <v>2018</v>
      </c>
      <c r="F193" s="2549" t="s">
        <v>3596</v>
      </c>
      <c r="G193" s="2543">
        <v>-2068.85</v>
      </c>
      <c r="I193" s="325" t="s">
        <v>3633</v>
      </c>
      <c r="J193" s="2539"/>
    </row>
    <row r="194" spans="4:10" x14ac:dyDescent="0.3">
      <c r="F194" s="1828"/>
      <c r="G194" s="1781"/>
      <c r="J194" s="2539"/>
    </row>
    <row r="195" spans="4:10" x14ac:dyDescent="0.3">
      <c r="D195" s="325" t="s">
        <v>363</v>
      </c>
      <c r="E195" s="325" t="s">
        <v>2018</v>
      </c>
      <c r="F195" s="2542" t="s">
        <v>3070</v>
      </c>
      <c r="G195" s="2543">
        <v>58037.4</v>
      </c>
      <c r="I195" s="325" t="s">
        <v>3633</v>
      </c>
      <c r="J195" s="2539" t="s">
        <v>3660</v>
      </c>
    </row>
    <row r="196" spans="4:10" x14ac:dyDescent="0.3">
      <c r="D196" s="325" t="s">
        <v>363</v>
      </c>
      <c r="E196" s="325" t="s">
        <v>2018</v>
      </c>
      <c r="F196" s="2542" t="s">
        <v>3596</v>
      </c>
      <c r="G196" s="2543">
        <v>-58037.4</v>
      </c>
      <c r="I196" s="325" t="s">
        <v>3633</v>
      </c>
      <c r="J196" s="2539"/>
    </row>
    <row r="197" spans="4:10" x14ac:dyDescent="0.3">
      <c r="F197" s="1828"/>
      <c r="G197" s="1781"/>
      <c r="J197" s="2539"/>
    </row>
    <row r="198" spans="4:10" x14ac:dyDescent="0.3">
      <c r="D198" s="325" t="s">
        <v>363</v>
      </c>
      <c r="E198" s="325" t="s">
        <v>2018</v>
      </c>
      <c r="F198" s="2542" t="s">
        <v>3596</v>
      </c>
      <c r="G198" s="2543">
        <v>740.7</v>
      </c>
      <c r="I198" s="325" t="s">
        <v>3633</v>
      </c>
      <c r="J198" s="2539" t="s">
        <v>3662</v>
      </c>
    </row>
    <row r="199" spans="4:10" ht="16.5" customHeight="1" x14ac:dyDescent="0.3">
      <c r="D199" s="325" t="s">
        <v>363</v>
      </c>
      <c r="E199" s="325" t="s">
        <v>2018</v>
      </c>
      <c r="F199" s="2542" t="s">
        <v>3070</v>
      </c>
      <c r="G199" s="2543">
        <v>-740.7</v>
      </c>
      <c r="I199" s="325" t="s">
        <v>3633</v>
      </c>
      <c r="J199" s="2539"/>
    </row>
    <row r="200" spans="4:10" x14ac:dyDescent="0.3">
      <c r="F200" s="1828"/>
      <c r="G200" s="1781"/>
      <c r="J200" s="2539"/>
    </row>
    <row r="201" spans="4:10" x14ac:dyDescent="0.3">
      <c r="D201" s="325" t="s">
        <v>363</v>
      </c>
      <c r="E201" s="325" t="s">
        <v>2018</v>
      </c>
      <c r="F201" s="2542" t="s">
        <v>3596</v>
      </c>
      <c r="G201" s="2543">
        <v>61340.4</v>
      </c>
      <c r="I201" s="325" t="s">
        <v>3633</v>
      </c>
      <c r="J201" s="2539" t="s">
        <v>3662</v>
      </c>
    </row>
    <row r="202" spans="4:10" x14ac:dyDescent="0.3">
      <c r="D202" s="325" t="s">
        <v>363</v>
      </c>
      <c r="E202" s="325" t="s">
        <v>2018</v>
      </c>
      <c r="F202" s="2542" t="s">
        <v>3070</v>
      </c>
      <c r="G202" s="2543">
        <v>-61340.4</v>
      </c>
      <c r="I202" s="325" t="s">
        <v>3633</v>
      </c>
      <c r="J202" s="2539"/>
    </row>
    <row r="203" spans="4:10" x14ac:dyDescent="0.3">
      <c r="F203" s="1828"/>
      <c r="G203" s="1781"/>
      <c r="J203" s="2539"/>
    </row>
    <row r="204" spans="4:10" x14ac:dyDescent="0.3">
      <c r="D204" s="325" t="s">
        <v>363</v>
      </c>
      <c r="E204" s="325" t="s">
        <v>2018</v>
      </c>
      <c r="F204" s="2542" t="s">
        <v>3596</v>
      </c>
      <c r="G204" s="2543">
        <v>986</v>
      </c>
      <c r="I204" s="325" t="s">
        <v>3633</v>
      </c>
      <c r="J204" s="2539" t="s">
        <v>3662</v>
      </c>
    </row>
    <row r="205" spans="4:10" x14ac:dyDescent="0.3">
      <c r="D205" s="325" t="s">
        <v>363</v>
      </c>
      <c r="E205" s="325" t="s">
        <v>2018</v>
      </c>
      <c r="F205" s="2542" t="s">
        <v>3070</v>
      </c>
      <c r="G205" s="2543">
        <v>-986</v>
      </c>
      <c r="I205" s="325" t="s">
        <v>3633</v>
      </c>
      <c r="J205" s="2539"/>
    </row>
    <row r="206" spans="4:10" ht="16.5" customHeight="1" x14ac:dyDescent="0.3">
      <c r="F206" s="1828"/>
      <c r="G206" s="1781"/>
      <c r="J206" s="2539"/>
    </row>
    <row r="207" spans="4:10" x14ac:dyDescent="0.3">
      <c r="D207" s="325" t="s">
        <v>363</v>
      </c>
      <c r="E207" s="325" t="s">
        <v>2018</v>
      </c>
      <c r="F207" s="2542" t="s">
        <v>3051</v>
      </c>
      <c r="G207" s="2543">
        <v>12986.55</v>
      </c>
      <c r="I207" s="325" t="s">
        <v>3634</v>
      </c>
      <c r="J207" s="2539" t="s">
        <v>3662</v>
      </c>
    </row>
    <row r="208" spans="4:10" ht="16.5" customHeight="1" x14ac:dyDescent="0.3">
      <c r="D208" s="325" t="s">
        <v>363</v>
      </c>
      <c r="E208" s="325" t="s">
        <v>2018</v>
      </c>
      <c r="F208" s="2542" t="s">
        <v>3070</v>
      </c>
      <c r="G208" s="2543">
        <v>-12986.55</v>
      </c>
      <c r="I208" s="325" t="s">
        <v>3634</v>
      </c>
      <c r="J208" s="2539"/>
    </row>
    <row r="209" spans="4:10" ht="16.5" customHeight="1" x14ac:dyDescent="0.3">
      <c r="F209" s="1828"/>
      <c r="G209" s="1781"/>
      <c r="J209" s="2539"/>
    </row>
    <row r="210" spans="4:10" ht="16.5" customHeight="1" x14ac:dyDescent="0.3">
      <c r="D210" s="325" t="s">
        <v>363</v>
      </c>
      <c r="E210" s="325" t="s">
        <v>2018</v>
      </c>
      <c r="F210" s="2542" t="s">
        <v>3070</v>
      </c>
      <c r="G210" s="2544">
        <v>2137</v>
      </c>
      <c r="I210" s="325" t="s">
        <v>3634</v>
      </c>
      <c r="J210" s="2539" t="s">
        <v>3660</v>
      </c>
    </row>
    <row r="211" spans="4:10" ht="16.5" customHeight="1" x14ac:dyDescent="0.3">
      <c r="D211" s="325" t="s">
        <v>363</v>
      </c>
      <c r="E211" s="325" t="s">
        <v>2018</v>
      </c>
      <c r="F211" s="2542" t="s">
        <v>3051</v>
      </c>
      <c r="G211" s="2543">
        <v>-2137</v>
      </c>
      <c r="I211" s="325" t="s">
        <v>3634</v>
      </c>
      <c r="J211" s="2539"/>
    </row>
    <row r="212" spans="4:10" ht="16.5" customHeight="1" x14ac:dyDescent="0.3">
      <c r="F212" s="1828"/>
      <c r="G212" s="1781"/>
      <c r="J212" s="2539"/>
    </row>
    <row r="213" spans="4:10" x14ac:dyDescent="0.3">
      <c r="D213" s="325" t="s">
        <v>363</v>
      </c>
      <c r="E213" s="325" t="s">
        <v>2018</v>
      </c>
      <c r="F213" s="2542" t="s">
        <v>3070</v>
      </c>
      <c r="G213" s="2543">
        <v>2616.25</v>
      </c>
      <c r="I213" s="325" t="s">
        <v>3634</v>
      </c>
      <c r="J213" s="2539" t="s">
        <v>3660</v>
      </c>
    </row>
    <row r="214" spans="4:10" x14ac:dyDescent="0.3">
      <c r="D214" s="325" t="s">
        <v>363</v>
      </c>
      <c r="E214" s="325" t="s">
        <v>2018</v>
      </c>
      <c r="F214" s="2542" t="s">
        <v>3051</v>
      </c>
      <c r="G214" s="2543">
        <v>-2616.25</v>
      </c>
      <c r="I214" s="325" t="s">
        <v>3634</v>
      </c>
      <c r="J214" s="2539"/>
    </row>
    <row r="215" spans="4:10" x14ac:dyDescent="0.3">
      <c r="F215" s="1828"/>
      <c r="G215" s="1781"/>
      <c r="J215" s="2539"/>
    </row>
    <row r="216" spans="4:10" x14ac:dyDescent="0.3">
      <c r="D216" s="325" t="s">
        <v>763</v>
      </c>
      <c r="E216" s="325" t="s">
        <v>235</v>
      </c>
      <c r="F216" s="2542" t="s">
        <v>3063</v>
      </c>
      <c r="G216" s="2543">
        <v>2636.25</v>
      </c>
      <c r="I216" s="325" t="s">
        <v>3634</v>
      </c>
      <c r="J216" s="2539" t="s">
        <v>3664</v>
      </c>
    </row>
    <row r="217" spans="4:10" ht="16.5" customHeight="1" x14ac:dyDescent="0.3">
      <c r="D217" s="325" t="s">
        <v>363</v>
      </c>
      <c r="E217" s="325" t="s">
        <v>2018</v>
      </c>
      <c r="F217" s="2542" t="s">
        <v>3051</v>
      </c>
      <c r="G217" s="2543">
        <v>-2636.25</v>
      </c>
      <c r="I217" s="325" t="s">
        <v>3634</v>
      </c>
      <c r="J217" s="2539"/>
    </row>
    <row r="218" spans="4:10" ht="16.5" customHeight="1" x14ac:dyDescent="0.3">
      <c r="F218" s="1828"/>
      <c r="G218" s="1781"/>
      <c r="J218" s="2539"/>
    </row>
    <row r="219" spans="4:10" x14ac:dyDescent="0.3">
      <c r="D219" s="325" t="s">
        <v>763</v>
      </c>
      <c r="E219" s="325" t="s">
        <v>235</v>
      </c>
      <c r="F219" s="2542" t="s">
        <v>3063</v>
      </c>
      <c r="G219" s="2543">
        <v>2731.25</v>
      </c>
      <c r="I219" s="325" t="s">
        <v>3634</v>
      </c>
      <c r="J219" s="2539" t="s">
        <v>3665</v>
      </c>
    </row>
    <row r="220" spans="4:10" x14ac:dyDescent="0.3">
      <c r="D220" s="325" t="s">
        <v>363</v>
      </c>
      <c r="E220" s="325" t="s">
        <v>2018</v>
      </c>
      <c r="F220" s="2542" t="s">
        <v>3051</v>
      </c>
      <c r="G220" s="2543">
        <v>-2731.25</v>
      </c>
      <c r="I220" s="325" t="s">
        <v>3634</v>
      </c>
      <c r="J220" s="2539"/>
    </row>
    <row r="221" spans="4:10" x14ac:dyDescent="0.3">
      <c r="F221" s="1828"/>
      <c r="G221" s="1781"/>
      <c r="J221" s="2539"/>
    </row>
    <row r="222" spans="4:10" x14ac:dyDescent="0.3">
      <c r="D222" s="325" t="s">
        <v>363</v>
      </c>
      <c r="E222" s="325" t="s">
        <v>2018</v>
      </c>
      <c r="F222" s="2542" t="s">
        <v>3051</v>
      </c>
      <c r="G222" s="2543">
        <v>4123.5</v>
      </c>
      <c r="I222" s="325" t="s">
        <v>3634</v>
      </c>
      <c r="J222" s="2539" t="s">
        <v>3662</v>
      </c>
    </row>
    <row r="223" spans="4:10" x14ac:dyDescent="0.3">
      <c r="D223" s="325" t="s">
        <v>363</v>
      </c>
      <c r="E223" s="325" t="s">
        <v>2018</v>
      </c>
      <c r="F223" s="2542" t="s">
        <v>3070</v>
      </c>
      <c r="G223" s="2543">
        <v>-4123.5</v>
      </c>
      <c r="I223" s="325" t="s">
        <v>3634</v>
      </c>
      <c r="J223" s="2539"/>
    </row>
    <row r="224" spans="4:10" x14ac:dyDescent="0.3">
      <c r="F224" s="1828"/>
      <c r="G224" s="1781"/>
      <c r="J224" s="2539"/>
    </row>
    <row r="225" spans="4:10" x14ac:dyDescent="0.3">
      <c r="D225" s="325" t="s">
        <v>363</v>
      </c>
      <c r="E225" s="325" t="s">
        <v>2018</v>
      </c>
      <c r="F225" s="2542" t="s">
        <v>3596</v>
      </c>
      <c r="G225" s="2543">
        <v>12986.55</v>
      </c>
      <c r="I225" s="325" t="s">
        <v>3634</v>
      </c>
      <c r="J225" s="2539" t="s">
        <v>3662</v>
      </c>
    </row>
    <row r="226" spans="4:10" x14ac:dyDescent="0.3">
      <c r="D226" s="325" t="s">
        <v>363</v>
      </c>
      <c r="E226" s="325" t="s">
        <v>2018</v>
      </c>
      <c r="F226" s="2542" t="s">
        <v>3070</v>
      </c>
      <c r="G226" s="2543">
        <v>-12986.55</v>
      </c>
      <c r="I226" s="325" t="s">
        <v>3634</v>
      </c>
      <c r="J226" s="2539"/>
    </row>
    <row r="227" spans="4:10" x14ac:dyDescent="0.3">
      <c r="F227" s="1828"/>
      <c r="G227" s="1781"/>
      <c r="J227" s="2539"/>
    </row>
    <row r="228" spans="4:10" x14ac:dyDescent="0.3">
      <c r="D228" s="325" t="s">
        <v>363</v>
      </c>
      <c r="E228" s="325" t="s">
        <v>2018</v>
      </c>
      <c r="F228" s="2542" t="s">
        <v>3070</v>
      </c>
      <c r="G228" s="2543">
        <v>2137</v>
      </c>
      <c r="I228" s="325" t="s">
        <v>3634</v>
      </c>
      <c r="J228" s="2539" t="s">
        <v>3660</v>
      </c>
    </row>
    <row r="229" spans="4:10" x14ac:dyDescent="0.3">
      <c r="D229" s="325" t="s">
        <v>363</v>
      </c>
      <c r="E229" s="325" t="s">
        <v>2018</v>
      </c>
      <c r="F229" s="2542" t="s">
        <v>3596</v>
      </c>
      <c r="G229" s="2543">
        <v>-2137</v>
      </c>
      <c r="I229" s="325" t="s">
        <v>3634</v>
      </c>
      <c r="J229" s="2539"/>
    </row>
    <row r="230" spans="4:10" ht="16.5" customHeight="1" x14ac:dyDescent="0.3">
      <c r="F230" s="1828"/>
      <c r="G230" s="1781"/>
      <c r="J230" s="2539"/>
    </row>
    <row r="231" spans="4:10" x14ac:dyDescent="0.3">
      <c r="D231" s="325" t="s">
        <v>363</v>
      </c>
      <c r="E231" s="325" t="s">
        <v>2018</v>
      </c>
      <c r="F231" s="2542" t="s">
        <v>3070</v>
      </c>
      <c r="G231" s="2543">
        <v>2616.25</v>
      </c>
      <c r="I231" s="325" t="s">
        <v>3634</v>
      </c>
      <c r="J231" s="2539" t="s">
        <v>3660</v>
      </c>
    </row>
    <row r="232" spans="4:10" x14ac:dyDescent="0.3">
      <c r="D232" s="325" t="s">
        <v>363</v>
      </c>
      <c r="E232" s="325" t="s">
        <v>2018</v>
      </c>
      <c r="F232" s="2542" t="s">
        <v>3596</v>
      </c>
      <c r="G232" s="2543">
        <v>-2616.25</v>
      </c>
      <c r="I232" s="325" t="s">
        <v>3634</v>
      </c>
      <c r="J232" s="2539"/>
    </row>
    <row r="233" spans="4:10" x14ac:dyDescent="0.3">
      <c r="F233" s="1828"/>
      <c r="G233" s="1781"/>
      <c r="J233" s="2539"/>
    </row>
    <row r="234" spans="4:10" x14ac:dyDescent="0.3">
      <c r="D234" s="325" t="s">
        <v>763</v>
      </c>
      <c r="E234" s="325" t="s">
        <v>235</v>
      </c>
      <c r="F234" s="2542" t="s">
        <v>3063</v>
      </c>
      <c r="G234" s="2543">
        <v>2636.25</v>
      </c>
      <c r="I234" s="325" t="s">
        <v>3634</v>
      </c>
      <c r="J234" s="2539" t="s">
        <v>3665</v>
      </c>
    </row>
    <row r="235" spans="4:10" x14ac:dyDescent="0.3">
      <c r="D235" s="325" t="s">
        <v>363</v>
      </c>
      <c r="E235" s="325" t="s">
        <v>2018</v>
      </c>
      <c r="F235" s="2542" t="s">
        <v>3596</v>
      </c>
      <c r="G235" s="2543">
        <v>-2636.25</v>
      </c>
      <c r="I235" s="325" t="s">
        <v>3634</v>
      </c>
      <c r="J235" s="2539"/>
    </row>
    <row r="236" spans="4:10" x14ac:dyDescent="0.3">
      <c r="F236" s="1828"/>
      <c r="J236" s="2539"/>
    </row>
    <row r="237" spans="4:10" x14ac:dyDescent="0.3">
      <c r="D237" s="325" t="s">
        <v>763</v>
      </c>
      <c r="E237" s="325" t="s">
        <v>235</v>
      </c>
      <c r="F237" s="2542" t="s">
        <v>3063</v>
      </c>
      <c r="G237" s="2543">
        <v>2731.25</v>
      </c>
      <c r="I237" s="325" t="s">
        <v>3634</v>
      </c>
      <c r="J237" s="2539" t="s">
        <v>3665</v>
      </c>
    </row>
    <row r="238" spans="4:10" x14ac:dyDescent="0.3">
      <c r="D238" s="325" t="s">
        <v>363</v>
      </c>
      <c r="E238" s="325" t="s">
        <v>2018</v>
      </c>
      <c r="F238" s="2542" t="s">
        <v>3596</v>
      </c>
      <c r="G238" s="2543">
        <v>-2731.25</v>
      </c>
      <c r="I238" s="325" t="s">
        <v>3634</v>
      </c>
      <c r="J238" s="2539"/>
    </row>
    <row r="239" spans="4:10" x14ac:dyDescent="0.3">
      <c r="F239" s="1828"/>
      <c r="G239" s="1781"/>
      <c r="J239" s="2539"/>
    </row>
    <row r="240" spans="4:10" x14ac:dyDescent="0.3">
      <c r="D240" s="325" t="s">
        <v>363</v>
      </c>
      <c r="E240" s="325" t="s">
        <v>2018</v>
      </c>
      <c r="F240" s="2542" t="s">
        <v>3596</v>
      </c>
      <c r="G240" s="2543">
        <v>11457</v>
      </c>
      <c r="I240" s="325" t="s">
        <v>3634</v>
      </c>
      <c r="J240" s="2539" t="s">
        <v>3662</v>
      </c>
    </row>
    <row r="241" spans="4:10" x14ac:dyDescent="0.3">
      <c r="D241" s="325" t="s">
        <v>363</v>
      </c>
      <c r="E241" s="325" t="s">
        <v>2018</v>
      </c>
      <c r="F241" s="2542" t="s">
        <v>3070</v>
      </c>
      <c r="G241" s="2543">
        <v>-11457</v>
      </c>
      <c r="I241" s="325" t="s">
        <v>3634</v>
      </c>
      <c r="J241" s="2539"/>
    </row>
    <row r="242" spans="4:10" x14ac:dyDescent="0.3">
      <c r="F242" s="1828"/>
      <c r="G242" s="1781"/>
      <c r="J242" s="2539"/>
    </row>
    <row r="243" spans="4:10" x14ac:dyDescent="0.3">
      <c r="D243" s="325" t="s">
        <v>363</v>
      </c>
      <c r="E243" s="325" t="s">
        <v>2018</v>
      </c>
      <c r="F243" s="2542" t="s">
        <v>3596</v>
      </c>
      <c r="G243" s="2543">
        <v>4123.5</v>
      </c>
      <c r="I243" s="325" t="s">
        <v>3634</v>
      </c>
      <c r="J243" s="2539" t="s">
        <v>3662</v>
      </c>
    </row>
    <row r="244" spans="4:10" x14ac:dyDescent="0.3">
      <c r="D244" s="325" t="s">
        <v>363</v>
      </c>
      <c r="E244" s="325" t="s">
        <v>2018</v>
      </c>
      <c r="F244" s="2542" t="s">
        <v>3070</v>
      </c>
      <c r="G244" s="2543">
        <v>-4123.5</v>
      </c>
      <c r="I244" s="325" t="s">
        <v>3634</v>
      </c>
      <c r="J244" s="2539"/>
    </row>
    <row r="245" spans="4:10" x14ac:dyDescent="0.3">
      <c r="F245" s="1828"/>
      <c r="G245" s="1781"/>
      <c r="J245" s="2539"/>
    </row>
    <row r="246" spans="4:10" x14ac:dyDescent="0.3">
      <c r="D246" s="325" t="s">
        <v>363</v>
      </c>
      <c r="E246" s="325" t="s">
        <v>2018</v>
      </c>
      <c r="F246" s="2542" t="s">
        <v>3070</v>
      </c>
      <c r="G246" s="2543">
        <v>4050</v>
      </c>
      <c r="I246" s="325" t="s">
        <v>3634</v>
      </c>
      <c r="J246" s="2539" t="s">
        <v>3660</v>
      </c>
    </row>
    <row r="247" spans="4:10" x14ac:dyDescent="0.3">
      <c r="D247" s="325" t="s">
        <v>363</v>
      </c>
      <c r="E247" s="325" t="s">
        <v>2018</v>
      </c>
      <c r="F247" s="2542" t="s">
        <v>3581</v>
      </c>
      <c r="G247" s="2543">
        <v>-4050</v>
      </c>
      <c r="I247" s="325" t="s">
        <v>3634</v>
      </c>
      <c r="J247" s="2539"/>
    </row>
    <row r="248" spans="4:10" x14ac:dyDescent="0.3">
      <c r="F248" s="1828"/>
      <c r="G248" s="1781"/>
      <c r="J248" s="2539"/>
    </row>
    <row r="249" spans="4:10" x14ac:dyDescent="0.3">
      <c r="D249" s="325" t="s">
        <v>363</v>
      </c>
      <c r="E249" s="325" t="s">
        <v>2018</v>
      </c>
      <c r="F249" s="2542" t="s">
        <v>3070</v>
      </c>
      <c r="G249" s="2543">
        <v>44532</v>
      </c>
      <c r="I249" s="325" t="s">
        <v>3634</v>
      </c>
      <c r="J249" s="2539" t="s">
        <v>3660</v>
      </c>
    </row>
    <row r="250" spans="4:10" x14ac:dyDescent="0.3">
      <c r="D250" s="325" t="s">
        <v>363</v>
      </c>
      <c r="E250" s="325" t="s">
        <v>2018</v>
      </c>
      <c r="F250" s="2542" t="s">
        <v>3581</v>
      </c>
      <c r="G250" s="2543">
        <v>-44532</v>
      </c>
      <c r="I250" s="325" t="s">
        <v>3634</v>
      </c>
      <c r="J250" s="2539"/>
    </row>
    <row r="251" spans="4:10" x14ac:dyDescent="0.3">
      <c r="F251" s="1828"/>
      <c r="G251" s="1781"/>
      <c r="J251" s="2539"/>
    </row>
    <row r="252" spans="4:10" x14ac:dyDescent="0.3">
      <c r="D252" s="325" t="s">
        <v>363</v>
      </c>
      <c r="E252" s="325" t="s">
        <v>2018</v>
      </c>
      <c r="F252" s="2542" t="s">
        <v>3070</v>
      </c>
      <c r="G252" s="2543">
        <v>19356.12</v>
      </c>
      <c r="I252" s="325" t="s">
        <v>3633</v>
      </c>
      <c r="J252" s="2539" t="s">
        <v>3660</v>
      </c>
    </row>
    <row r="253" spans="4:10" x14ac:dyDescent="0.3">
      <c r="D253" s="325" t="s">
        <v>363</v>
      </c>
      <c r="E253" s="325" t="s">
        <v>2018</v>
      </c>
      <c r="F253" s="2542" t="s">
        <v>3051</v>
      </c>
      <c r="G253" s="2543">
        <v>-19356.12</v>
      </c>
      <c r="I253" s="325" t="s">
        <v>3633</v>
      </c>
      <c r="J253" s="2539"/>
    </row>
    <row r="254" spans="4:10" x14ac:dyDescent="0.3">
      <c r="F254" s="1828"/>
      <c r="G254" s="1781"/>
      <c r="J254" s="2539"/>
    </row>
    <row r="255" spans="4:10" x14ac:dyDescent="0.3">
      <c r="D255" s="325" t="s">
        <v>363</v>
      </c>
      <c r="E255" s="325" t="s">
        <v>2018</v>
      </c>
      <c r="F255" s="2542" t="s">
        <v>3070</v>
      </c>
      <c r="G255" s="2545">
        <v>8368.74</v>
      </c>
      <c r="I255" s="325" t="s">
        <v>3633</v>
      </c>
      <c r="J255" s="2539" t="s">
        <v>3660</v>
      </c>
    </row>
    <row r="256" spans="4:10" x14ac:dyDescent="0.3">
      <c r="D256" s="325" t="s">
        <v>363</v>
      </c>
      <c r="E256" s="325" t="s">
        <v>2018</v>
      </c>
      <c r="F256" s="2542" t="s">
        <v>3051</v>
      </c>
      <c r="G256" s="2543">
        <v>-8368.74</v>
      </c>
      <c r="I256" s="325" t="s">
        <v>3633</v>
      </c>
      <c r="J256" s="2539"/>
    </row>
    <row r="257" spans="4:10" x14ac:dyDescent="0.3">
      <c r="F257" s="1828"/>
      <c r="G257" s="1781"/>
      <c r="J257" s="2539"/>
    </row>
    <row r="258" spans="4:10" x14ac:dyDescent="0.3">
      <c r="D258" s="325" t="s">
        <v>363</v>
      </c>
      <c r="E258" s="325" t="s">
        <v>2018</v>
      </c>
      <c r="F258" s="2542" t="s">
        <v>3051</v>
      </c>
      <c r="G258" s="2545">
        <v>4254.66</v>
      </c>
      <c r="I258" s="325" t="s">
        <v>3633</v>
      </c>
      <c r="J258" s="2539" t="s">
        <v>3662</v>
      </c>
    </row>
    <row r="259" spans="4:10" x14ac:dyDescent="0.3">
      <c r="D259" s="325" t="s">
        <v>363</v>
      </c>
      <c r="E259" s="325" t="s">
        <v>2018</v>
      </c>
      <c r="F259" s="2542" t="s">
        <v>3070</v>
      </c>
      <c r="G259" s="2543">
        <v>-4254.66</v>
      </c>
      <c r="I259" s="325" t="s">
        <v>3633</v>
      </c>
      <c r="J259" s="2539"/>
    </row>
    <row r="260" spans="4:10" x14ac:dyDescent="0.3">
      <c r="F260" s="1828"/>
      <c r="G260" s="1781"/>
      <c r="J260" s="2539"/>
    </row>
    <row r="261" spans="4:10" x14ac:dyDescent="0.3">
      <c r="D261" s="325" t="s">
        <v>363</v>
      </c>
      <c r="E261" s="325" t="s">
        <v>2018</v>
      </c>
      <c r="F261" s="2542" t="s">
        <v>3051</v>
      </c>
      <c r="G261" s="2543">
        <v>3080</v>
      </c>
      <c r="I261" s="325" t="s">
        <v>3633</v>
      </c>
      <c r="J261" s="2539" t="s">
        <v>3662</v>
      </c>
    </row>
    <row r="262" spans="4:10" x14ac:dyDescent="0.3">
      <c r="D262" s="325" t="s">
        <v>363</v>
      </c>
      <c r="E262" s="325" t="s">
        <v>2018</v>
      </c>
      <c r="F262" s="2542" t="s">
        <v>3070</v>
      </c>
      <c r="G262" s="2543">
        <v>-3080</v>
      </c>
      <c r="I262" s="325" t="s">
        <v>3633</v>
      </c>
      <c r="J262" s="2539"/>
    </row>
    <row r="263" spans="4:10" x14ac:dyDescent="0.3">
      <c r="F263" s="1828"/>
      <c r="G263" s="1781"/>
      <c r="J263" s="2539"/>
    </row>
    <row r="264" spans="4:10" x14ac:dyDescent="0.3">
      <c r="D264" s="325" t="s">
        <v>363</v>
      </c>
      <c r="E264" s="325" t="s">
        <v>2018</v>
      </c>
      <c r="F264" s="2542" t="s">
        <v>3070</v>
      </c>
      <c r="G264" s="2543">
        <v>8186</v>
      </c>
      <c r="I264" s="325" t="s">
        <v>3633</v>
      </c>
      <c r="J264" s="2539" t="s">
        <v>3660</v>
      </c>
    </row>
    <row r="265" spans="4:10" x14ac:dyDescent="0.3">
      <c r="D265" s="325" t="s">
        <v>363</v>
      </c>
      <c r="E265" s="325" t="s">
        <v>2018</v>
      </c>
      <c r="F265" s="2542" t="s">
        <v>3051</v>
      </c>
      <c r="G265" s="2543">
        <v>-8186</v>
      </c>
      <c r="I265" s="325" t="s">
        <v>3633</v>
      </c>
      <c r="J265" s="2539"/>
    </row>
    <row r="266" spans="4:10" x14ac:dyDescent="0.3">
      <c r="F266" s="1828"/>
      <c r="G266" s="1781"/>
      <c r="J266" s="2539"/>
    </row>
    <row r="267" spans="4:10" x14ac:dyDescent="0.3">
      <c r="D267" s="325" t="s">
        <v>363</v>
      </c>
      <c r="E267" s="325" t="s">
        <v>2018</v>
      </c>
      <c r="F267" s="2542" t="s">
        <v>3070</v>
      </c>
      <c r="G267" s="2543">
        <v>1454.13</v>
      </c>
      <c r="I267" s="325" t="s">
        <v>3633</v>
      </c>
      <c r="J267" s="2539" t="s">
        <v>3660</v>
      </c>
    </row>
    <row r="268" spans="4:10" x14ac:dyDescent="0.3">
      <c r="D268" s="325" t="s">
        <v>363</v>
      </c>
      <c r="E268" s="325" t="s">
        <v>2018</v>
      </c>
      <c r="F268" s="2542" t="s">
        <v>3051</v>
      </c>
      <c r="G268" s="2543">
        <v>-1454.13</v>
      </c>
      <c r="I268" s="325" t="s">
        <v>3633</v>
      </c>
      <c r="J268" s="2539"/>
    </row>
    <row r="269" spans="4:10" x14ac:dyDescent="0.3">
      <c r="F269" s="1828"/>
      <c r="G269" s="1781"/>
      <c r="J269" s="2539"/>
    </row>
    <row r="270" spans="4:10" x14ac:dyDescent="0.3">
      <c r="D270" s="325" t="s">
        <v>363</v>
      </c>
      <c r="E270" s="325" t="s">
        <v>2018</v>
      </c>
      <c r="F270" s="2542" t="s">
        <v>3051</v>
      </c>
      <c r="G270" s="2543">
        <v>23470</v>
      </c>
      <c r="I270" s="325" t="s">
        <v>3633</v>
      </c>
      <c r="J270" s="2539" t="s">
        <v>3662</v>
      </c>
    </row>
    <row r="271" spans="4:10" x14ac:dyDescent="0.3">
      <c r="D271" s="325" t="s">
        <v>363</v>
      </c>
      <c r="E271" s="325" t="s">
        <v>2018</v>
      </c>
      <c r="F271" s="2542" t="s">
        <v>3070</v>
      </c>
      <c r="G271" s="2543">
        <v>-23470</v>
      </c>
      <c r="I271" s="325" t="s">
        <v>3633</v>
      </c>
      <c r="J271" s="2539"/>
    </row>
    <row r="272" spans="4:10" x14ac:dyDescent="0.3">
      <c r="F272" s="1828"/>
      <c r="G272" s="1781"/>
      <c r="J272" s="2539"/>
    </row>
    <row r="273" spans="4:10" x14ac:dyDescent="0.3">
      <c r="D273" s="325" t="s">
        <v>363</v>
      </c>
      <c r="E273" s="325" t="s">
        <v>2018</v>
      </c>
      <c r="F273" s="2542" t="s">
        <v>3051</v>
      </c>
      <c r="G273" s="2543">
        <v>986</v>
      </c>
      <c r="I273" s="325" t="s">
        <v>3633</v>
      </c>
      <c r="J273" s="2539" t="s">
        <v>3662</v>
      </c>
    </row>
    <row r="274" spans="4:10" x14ac:dyDescent="0.3">
      <c r="D274" s="325" t="s">
        <v>363</v>
      </c>
      <c r="E274" s="325" t="s">
        <v>2018</v>
      </c>
      <c r="F274" s="2542" t="s">
        <v>3070</v>
      </c>
      <c r="G274" s="2543">
        <v>-986</v>
      </c>
      <c r="I274" s="325" t="s">
        <v>3633</v>
      </c>
      <c r="J274" s="2539"/>
    </row>
    <row r="275" spans="4:10" x14ac:dyDescent="0.3">
      <c r="F275" s="1828"/>
      <c r="G275" s="1781"/>
      <c r="J275" s="2539"/>
    </row>
    <row r="276" spans="4:10" x14ac:dyDescent="0.3">
      <c r="D276" s="325" t="s">
        <v>363</v>
      </c>
      <c r="E276" s="325" t="s">
        <v>2018</v>
      </c>
      <c r="F276" s="2542" t="s">
        <v>3051</v>
      </c>
      <c r="G276" s="2543">
        <v>1427.4</v>
      </c>
      <c r="I276" s="325" t="s">
        <v>3633</v>
      </c>
      <c r="J276" s="2539" t="s">
        <v>3662</v>
      </c>
    </row>
    <row r="277" spans="4:10" x14ac:dyDescent="0.3">
      <c r="D277" s="325" t="s">
        <v>363</v>
      </c>
      <c r="E277" s="325" t="s">
        <v>2018</v>
      </c>
      <c r="F277" s="2542" t="s">
        <v>3070</v>
      </c>
      <c r="G277" s="2543">
        <v>-1427.4</v>
      </c>
      <c r="I277" s="325" t="s">
        <v>3633</v>
      </c>
      <c r="J277" s="2539"/>
    </row>
    <row r="278" spans="4:10" x14ac:dyDescent="0.3">
      <c r="F278" s="1828"/>
      <c r="G278" s="1781"/>
      <c r="J278" s="2539"/>
    </row>
    <row r="279" spans="4:10" x14ac:dyDescent="0.3">
      <c r="D279" s="325" t="s">
        <v>363</v>
      </c>
      <c r="E279" s="325" t="s">
        <v>2018</v>
      </c>
      <c r="F279" s="2542" t="s">
        <v>3051</v>
      </c>
      <c r="G279" s="2543">
        <v>10526</v>
      </c>
      <c r="I279" s="325" t="s">
        <v>3633</v>
      </c>
      <c r="J279" s="2539" t="s">
        <v>3661</v>
      </c>
    </row>
    <row r="280" spans="4:10" x14ac:dyDescent="0.3">
      <c r="D280" s="325" t="s">
        <v>763</v>
      </c>
      <c r="E280" s="325" t="s">
        <v>2172</v>
      </c>
      <c r="F280" s="2542" t="s">
        <v>2172</v>
      </c>
      <c r="G280" s="2543">
        <v>-10246</v>
      </c>
      <c r="I280" s="325" t="s">
        <v>3633</v>
      </c>
      <c r="J280" s="2539"/>
    </row>
    <row r="281" spans="4:10" x14ac:dyDescent="0.3">
      <c r="D281" s="325" t="s">
        <v>763</v>
      </c>
      <c r="E281" s="325" t="s">
        <v>772</v>
      </c>
      <c r="F281" s="2548" t="s">
        <v>2749</v>
      </c>
      <c r="G281" s="2543">
        <v>-280</v>
      </c>
      <c r="I281" s="325" t="s">
        <v>3633</v>
      </c>
      <c r="J281" s="2539"/>
    </row>
    <row r="282" spans="4:10" x14ac:dyDescent="0.3">
      <c r="F282" s="1828"/>
      <c r="J282" s="2539"/>
    </row>
    <row r="283" spans="4:10" x14ac:dyDescent="0.3">
      <c r="D283" s="325" t="s">
        <v>363</v>
      </c>
      <c r="E283" s="325" t="s">
        <v>2018</v>
      </c>
      <c r="F283" s="2542" t="s">
        <v>3070</v>
      </c>
      <c r="G283" s="2543">
        <v>12646</v>
      </c>
      <c r="I283" s="325" t="s">
        <v>3633</v>
      </c>
      <c r="J283" s="2539" t="s">
        <v>3660</v>
      </c>
    </row>
    <row r="284" spans="4:10" x14ac:dyDescent="0.3">
      <c r="D284" s="325" t="s">
        <v>363</v>
      </c>
      <c r="E284" s="325" t="s">
        <v>2018</v>
      </c>
      <c r="F284" s="2542" t="s">
        <v>3051</v>
      </c>
      <c r="G284" s="2543">
        <v>-12646</v>
      </c>
      <c r="I284" s="325" t="s">
        <v>3633</v>
      </c>
      <c r="J284" s="2539"/>
    </row>
    <row r="285" spans="4:10" x14ac:dyDescent="0.3">
      <c r="F285" s="1828"/>
      <c r="J285" s="2539"/>
    </row>
    <row r="286" spans="4:10" x14ac:dyDescent="0.3">
      <c r="D286" s="325" t="s">
        <v>363</v>
      </c>
      <c r="E286" s="325" t="s">
        <v>2018</v>
      </c>
      <c r="F286" s="2542" t="s">
        <v>3070</v>
      </c>
      <c r="G286" s="2543">
        <v>5809.6900000000005</v>
      </c>
      <c r="I286" s="325" t="s">
        <v>3633</v>
      </c>
      <c r="J286" s="2539" t="s">
        <v>3660</v>
      </c>
    </row>
    <row r="287" spans="4:10" x14ac:dyDescent="0.3">
      <c r="D287" s="325" t="s">
        <v>363</v>
      </c>
      <c r="E287" s="325" t="s">
        <v>2018</v>
      </c>
      <c r="F287" s="2542" t="s">
        <v>3051</v>
      </c>
      <c r="G287" s="2543">
        <v>-5809.6900000000005</v>
      </c>
      <c r="I287" s="325" t="s">
        <v>3633</v>
      </c>
      <c r="J287" s="2539"/>
    </row>
    <row r="288" spans="4:10" x14ac:dyDescent="0.3">
      <c r="F288" s="1828"/>
      <c r="J288" s="2539"/>
    </row>
    <row r="289" spans="4:10" x14ac:dyDescent="0.3">
      <c r="D289" s="325" t="s">
        <v>363</v>
      </c>
      <c r="E289" s="325" t="s">
        <v>2018</v>
      </c>
      <c r="F289" s="2542" t="s">
        <v>3070</v>
      </c>
      <c r="G289" s="2543">
        <v>9793</v>
      </c>
      <c r="I289" s="325" t="s">
        <v>3633</v>
      </c>
      <c r="J289" s="2539" t="s">
        <v>3660</v>
      </c>
    </row>
    <row r="290" spans="4:10" x14ac:dyDescent="0.3">
      <c r="D290" s="325" t="s">
        <v>363</v>
      </c>
      <c r="E290" s="325" t="s">
        <v>2018</v>
      </c>
      <c r="F290" s="2542" t="s">
        <v>3051</v>
      </c>
      <c r="G290" s="2543">
        <v>-9793</v>
      </c>
      <c r="I290" s="325" t="s">
        <v>3633</v>
      </c>
      <c r="J290" s="2539"/>
    </row>
    <row r="291" spans="4:10" x14ac:dyDescent="0.3">
      <c r="F291" s="1828"/>
      <c r="G291" s="1781"/>
      <c r="J291" s="2539"/>
    </row>
    <row r="292" spans="4:10" x14ac:dyDescent="0.3">
      <c r="D292" s="325" t="s">
        <v>363</v>
      </c>
      <c r="E292" s="325" t="s">
        <v>2018</v>
      </c>
      <c r="F292" s="2548" t="s">
        <v>3049</v>
      </c>
      <c r="G292" s="2543">
        <v>2068.85</v>
      </c>
      <c r="I292" s="325" t="s">
        <v>3633</v>
      </c>
      <c r="J292" s="2539" t="s">
        <v>3661</v>
      </c>
    </row>
    <row r="293" spans="4:10" x14ac:dyDescent="0.3">
      <c r="D293" s="325" t="s">
        <v>363</v>
      </c>
      <c r="E293" s="325" t="s">
        <v>2018</v>
      </c>
      <c r="F293" s="2542" t="s">
        <v>3051</v>
      </c>
      <c r="G293" s="2543">
        <v>-2068.85</v>
      </c>
      <c r="I293" s="325" t="s">
        <v>3633</v>
      </c>
      <c r="J293" s="2539"/>
    </row>
    <row r="294" spans="4:10" x14ac:dyDescent="0.3">
      <c r="F294" s="1828"/>
      <c r="G294" s="1781"/>
      <c r="J294" s="2539"/>
    </row>
    <row r="295" spans="4:10" x14ac:dyDescent="0.3">
      <c r="D295" s="325" t="s">
        <v>363</v>
      </c>
      <c r="E295" s="325" t="s">
        <v>2018</v>
      </c>
      <c r="F295" s="2542" t="s">
        <v>3070</v>
      </c>
      <c r="G295" s="2543">
        <v>58037.4</v>
      </c>
      <c r="I295" s="325" t="s">
        <v>3633</v>
      </c>
      <c r="J295" s="2539" t="s">
        <v>3660</v>
      </c>
    </row>
    <row r="296" spans="4:10" x14ac:dyDescent="0.25">
      <c r="D296" s="325" t="s">
        <v>363</v>
      </c>
      <c r="E296" s="325" t="s">
        <v>2018</v>
      </c>
      <c r="F296" s="2545" t="s">
        <v>3051</v>
      </c>
      <c r="G296" s="2543">
        <v>-58037.4</v>
      </c>
      <c r="I296" s="325" t="s">
        <v>3633</v>
      </c>
      <c r="J296" s="2539"/>
    </row>
    <row r="297" spans="4:10" x14ac:dyDescent="0.3">
      <c r="F297" s="1828"/>
      <c r="J297" s="2539"/>
    </row>
    <row r="298" spans="4:10" x14ac:dyDescent="0.3">
      <c r="D298" s="325" t="s">
        <v>363</v>
      </c>
      <c r="E298" s="325" t="s">
        <v>2018</v>
      </c>
      <c r="F298" s="2542" t="s">
        <v>3051</v>
      </c>
      <c r="G298" s="2543">
        <v>740</v>
      </c>
      <c r="I298" s="325" t="s">
        <v>3633</v>
      </c>
      <c r="J298" s="2539" t="s">
        <v>3662</v>
      </c>
    </row>
    <row r="299" spans="4:10" x14ac:dyDescent="0.3">
      <c r="D299" s="325" t="s">
        <v>363</v>
      </c>
      <c r="E299" s="325" t="s">
        <v>2018</v>
      </c>
      <c r="F299" s="2542" t="s">
        <v>3070</v>
      </c>
      <c r="G299" s="2543">
        <v>-740</v>
      </c>
      <c r="I299" s="325" t="s">
        <v>3633</v>
      </c>
      <c r="J299" s="2539"/>
    </row>
    <row r="300" spans="4:10" x14ac:dyDescent="0.3">
      <c r="F300" s="1828"/>
      <c r="G300" s="1781"/>
      <c r="J300" s="2539"/>
    </row>
    <row r="301" spans="4:10" x14ac:dyDescent="0.25">
      <c r="D301" s="325" t="s">
        <v>363</v>
      </c>
      <c r="E301" s="325" t="s">
        <v>2018</v>
      </c>
      <c r="F301" s="2545" t="s">
        <v>3051</v>
      </c>
      <c r="G301" s="2543">
        <v>61340.4</v>
      </c>
      <c r="I301" s="325" t="s">
        <v>3633</v>
      </c>
      <c r="J301" s="2539" t="s">
        <v>3662</v>
      </c>
    </row>
    <row r="302" spans="4:10" x14ac:dyDescent="0.3">
      <c r="D302" s="325" t="s">
        <v>363</v>
      </c>
      <c r="E302" s="325" t="s">
        <v>2018</v>
      </c>
      <c r="F302" s="2542" t="s">
        <v>3070</v>
      </c>
      <c r="G302" s="2543">
        <v>-61340.4</v>
      </c>
      <c r="I302" s="325" t="s">
        <v>3633</v>
      </c>
      <c r="J302" s="2539"/>
    </row>
    <row r="303" spans="4:10" x14ac:dyDescent="0.3">
      <c r="F303" s="1828"/>
      <c r="G303" s="1781"/>
      <c r="J303" s="2539"/>
    </row>
    <row r="304" spans="4:10" x14ac:dyDescent="0.3">
      <c r="D304" s="325" t="s">
        <v>508</v>
      </c>
      <c r="E304" s="325" t="s">
        <v>1303</v>
      </c>
      <c r="F304" s="2542" t="s">
        <v>3066</v>
      </c>
      <c r="G304" s="2543">
        <v>2647.5</v>
      </c>
      <c r="I304" s="325" t="s">
        <v>3633</v>
      </c>
      <c r="J304" s="2539" t="s">
        <v>3661</v>
      </c>
    </row>
    <row r="305" spans="4:10" x14ac:dyDescent="0.3">
      <c r="D305" s="325" t="s">
        <v>763</v>
      </c>
      <c r="E305" s="325" t="s">
        <v>235</v>
      </c>
      <c r="F305" s="2542" t="s">
        <v>3063</v>
      </c>
      <c r="G305" s="2543">
        <v>-2647.5</v>
      </c>
      <c r="I305" s="325" t="s">
        <v>3633</v>
      </c>
      <c r="J305" s="2539"/>
    </row>
    <row r="306" spans="4:10" x14ac:dyDescent="0.3">
      <c r="F306" s="1828"/>
      <c r="G306" s="1781"/>
      <c r="J306" s="2539"/>
    </row>
    <row r="307" spans="4:10" x14ac:dyDescent="0.3">
      <c r="D307" s="325" t="s">
        <v>363</v>
      </c>
      <c r="E307" s="325" t="s">
        <v>2018</v>
      </c>
      <c r="F307" s="2542" t="s">
        <v>3070</v>
      </c>
      <c r="G307" s="2543">
        <v>6160</v>
      </c>
      <c r="I307" s="325" t="s">
        <v>3633</v>
      </c>
      <c r="J307" s="2539" t="s">
        <v>3661</v>
      </c>
    </row>
    <row r="308" spans="4:10" x14ac:dyDescent="0.3">
      <c r="D308" s="325" t="s">
        <v>363</v>
      </c>
      <c r="E308" s="325" t="s">
        <v>2018</v>
      </c>
      <c r="F308" s="2542" t="s">
        <v>3069</v>
      </c>
      <c r="G308" s="2543">
        <v>-6160</v>
      </c>
      <c r="I308" s="325" t="s">
        <v>3633</v>
      </c>
      <c r="J308" s="2539"/>
    </row>
    <row r="309" spans="4:10" x14ac:dyDescent="0.3">
      <c r="F309" s="1828"/>
      <c r="G309" s="1781"/>
      <c r="J309" s="2539"/>
    </row>
    <row r="310" spans="4:10" x14ac:dyDescent="0.25">
      <c r="D310" s="325" t="s">
        <v>763</v>
      </c>
      <c r="E310" s="325" t="s">
        <v>235</v>
      </c>
      <c r="F310" s="2545" t="s">
        <v>3063</v>
      </c>
      <c r="G310" s="2543">
        <v>41507.599999999999</v>
      </c>
      <c r="I310" s="325" t="s">
        <v>3634</v>
      </c>
      <c r="J310" s="2539" t="s">
        <v>3667</v>
      </c>
    </row>
    <row r="311" spans="4:10" x14ac:dyDescent="0.25">
      <c r="D311" s="325" t="s">
        <v>363</v>
      </c>
      <c r="E311" s="325" t="s">
        <v>2018</v>
      </c>
      <c r="F311" s="2545" t="s">
        <v>2391</v>
      </c>
      <c r="G311" s="2543">
        <v>708.5</v>
      </c>
      <c r="I311" s="325" t="s">
        <v>3634</v>
      </c>
      <c r="J311" s="2539"/>
    </row>
    <row r="312" spans="4:10" x14ac:dyDescent="0.25">
      <c r="D312" s="325" t="s">
        <v>363</v>
      </c>
      <c r="E312" s="325" t="s">
        <v>2018</v>
      </c>
      <c r="F312" s="2545" t="s">
        <v>3666</v>
      </c>
      <c r="G312" s="2543">
        <v>-11398</v>
      </c>
      <c r="I312" s="325" t="s">
        <v>3634</v>
      </c>
      <c r="J312" s="2539"/>
    </row>
    <row r="313" spans="4:10" x14ac:dyDescent="0.25">
      <c r="D313" s="325" t="s">
        <v>363</v>
      </c>
      <c r="E313" s="325" t="s">
        <v>2018</v>
      </c>
      <c r="F313" s="2545" t="s">
        <v>2403</v>
      </c>
      <c r="G313" s="2543">
        <v>-30390.6</v>
      </c>
      <c r="I313" s="325" t="s">
        <v>3634</v>
      </c>
      <c r="J313" s="2539"/>
    </row>
    <row r="314" spans="4:10" x14ac:dyDescent="0.25">
      <c r="D314" s="325" t="s">
        <v>363</v>
      </c>
      <c r="E314" s="325" t="s">
        <v>2018</v>
      </c>
      <c r="F314" s="2545" t="s">
        <v>2402</v>
      </c>
      <c r="G314" s="2543">
        <v>-427.5</v>
      </c>
      <c r="I314" s="325" t="s">
        <v>3634</v>
      </c>
      <c r="J314" s="2539"/>
    </row>
    <row r="315" spans="4:10" x14ac:dyDescent="0.25">
      <c r="G315" s="1781"/>
      <c r="J315" s="2539"/>
    </row>
    <row r="316" spans="4:10" x14ac:dyDescent="0.25">
      <c r="D316" s="325" t="s">
        <v>508</v>
      </c>
      <c r="E316" s="325" t="s">
        <v>1303</v>
      </c>
      <c r="F316" s="2545" t="s">
        <v>2368</v>
      </c>
      <c r="G316" s="2543">
        <v>39493.25</v>
      </c>
      <c r="I316" s="325" t="s">
        <v>3633</v>
      </c>
      <c r="J316" s="2539" t="s">
        <v>3667</v>
      </c>
    </row>
    <row r="317" spans="4:10" x14ac:dyDescent="0.25">
      <c r="D317" s="325" t="s">
        <v>363</v>
      </c>
      <c r="E317" s="325" t="s">
        <v>2018</v>
      </c>
      <c r="F317" s="2545" t="s">
        <v>2193</v>
      </c>
      <c r="G317" s="2543">
        <v>-37.83</v>
      </c>
      <c r="I317" s="325" t="s">
        <v>3633</v>
      </c>
      <c r="J317" s="2539"/>
    </row>
    <row r="318" spans="4:10" x14ac:dyDescent="0.25">
      <c r="D318" s="325" t="s">
        <v>363</v>
      </c>
      <c r="E318" s="325" t="s">
        <v>2018</v>
      </c>
      <c r="F318" s="2545" t="s">
        <v>2798</v>
      </c>
      <c r="G318" s="2543">
        <v>-58.11</v>
      </c>
      <c r="I318" s="325" t="s">
        <v>3633</v>
      </c>
      <c r="J318" s="2539"/>
    </row>
    <row r="319" spans="4:10" x14ac:dyDescent="0.25">
      <c r="D319" s="325" t="s">
        <v>763</v>
      </c>
      <c r="E319" s="325" t="s">
        <v>235</v>
      </c>
      <c r="F319" s="2545" t="s">
        <v>3063</v>
      </c>
      <c r="G319" s="2543">
        <v>-39397.31</v>
      </c>
      <c r="I319" s="325" t="s">
        <v>3633</v>
      </c>
      <c r="J319" s="2539"/>
    </row>
    <row r="320" spans="4:10" x14ac:dyDescent="0.25">
      <c r="J320" s="2539"/>
    </row>
    <row r="321" spans="4:10" x14ac:dyDescent="0.25">
      <c r="D321" s="325" t="s">
        <v>799</v>
      </c>
      <c r="E321" s="325" t="s">
        <v>1292</v>
      </c>
      <c r="F321" s="2499" t="s">
        <v>2533</v>
      </c>
      <c r="G321" s="2533">
        <v>71971.76340000052</v>
      </c>
      <c r="H321" s="325" t="s">
        <v>3624</v>
      </c>
      <c r="I321" s="325" t="s">
        <v>3633</v>
      </c>
      <c r="J321" s="2539" t="s">
        <v>3668</v>
      </c>
    </row>
    <row r="322" spans="4:10" x14ac:dyDescent="0.25">
      <c r="D322" s="325" t="s">
        <v>763</v>
      </c>
      <c r="E322" s="325" t="s">
        <v>2322</v>
      </c>
      <c r="F322" s="2499" t="s">
        <v>2322</v>
      </c>
      <c r="G322" s="2533">
        <v>-71971.76340000052</v>
      </c>
      <c r="I322" s="325" t="s">
        <v>3633</v>
      </c>
      <c r="J322" s="2539"/>
    </row>
    <row r="323" spans="4:10" x14ac:dyDescent="0.25">
      <c r="J323" s="2539"/>
    </row>
    <row r="324" spans="4:10" x14ac:dyDescent="0.25">
      <c r="D324" s="325" t="s">
        <v>763</v>
      </c>
      <c r="E324" s="325" t="s">
        <v>2322</v>
      </c>
      <c r="F324" s="2545" t="s">
        <v>2322</v>
      </c>
      <c r="G324" s="2543">
        <v>332455.66283400299</v>
      </c>
      <c r="H324" s="325" t="s">
        <v>3624</v>
      </c>
      <c r="I324" s="325" t="s">
        <v>3633</v>
      </c>
      <c r="J324" s="2539" t="s">
        <v>3669</v>
      </c>
    </row>
    <row r="325" spans="4:10" x14ac:dyDescent="0.25">
      <c r="D325" s="325" t="s">
        <v>743</v>
      </c>
      <c r="E325" s="325" t="s">
        <v>1513</v>
      </c>
      <c r="F325" s="2545" t="s">
        <v>2532</v>
      </c>
      <c r="G325" s="2543">
        <v>-332455.66283400299</v>
      </c>
      <c r="I325" s="325" t="s">
        <v>3633</v>
      </c>
      <c r="J325" s="2539"/>
    </row>
    <row r="326" spans="4:10" x14ac:dyDescent="0.25">
      <c r="G326" s="1781"/>
      <c r="J326" s="2539"/>
    </row>
    <row r="327" spans="4:10" x14ac:dyDescent="0.25">
      <c r="D327" s="325" t="s">
        <v>508</v>
      </c>
      <c r="E327" s="325" t="s">
        <v>1303</v>
      </c>
      <c r="F327" s="2545" t="s">
        <v>2898</v>
      </c>
      <c r="G327" s="2543">
        <v>5152</v>
      </c>
      <c r="H327" s="325" t="s">
        <v>3624</v>
      </c>
      <c r="I327" s="325" t="s">
        <v>3633</v>
      </c>
      <c r="J327" s="2539" t="s">
        <v>3670</v>
      </c>
    </row>
    <row r="328" spans="4:10" x14ac:dyDescent="0.25">
      <c r="D328" s="325" t="s">
        <v>508</v>
      </c>
      <c r="E328" s="325" t="s">
        <v>1303</v>
      </c>
      <c r="F328" s="2545" t="s">
        <v>2899</v>
      </c>
      <c r="G328" s="2543">
        <v>-90</v>
      </c>
      <c r="I328" s="325" t="s">
        <v>3633</v>
      </c>
      <c r="J328" s="2539"/>
    </row>
    <row r="329" spans="4:10" x14ac:dyDescent="0.25">
      <c r="D329" s="325" t="s">
        <v>508</v>
      </c>
      <c r="E329" s="325" t="s">
        <v>1303</v>
      </c>
      <c r="F329" s="2545" t="s">
        <v>3599</v>
      </c>
      <c r="G329" s="2543">
        <v>-130.33000000000001</v>
      </c>
      <c r="I329" s="325" t="s">
        <v>3633</v>
      </c>
      <c r="J329" s="2539"/>
    </row>
    <row r="330" spans="4:10" x14ac:dyDescent="0.25">
      <c r="D330" s="325" t="s">
        <v>752</v>
      </c>
      <c r="E330" s="325" t="s">
        <v>3500</v>
      </c>
      <c r="F330" s="2545" t="s">
        <v>2170</v>
      </c>
      <c r="G330" s="2543">
        <v>-4931.67</v>
      </c>
      <c r="I330" s="325" t="s">
        <v>3633</v>
      </c>
      <c r="J330" s="2539"/>
    </row>
    <row r="331" spans="4:10" x14ac:dyDescent="0.25">
      <c r="J331" s="2539"/>
    </row>
    <row r="332" spans="4:10" x14ac:dyDescent="0.25">
      <c r="D332" s="325" t="s">
        <v>508</v>
      </c>
      <c r="E332" s="325" t="s">
        <v>1303</v>
      </c>
      <c r="F332" s="2545" t="s">
        <v>3088</v>
      </c>
      <c r="G332" s="2543">
        <v>94655</v>
      </c>
      <c r="H332" s="325" t="s">
        <v>3624</v>
      </c>
      <c r="I332" s="325" t="s">
        <v>3634</v>
      </c>
      <c r="J332" s="2539" t="s">
        <v>3656</v>
      </c>
    </row>
    <row r="333" spans="4:10" x14ac:dyDescent="0.25">
      <c r="D333" s="325" t="s">
        <v>997</v>
      </c>
      <c r="E333" s="325" t="s">
        <v>761</v>
      </c>
      <c r="F333" s="2545" t="s">
        <v>2740</v>
      </c>
      <c r="G333" s="2543">
        <v>-94655</v>
      </c>
      <c r="I333" s="325" t="s">
        <v>3634</v>
      </c>
      <c r="J333" s="2539"/>
    </row>
    <row r="334" spans="4:10" x14ac:dyDescent="0.25">
      <c r="G334" s="1781"/>
      <c r="J334" s="2539"/>
    </row>
    <row r="335" spans="4:10" x14ac:dyDescent="0.25">
      <c r="D335" s="325" t="s">
        <v>508</v>
      </c>
      <c r="E335" s="325" t="s">
        <v>1647</v>
      </c>
      <c r="F335" s="2545" t="s">
        <v>3148</v>
      </c>
      <c r="G335" s="2543">
        <v>430</v>
      </c>
      <c r="H335" s="325" t="s">
        <v>3624</v>
      </c>
      <c r="I335" s="325" t="s">
        <v>3634</v>
      </c>
      <c r="J335" s="2539" t="s">
        <v>3656</v>
      </c>
    </row>
    <row r="336" spans="4:10" x14ac:dyDescent="0.25">
      <c r="D336" s="325" t="s">
        <v>508</v>
      </c>
      <c r="E336" s="325" t="s">
        <v>1647</v>
      </c>
      <c r="F336" s="2545" t="s">
        <v>2285</v>
      </c>
      <c r="G336" s="2543">
        <v>-430</v>
      </c>
      <c r="I336" s="325" t="s">
        <v>3634</v>
      </c>
      <c r="J336" s="2539"/>
    </row>
    <row r="337" spans="4:14" x14ac:dyDescent="0.25">
      <c r="G337" s="1781"/>
      <c r="J337" s="2539"/>
    </row>
    <row r="338" spans="4:14" x14ac:dyDescent="0.25">
      <c r="D338" s="325" t="s">
        <v>997</v>
      </c>
      <c r="E338" s="325" t="s">
        <v>761</v>
      </c>
      <c r="F338" s="2545" t="s">
        <v>2740</v>
      </c>
      <c r="G338" s="2543">
        <v>430</v>
      </c>
      <c r="H338" s="325" t="s">
        <v>3624</v>
      </c>
      <c r="I338" s="325" t="s">
        <v>3634</v>
      </c>
      <c r="J338" s="2539" t="s">
        <v>3656</v>
      </c>
      <c r="N338" s="1777"/>
    </row>
    <row r="339" spans="4:14" x14ac:dyDescent="0.25">
      <c r="D339" s="325" t="s">
        <v>508</v>
      </c>
      <c r="E339" s="325" t="s">
        <v>1647</v>
      </c>
      <c r="F339" s="2545" t="s">
        <v>3148</v>
      </c>
      <c r="G339" s="2543">
        <v>-430</v>
      </c>
      <c r="I339" s="325" t="s">
        <v>3634</v>
      </c>
      <c r="J339" s="2539"/>
      <c r="N339" s="1777"/>
    </row>
    <row r="340" spans="4:14" x14ac:dyDescent="0.25">
      <c r="G340" s="1781"/>
      <c r="J340" s="2539"/>
    </row>
    <row r="341" spans="4:14" x14ac:dyDescent="0.25">
      <c r="D341" s="325" t="s">
        <v>763</v>
      </c>
      <c r="E341" s="325" t="s">
        <v>2737</v>
      </c>
      <c r="F341" s="2545" t="s">
        <v>2580</v>
      </c>
      <c r="G341" s="2543">
        <v>150</v>
      </c>
      <c r="H341" s="325" t="s">
        <v>3624</v>
      </c>
      <c r="I341" s="325" t="s">
        <v>3633</v>
      </c>
      <c r="J341" s="2539" t="s">
        <v>3656</v>
      </c>
      <c r="N341" s="1777"/>
    </row>
    <row r="342" spans="4:14" x14ac:dyDescent="0.25">
      <c r="D342" s="325" t="s">
        <v>763</v>
      </c>
      <c r="E342" s="325" t="s">
        <v>2569</v>
      </c>
      <c r="F342" s="2545" t="s">
        <v>2569</v>
      </c>
      <c r="G342" s="2543">
        <v>-150</v>
      </c>
      <c r="I342" s="325" t="s">
        <v>3633</v>
      </c>
      <c r="J342" s="2539"/>
      <c r="N342" s="1777"/>
    </row>
    <row r="343" spans="4:14" x14ac:dyDescent="0.25">
      <c r="G343" s="2510"/>
      <c r="J343" s="2539"/>
    </row>
    <row r="344" spans="4:14" x14ac:dyDescent="0.25">
      <c r="D344" s="325" t="s">
        <v>997</v>
      </c>
      <c r="E344" s="325" t="s">
        <v>986</v>
      </c>
      <c r="F344" s="2545" t="s">
        <v>2598</v>
      </c>
      <c r="G344" s="2543">
        <v>2400</v>
      </c>
      <c r="H344" s="325" t="s">
        <v>3624</v>
      </c>
      <c r="I344" s="325" t="s">
        <v>3634</v>
      </c>
      <c r="J344" s="2539" t="s">
        <v>3671</v>
      </c>
      <c r="N344" s="1777"/>
    </row>
    <row r="345" spans="4:14" x14ac:dyDescent="0.25">
      <c r="D345" s="325" t="s">
        <v>508</v>
      </c>
      <c r="E345" s="325" t="s">
        <v>1647</v>
      </c>
      <c r="F345" s="2545" t="s">
        <v>2661</v>
      </c>
      <c r="G345" s="2543">
        <v>-2400</v>
      </c>
      <c r="I345" s="325" t="s">
        <v>3634</v>
      </c>
      <c r="J345" s="2539"/>
    </row>
    <row r="346" spans="4:14" x14ac:dyDescent="0.25">
      <c r="G346" s="1781"/>
      <c r="J346" s="2539"/>
    </row>
    <row r="347" spans="4:14" x14ac:dyDescent="0.25">
      <c r="D347" s="325" t="s">
        <v>997</v>
      </c>
      <c r="E347" s="325" t="s">
        <v>986</v>
      </c>
      <c r="F347" s="2545" t="s">
        <v>2598</v>
      </c>
      <c r="G347" s="2543">
        <v>1757.8800000001211</v>
      </c>
      <c r="H347" s="325" t="s">
        <v>3624</v>
      </c>
      <c r="I347" s="325" t="s">
        <v>3634</v>
      </c>
      <c r="J347" s="2539" t="s">
        <v>3671</v>
      </c>
    </row>
    <row r="348" spans="4:14" x14ac:dyDescent="0.25">
      <c r="D348" s="325" t="s">
        <v>508</v>
      </c>
      <c r="E348" s="325" t="s">
        <v>1647</v>
      </c>
      <c r="F348" s="2545" t="s">
        <v>2661</v>
      </c>
      <c r="G348" s="2543">
        <v>-1757.8800000001211</v>
      </c>
      <c r="I348" s="325" t="s">
        <v>3634</v>
      </c>
      <c r="J348" s="2539"/>
    </row>
    <row r="349" spans="4:14" x14ac:dyDescent="0.25">
      <c r="G349" s="1781"/>
      <c r="J349" s="2539"/>
    </row>
    <row r="350" spans="4:14" x14ac:dyDescent="0.25">
      <c r="D350" s="325" t="s">
        <v>763</v>
      </c>
      <c r="E350" s="325" t="s">
        <v>3517</v>
      </c>
      <c r="F350" s="2545" t="s">
        <v>2168</v>
      </c>
      <c r="G350" s="2543">
        <v>345562.64</v>
      </c>
      <c r="H350" s="325" t="s">
        <v>3624</v>
      </c>
      <c r="I350" s="325" t="s">
        <v>3633</v>
      </c>
      <c r="J350" s="2539" t="s">
        <v>3672</v>
      </c>
    </row>
    <row r="351" spans="4:14" x14ac:dyDescent="0.25">
      <c r="D351" s="325" t="s">
        <v>363</v>
      </c>
      <c r="E351" s="325" t="s">
        <v>2015</v>
      </c>
      <c r="F351" s="2545" t="s">
        <v>3173</v>
      </c>
      <c r="G351" s="2543">
        <v>-345562.64</v>
      </c>
      <c r="I351" s="325" t="s">
        <v>3633</v>
      </c>
      <c r="J351" s="2539"/>
    </row>
    <row r="352" spans="4:14" x14ac:dyDescent="0.25">
      <c r="G352" s="1781"/>
      <c r="J352" s="2539"/>
    </row>
    <row r="353" spans="4:10" x14ac:dyDescent="0.25">
      <c r="D353" s="325" t="s">
        <v>508</v>
      </c>
      <c r="E353" s="325" t="s">
        <v>1647</v>
      </c>
      <c r="F353" s="2545" t="s">
        <v>3060</v>
      </c>
      <c r="G353" s="2543">
        <v>704449.22</v>
      </c>
      <c r="H353" s="325" t="s">
        <v>3624</v>
      </c>
      <c r="I353" s="325" t="s">
        <v>3634</v>
      </c>
      <c r="J353" s="2539" t="s">
        <v>3673</v>
      </c>
    </row>
    <row r="354" spans="4:10" x14ac:dyDescent="0.25">
      <c r="D354" s="325" t="s">
        <v>997</v>
      </c>
      <c r="E354" s="325" t="s">
        <v>761</v>
      </c>
      <c r="F354" s="2545" t="s">
        <v>2740</v>
      </c>
      <c r="G354" s="2543">
        <v>-704449.22</v>
      </c>
      <c r="I354" s="325" t="s">
        <v>3634</v>
      </c>
      <c r="J354" s="2539"/>
    </row>
    <row r="355" spans="4:10" x14ac:dyDescent="0.25">
      <c r="G355" s="1781"/>
      <c r="J355" s="2539"/>
    </row>
    <row r="356" spans="4:10" x14ac:dyDescent="0.25">
      <c r="D356" s="325" t="s">
        <v>508</v>
      </c>
      <c r="E356" s="325" t="s">
        <v>1303</v>
      </c>
      <c r="F356" s="2545" t="s">
        <v>2656</v>
      </c>
      <c r="G356" s="2543">
        <v>5000</v>
      </c>
      <c r="H356" s="325" t="s">
        <v>3624</v>
      </c>
      <c r="I356" s="325" t="s">
        <v>3633</v>
      </c>
      <c r="J356" s="2539" t="s">
        <v>3674</v>
      </c>
    </row>
    <row r="357" spans="4:10" x14ac:dyDescent="0.25">
      <c r="D357" s="325" t="s">
        <v>763</v>
      </c>
      <c r="E357" s="325" t="s">
        <v>771</v>
      </c>
      <c r="F357" s="2545" t="s">
        <v>2657</v>
      </c>
      <c r="G357" s="2543">
        <v>-5000</v>
      </c>
      <c r="I357" s="325" t="s">
        <v>3633</v>
      </c>
      <c r="J357" s="2539"/>
    </row>
    <row r="358" spans="4:10" x14ac:dyDescent="0.25">
      <c r="J358" s="2539"/>
    </row>
    <row r="359" spans="4:10" x14ac:dyDescent="0.25">
      <c r="D359" s="325" t="s">
        <v>959</v>
      </c>
      <c r="E359" s="325" t="s">
        <v>1277</v>
      </c>
      <c r="F359" s="2545" t="s">
        <v>2667</v>
      </c>
      <c r="G359" s="2543">
        <v>6794801.0899999999</v>
      </c>
      <c r="H359" s="325" t="s">
        <v>3624</v>
      </c>
      <c r="I359" s="325" t="s">
        <v>3633</v>
      </c>
      <c r="J359" s="2539" t="s">
        <v>3675</v>
      </c>
    </row>
    <row r="360" spans="4:10" x14ac:dyDescent="0.25">
      <c r="D360" s="325" t="s">
        <v>959</v>
      </c>
      <c r="E360" s="325" t="s">
        <v>1277</v>
      </c>
      <c r="F360" s="2545" t="s">
        <v>2905</v>
      </c>
      <c r="G360" s="2543">
        <v>-830.13</v>
      </c>
      <c r="I360" s="325" t="s">
        <v>3633</v>
      </c>
      <c r="J360" s="2539"/>
    </row>
    <row r="361" spans="4:10" x14ac:dyDescent="0.25">
      <c r="D361" s="325" t="s">
        <v>959</v>
      </c>
      <c r="E361" s="325" t="s">
        <v>1277</v>
      </c>
      <c r="F361" s="2545" t="s">
        <v>2915</v>
      </c>
      <c r="G361" s="2543">
        <v>-179937</v>
      </c>
      <c r="I361" s="325" t="s">
        <v>3633</v>
      </c>
      <c r="J361" s="2539"/>
    </row>
    <row r="362" spans="4:10" x14ac:dyDescent="0.25">
      <c r="D362" s="325" t="s">
        <v>959</v>
      </c>
      <c r="E362" s="325" t="s">
        <v>1277</v>
      </c>
      <c r="F362" s="2545" t="s">
        <v>2910</v>
      </c>
      <c r="G362" s="2543">
        <v>-6614033.96</v>
      </c>
      <c r="I362" s="325" t="s">
        <v>3633</v>
      </c>
      <c r="J362" s="2539"/>
    </row>
    <row r="363" spans="4:10" x14ac:dyDescent="0.25">
      <c r="J363" s="2539"/>
    </row>
    <row r="364" spans="4:10" x14ac:dyDescent="0.25">
      <c r="J364" s="2539"/>
    </row>
    <row r="365" spans="4:10" x14ac:dyDescent="0.25">
      <c r="D365" s="325" t="s">
        <v>959</v>
      </c>
      <c r="E365" s="325" t="s">
        <v>1277</v>
      </c>
      <c r="F365" s="2545" t="s">
        <v>2667</v>
      </c>
      <c r="G365" s="2543">
        <v>20864.910000000149</v>
      </c>
      <c r="H365" s="325" t="s">
        <v>3624</v>
      </c>
      <c r="I365" s="325" t="s">
        <v>3633</v>
      </c>
      <c r="J365" s="2539" t="s">
        <v>3675</v>
      </c>
    </row>
    <row r="366" spans="4:10" x14ac:dyDescent="0.25">
      <c r="F366" s="2545" t="s">
        <v>2408</v>
      </c>
      <c r="G366" s="2543">
        <v>-20864.910000000149</v>
      </c>
      <c r="I366" s="325" t="s">
        <v>3633</v>
      </c>
      <c r="J366" s="2539"/>
    </row>
    <row r="367" spans="4:10" x14ac:dyDescent="0.25">
      <c r="J367" s="2539"/>
    </row>
    <row r="368" spans="4:10" x14ac:dyDescent="0.25">
      <c r="D368" s="325" t="s">
        <v>1520</v>
      </c>
      <c r="E368" s="325" t="s">
        <v>1523</v>
      </c>
      <c r="F368" s="2545" t="s">
        <v>2312</v>
      </c>
      <c r="G368" s="2543">
        <v>90113</v>
      </c>
      <c r="H368" s="325" t="s">
        <v>3624</v>
      </c>
      <c r="I368" s="325" t="s">
        <v>3633</v>
      </c>
      <c r="J368" s="2539" t="s">
        <v>3682</v>
      </c>
    </row>
    <row r="369" spans="4:10" x14ac:dyDescent="0.25">
      <c r="D369" s="325" t="s">
        <v>752</v>
      </c>
      <c r="E369" s="325" t="s">
        <v>42</v>
      </c>
      <c r="F369" s="2545" t="s">
        <v>2420</v>
      </c>
      <c r="G369" s="2543">
        <f>-G368</f>
        <v>-90113</v>
      </c>
      <c r="I369" s="325" t="s">
        <v>3633</v>
      </c>
      <c r="J369" s="2539"/>
    </row>
    <row r="370" spans="4:10" x14ac:dyDescent="0.25">
      <c r="J370" s="2539"/>
    </row>
    <row r="371" spans="4:10" x14ac:dyDescent="0.25">
      <c r="D371" s="325" t="s">
        <v>752</v>
      </c>
      <c r="E371" s="325" t="s">
        <v>42</v>
      </c>
      <c r="F371" s="2545" t="s">
        <v>2420</v>
      </c>
      <c r="G371" s="2543">
        <v>1483740</v>
      </c>
      <c r="H371" s="325" t="s">
        <v>3624</v>
      </c>
      <c r="I371" s="325" t="s">
        <v>3633</v>
      </c>
      <c r="J371" s="2539" t="s">
        <v>3683</v>
      </c>
    </row>
    <row r="372" spans="4:10" x14ac:dyDescent="0.25">
      <c r="D372" s="325" t="s">
        <v>747</v>
      </c>
      <c r="E372" s="325" t="s">
        <v>1541</v>
      </c>
      <c r="F372" s="2545" t="s">
        <v>3570</v>
      </c>
      <c r="G372" s="2543">
        <f>-G371</f>
        <v>-1483740</v>
      </c>
      <c r="I372" s="1779" t="s">
        <v>3633</v>
      </c>
      <c r="J372" s="2539"/>
    </row>
    <row r="373" spans="4:10" x14ac:dyDescent="0.25">
      <c r="G373" s="1781"/>
      <c r="I373" s="1779"/>
      <c r="J373" s="2539"/>
    </row>
    <row r="374" spans="4:10" x14ac:dyDescent="0.3">
      <c r="D374" s="325" t="s">
        <v>747</v>
      </c>
      <c r="E374" s="325" t="s">
        <v>1541</v>
      </c>
      <c r="F374" s="2545" t="s">
        <v>3570</v>
      </c>
      <c r="G374" s="2543">
        <v>764293</v>
      </c>
      <c r="H374" s="325" t="s">
        <v>3624</v>
      </c>
      <c r="I374" s="2537" t="s">
        <v>3633</v>
      </c>
      <c r="J374" s="2538" t="s">
        <v>3684</v>
      </c>
    </row>
    <row r="375" spans="4:10" x14ac:dyDescent="0.3">
      <c r="D375" s="325" t="s">
        <v>752</v>
      </c>
      <c r="E375" s="325" t="s">
        <v>42</v>
      </c>
      <c r="F375" s="2545" t="s">
        <v>2420</v>
      </c>
      <c r="G375" s="2543">
        <f>-G374</f>
        <v>-764293</v>
      </c>
      <c r="I375" s="2537" t="s">
        <v>3633</v>
      </c>
      <c r="J375" s="2538"/>
    </row>
    <row r="376" spans="4:10" x14ac:dyDescent="0.25">
      <c r="I376" s="1779"/>
      <c r="J376" s="2539"/>
    </row>
    <row r="377" spans="4:10" x14ac:dyDescent="0.25">
      <c r="D377" s="325" t="s">
        <v>959</v>
      </c>
      <c r="E377" s="325" t="s">
        <v>1277</v>
      </c>
      <c r="F377" s="2545" t="s">
        <v>3154</v>
      </c>
      <c r="G377" s="2543">
        <v>545212</v>
      </c>
      <c r="H377" s="325" t="s">
        <v>3624</v>
      </c>
      <c r="I377" s="325" t="s">
        <v>3633</v>
      </c>
      <c r="J377" s="2539" t="s">
        <v>3685</v>
      </c>
    </row>
    <row r="378" spans="4:10" x14ac:dyDescent="0.25">
      <c r="D378" s="325" t="s">
        <v>752</v>
      </c>
      <c r="E378" s="325" t="s">
        <v>42</v>
      </c>
      <c r="F378" s="2545" t="s">
        <v>2420</v>
      </c>
      <c r="G378" s="2543">
        <f>-G377</f>
        <v>-545212</v>
      </c>
      <c r="I378" s="1779" t="s">
        <v>3633</v>
      </c>
      <c r="J378" s="2539"/>
    </row>
    <row r="379" spans="4:10" x14ac:dyDescent="0.25">
      <c r="I379" s="1779"/>
      <c r="J379" s="2539"/>
    </row>
    <row r="380" spans="4:10" x14ac:dyDescent="0.25">
      <c r="D380" s="325" t="s">
        <v>743</v>
      </c>
      <c r="E380" s="325" t="s">
        <v>1513</v>
      </c>
      <c r="F380" s="2545" t="s">
        <v>3059</v>
      </c>
      <c r="G380" s="2543">
        <v>6929755.5199999996</v>
      </c>
      <c r="H380" s="325" t="s">
        <v>3624</v>
      </c>
      <c r="I380" s="325" t="s">
        <v>3633</v>
      </c>
      <c r="J380" s="2539" t="s">
        <v>3687</v>
      </c>
    </row>
    <row r="381" spans="4:10" x14ac:dyDescent="0.25">
      <c r="D381" s="325" t="s">
        <v>748</v>
      </c>
      <c r="E381" s="325" t="s">
        <v>1003</v>
      </c>
      <c r="F381" s="2545" t="s">
        <v>2841</v>
      </c>
      <c r="G381" s="2543">
        <v>-5872674.1799999997</v>
      </c>
      <c r="I381" s="325" t="s">
        <v>3633</v>
      </c>
      <c r="J381" s="2539"/>
    </row>
    <row r="382" spans="4:10" x14ac:dyDescent="0.25">
      <c r="D382" s="325" t="s">
        <v>363</v>
      </c>
      <c r="E382" s="325" t="s">
        <v>2018</v>
      </c>
      <c r="F382" s="2545" t="s">
        <v>3581</v>
      </c>
      <c r="G382" s="2543">
        <v>-1057081.3400000001</v>
      </c>
      <c r="I382" s="325" t="s">
        <v>3633</v>
      </c>
      <c r="J382" s="2539"/>
    </row>
    <row r="383" spans="4:10" x14ac:dyDescent="0.25">
      <c r="G383" s="1781"/>
      <c r="J383" s="2539"/>
    </row>
    <row r="384" spans="4:10" x14ac:dyDescent="0.25">
      <c r="D384" s="325" t="s">
        <v>363</v>
      </c>
      <c r="E384" s="325" t="s">
        <v>2018</v>
      </c>
      <c r="F384" s="2545" t="s">
        <v>3581</v>
      </c>
      <c r="G384" s="2543">
        <v>1057081.3400000001</v>
      </c>
      <c r="H384" s="325" t="s">
        <v>3624</v>
      </c>
      <c r="I384" s="325" t="s">
        <v>3633</v>
      </c>
      <c r="J384" s="2539" t="s">
        <v>3688</v>
      </c>
    </row>
    <row r="385" spans="4:10" x14ac:dyDescent="0.25">
      <c r="D385" s="325" t="s">
        <v>363</v>
      </c>
      <c r="E385" s="325" t="s">
        <v>2018</v>
      </c>
      <c r="F385" s="2545" t="s">
        <v>3051</v>
      </c>
      <c r="G385" s="2543">
        <v>-1057081.3400000001</v>
      </c>
      <c r="I385" s="325" t="s">
        <v>3633</v>
      </c>
      <c r="J385" s="2539"/>
    </row>
    <row r="386" spans="4:10" x14ac:dyDescent="0.25">
      <c r="J386" s="2539"/>
    </row>
    <row r="387" spans="4:10" x14ac:dyDescent="0.25">
      <c r="D387" s="325" t="s">
        <v>959</v>
      </c>
      <c r="E387" s="325" t="s">
        <v>1277</v>
      </c>
      <c r="F387" s="2545" t="s">
        <v>3154</v>
      </c>
      <c r="G387" s="2543">
        <v>99.61</v>
      </c>
      <c r="H387" s="325" t="s">
        <v>3624</v>
      </c>
      <c r="I387" s="325" t="s">
        <v>3633</v>
      </c>
      <c r="J387" s="2539" t="s">
        <v>3663</v>
      </c>
    </row>
    <row r="388" spans="4:10" x14ac:dyDescent="0.25">
      <c r="D388" s="325" t="s">
        <v>959</v>
      </c>
      <c r="E388" s="325" t="s">
        <v>1277</v>
      </c>
      <c r="F388" s="2545" t="s">
        <v>3108</v>
      </c>
      <c r="G388" s="2543">
        <v>-99.61</v>
      </c>
      <c r="I388" s="325" t="s">
        <v>3633</v>
      </c>
      <c r="J388" s="2539"/>
    </row>
    <row r="389" spans="4:10" x14ac:dyDescent="0.25">
      <c r="G389" s="1781"/>
      <c r="J389" s="2539"/>
    </row>
    <row r="390" spans="4:10" x14ac:dyDescent="0.25">
      <c r="D390" s="325" t="s">
        <v>959</v>
      </c>
      <c r="E390" s="325" t="s">
        <v>1277</v>
      </c>
      <c r="F390" s="2545" t="s">
        <v>3154</v>
      </c>
      <c r="G390" s="2543">
        <v>8675</v>
      </c>
      <c r="H390" s="325" t="s">
        <v>3624</v>
      </c>
      <c r="I390" s="325" t="s">
        <v>3633</v>
      </c>
      <c r="J390" s="2539" t="s">
        <v>3663</v>
      </c>
    </row>
    <row r="391" spans="4:10" x14ac:dyDescent="0.25">
      <c r="D391" s="325" t="s">
        <v>959</v>
      </c>
      <c r="E391" s="325" t="s">
        <v>1277</v>
      </c>
      <c r="F391" s="2545" t="s">
        <v>3108</v>
      </c>
      <c r="G391" s="2543">
        <v>-8675</v>
      </c>
      <c r="I391" s="325" t="s">
        <v>3633</v>
      </c>
      <c r="J391" s="2539"/>
    </row>
    <row r="392" spans="4:10" x14ac:dyDescent="0.25">
      <c r="G392" s="1781"/>
      <c r="J392" s="2539"/>
    </row>
    <row r="393" spans="4:10" x14ac:dyDescent="0.25">
      <c r="D393" s="325" t="s">
        <v>959</v>
      </c>
      <c r="E393" s="325" t="s">
        <v>1277</v>
      </c>
      <c r="F393" s="2545" t="s">
        <v>3154</v>
      </c>
      <c r="G393" s="2543">
        <v>71618</v>
      </c>
      <c r="H393" s="325" t="s">
        <v>3624</v>
      </c>
      <c r="I393" s="325" t="s">
        <v>3633</v>
      </c>
      <c r="J393" s="2539" t="s">
        <v>3686</v>
      </c>
    </row>
    <row r="394" spans="4:10" x14ac:dyDescent="0.25">
      <c r="D394" s="325" t="s">
        <v>743</v>
      </c>
      <c r="E394" s="325" t="s">
        <v>1513</v>
      </c>
      <c r="F394" s="2545" t="s">
        <v>3056</v>
      </c>
      <c r="G394" s="2543">
        <v>-302.64999999999998</v>
      </c>
      <c r="I394" s="325" t="s">
        <v>3633</v>
      </c>
      <c r="J394" s="2539"/>
    </row>
    <row r="395" spans="4:10" x14ac:dyDescent="0.25">
      <c r="D395" s="325" t="s">
        <v>959</v>
      </c>
      <c r="E395" s="325" t="s">
        <v>1277</v>
      </c>
      <c r="F395" s="2545" t="s">
        <v>3108</v>
      </c>
      <c r="G395" s="2543">
        <v>-71315.350000000006</v>
      </c>
      <c r="I395" s="325" t="s">
        <v>3633</v>
      </c>
      <c r="J395" s="2539"/>
    </row>
    <row r="396" spans="4:10" x14ac:dyDescent="0.25">
      <c r="G396" s="1781"/>
      <c r="J396" s="2539"/>
    </row>
    <row r="397" spans="4:10" x14ac:dyDescent="0.25">
      <c r="D397" s="325" t="s">
        <v>959</v>
      </c>
      <c r="E397" s="325" t="s">
        <v>1277</v>
      </c>
      <c r="F397" s="2545" t="s">
        <v>3154</v>
      </c>
      <c r="G397" s="2543">
        <v>319946</v>
      </c>
      <c r="H397" s="325" t="s">
        <v>3624</v>
      </c>
      <c r="I397" s="325" t="s">
        <v>3633</v>
      </c>
      <c r="J397" s="2539" t="s">
        <v>3686</v>
      </c>
    </row>
    <row r="398" spans="4:10" x14ac:dyDescent="0.25">
      <c r="D398" s="325" t="s">
        <v>959</v>
      </c>
      <c r="E398" s="325" t="s">
        <v>1277</v>
      </c>
      <c r="F398" s="2545" t="s">
        <v>3108</v>
      </c>
      <c r="G398" s="2543">
        <v>-319946</v>
      </c>
      <c r="I398" s="325" t="s">
        <v>3633</v>
      </c>
      <c r="J398" s="2539"/>
    </row>
    <row r="399" spans="4:10" x14ac:dyDescent="0.25">
      <c r="G399" s="1781"/>
      <c r="J399" s="2539"/>
    </row>
    <row r="400" spans="4:10" x14ac:dyDescent="0.25">
      <c r="D400" s="325" t="s">
        <v>959</v>
      </c>
      <c r="E400" s="325" t="s">
        <v>1277</v>
      </c>
      <c r="F400" s="2545" t="s">
        <v>3154</v>
      </c>
      <c r="G400" s="2543">
        <v>34185.660000000003</v>
      </c>
      <c r="H400" s="325" t="s">
        <v>3624</v>
      </c>
      <c r="I400" s="325" t="s">
        <v>3633</v>
      </c>
      <c r="J400" s="2539" t="s">
        <v>3663</v>
      </c>
    </row>
    <row r="401" spans="4:10" x14ac:dyDescent="0.25">
      <c r="D401" s="325" t="s">
        <v>743</v>
      </c>
      <c r="E401" s="325" t="s">
        <v>1513</v>
      </c>
      <c r="F401" s="2545" t="s">
        <v>2522</v>
      </c>
      <c r="G401" s="2543">
        <v>310940.40000000002</v>
      </c>
      <c r="I401" s="325" t="s">
        <v>3633</v>
      </c>
      <c r="J401" s="2539"/>
    </row>
    <row r="402" spans="4:10" x14ac:dyDescent="0.25">
      <c r="D402" s="325" t="s">
        <v>959</v>
      </c>
      <c r="E402" s="325" t="s">
        <v>1277</v>
      </c>
      <c r="F402" s="2545" t="s">
        <v>3108</v>
      </c>
      <c r="G402" s="2543">
        <v>-345126.06</v>
      </c>
      <c r="I402" s="325" t="s">
        <v>3633</v>
      </c>
      <c r="J402" s="2539"/>
    </row>
    <row r="403" spans="4:10" x14ac:dyDescent="0.25">
      <c r="J403" s="2539"/>
    </row>
    <row r="404" spans="4:10" x14ac:dyDescent="0.25">
      <c r="D404" s="325" t="s">
        <v>959</v>
      </c>
      <c r="E404" s="325" t="s">
        <v>1277</v>
      </c>
      <c r="F404" s="2545" t="s">
        <v>3154</v>
      </c>
      <c r="G404" s="2543">
        <v>1590002.41</v>
      </c>
      <c r="H404" s="325" t="s">
        <v>3624</v>
      </c>
      <c r="I404" s="325" t="s">
        <v>3633</v>
      </c>
      <c r="J404" s="2539" t="s">
        <v>3663</v>
      </c>
    </row>
    <row r="405" spans="4:10" x14ac:dyDescent="0.25">
      <c r="D405" s="325" t="s">
        <v>743</v>
      </c>
      <c r="E405" s="325" t="s">
        <v>1513</v>
      </c>
      <c r="F405" s="2545" t="s">
        <v>3625</v>
      </c>
      <c r="G405" s="2543">
        <v>-88057.5</v>
      </c>
      <c r="I405" s="325" t="s">
        <v>3633</v>
      </c>
      <c r="J405" s="2539"/>
    </row>
    <row r="406" spans="4:10" x14ac:dyDescent="0.25">
      <c r="D406" s="325" t="s">
        <v>959</v>
      </c>
      <c r="E406" s="325" t="s">
        <v>1277</v>
      </c>
      <c r="F406" s="2545" t="s">
        <v>3108</v>
      </c>
      <c r="G406" s="2543">
        <v>-1501944.91</v>
      </c>
      <c r="I406" s="325" t="s">
        <v>3633</v>
      </c>
      <c r="J406" s="2539"/>
    </row>
    <row r="407" spans="4:10" x14ac:dyDescent="0.25">
      <c r="J407" s="2539"/>
    </row>
    <row r="408" spans="4:10" x14ac:dyDescent="0.25">
      <c r="D408" s="325" t="s">
        <v>959</v>
      </c>
      <c r="E408" s="325" t="s">
        <v>1277</v>
      </c>
      <c r="F408" s="2545" t="s">
        <v>3154</v>
      </c>
      <c r="G408" s="2543">
        <v>5908.58</v>
      </c>
      <c r="H408" s="325" t="s">
        <v>3624</v>
      </c>
      <c r="I408" s="325" t="s">
        <v>3633</v>
      </c>
      <c r="J408" s="2539" t="s">
        <v>3663</v>
      </c>
    </row>
    <row r="409" spans="4:10" x14ac:dyDescent="0.25">
      <c r="D409" s="325" t="s">
        <v>743</v>
      </c>
      <c r="E409" s="325" t="s">
        <v>1513</v>
      </c>
      <c r="F409" s="2545" t="s">
        <v>2382</v>
      </c>
      <c r="G409" s="2543">
        <v>-1980</v>
      </c>
      <c r="I409" s="325" t="s">
        <v>3633</v>
      </c>
      <c r="J409" s="2539"/>
    </row>
    <row r="410" spans="4:10" x14ac:dyDescent="0.25">
      <c r="D410" s="325" t="s">
        <v>959</v>
      </c>
      <c r="E410" s="325" t="s">
        <v>1277</v>
      </c>
      <c r="F410" s="2545" t="s">
        <v>3108</v>
      </c>
      <c r="G410" s="2543">
        <v>-3928.58</v>
      </c>
      <c r="I410" s="325" t="s">
        <v>3633</v>
      </c>
      <c r="J410" s="2539"/>
    </row>
    <row r="411" spans="4:10" x14ac:dyDescent="0.25">
      <c r="J411" s="2539"/>
    </row>
    <row r="412" spans="4:10" x14ac:dyDescent="0.25">
      <c r="D412" s="325" t="s">
        <v>959</v>
      </c>
      <c r="E412" s="325" t="s">
        <v>2018</v>
      </c>
      <c r="F412" s="2545" t="s">
        <v>3154</v>
      </c>
      <c r="G412" s="2543">
        <v>7234</v>
      </c>
      <c r="H412" s="325" t="s">
        <v>3624</v>
      </c>
      <c r="I412" s="325" t="s">
        <v>3633</v>
      </c>
      <c r="J412" s="2539" t="s">
        <v>3663</v>
      </c>
    </row>
    <row r="413" spans="4:10" x14ac:dyDescent="0.25">
      <c r="D413" s="325" t="s">
        <v>763</v>
      </c>
      <c r="E413" s="325" t="s">
        <v>3517</v>
      </c>
      <c r="F413" s="2545" t="s">
        <v>2168</v>
      </c>
      <c r="G413" s="2543">
        <v>360</v>
      </c>
      <c r="I413" s="325" t="s">
        <v>3633</v>
      </c>
      <c r="J413" s="2539"/>
    </row>
    <row r="414" spans="4:10" x14ac:dyDescent="0.25">
      <c r="D414" s="325" t="s">
        <v>743</v>
      </c>
      <c r="E414" s="325" t="s">
        <v>1513</v>
      </c>
      <c r="F414" s="2545" t="s">
        <v>3626</v>
      </c>
      <c r="G414" s="2543">
        <v>-1055</v>
      </c>
      <c r="I414" s="325" t="s">
        <v>3633</v>
      </c>
      <c r="J414" s="2539"/>
    </row>
    <row r="415" spans="4:10" x14ac:dyDescent="0.25">
      <c r="D415" s="325" t="s">
        <v>959</v>
      </c>
      <c r="E415" s="325" t="s">
        <v>1277</v>
      </c>
      <c r="F415" s="2545" t="s">
        <v>3108</v>
      </c>
      <c r="G415" s="2543">
        <v>-6539</v>
      </c>
      <c r="I415" s="325" t="s">
        <v>3633</v>
      </c>
      <c r="J415" s="2539"/>
    </row>
    <row r="416" spans="4:10" x14ac:dyDescent="0.25">
      <c r="J416" s="2539"/>
    </row>
    <row r="417" spans="4:10" x14ac:dyDescent="0.25">
      <c r="D417" s="325" t="s">
        <v>363</v>
      </c>
      <c r="E417" s="325" t="s">
        <v>2018</v>
      </c>
      <c r="F417" s="2545" t="s">
        <v>3154</v>
      </c>
      <c r="G417" s="2543">
        <v>4369.8999999999996</v>
      </c>
      <c r="H417" s="325" t="s">
        <v>3624</v>
      </c>
      <c r="I417" s="325" t="s">
        <v>3633</v>
      </c>
      <c r="J417" s="2539" t="s">
        <v>3663</v>
      </c>
    </row>
    <row r="418" spans="4:10" x14ac:dyDescent="0.25">
      <c r="D418" s="325" t="s">
        <v>959</v>
      </c>
      <c r="E418" s="325" t="s">
        <v>1277</v>
      </c>
      <c r="F418" s="2545" t="s">
        <v>3108</v>
      </c>
      <c r="G418" s="2543">
        <v>-4369.8999999999996</v>
      </c>
      <c r="I418" s="325" t="s">
        <v>3633</v>
      </c>
      <c r="J418" s="2539"/>
    </row>
    <row r="419" spans="4:10" x14ac:dyDescent="0.25">
      <c r="J419" s="2539"/>
    </row>
    <row r="420" spans="4:10" x14ac:dyDescent="0.25">
      <c r="F420" s="2545" t="s">
        <v>3171</v>
      </c>
      <c r="G420" s="2543">
        <v>1823.64</v>
      </c>
      <c r="H420" s="325" t="s">
        <v>3624</v>
      </c>
      <c r="I420" s="325" t="s">
        <v>3633</v>
      </c>
      <c r="J420" s="2539" t="s">
        <v>3641</v>
      </c>
    </row>
    <row r="421" spans="4:10" x14ac:dyDescent="0.25">
      <c r="F421" s="2545" t="s">
        <v>2264</v>
      </c>
      <c r="G421" s="2543">
        <v>-1823.64</v>
      </c>
      <c r="I421" s="325" t="s">
        <v>3633</v>
      </c>
      <c r="J421" s="2539"/>
    </row>
    <row r="422" spans="4:10" x14ac:dyDescent="0.25">
      <c r="G422" s="1781"/>
      <c r="J422" s="2539"/>
    </row>
    <row r="423" spans="4:10" x14ac:dyDescent="0.25">
      <c r="F423" s="2545" t="s">
        <v>3564</v>
      </c>
      <c r="G423" s="2543">
        <v>41.67</v>
      </c>
      <c r="H423" s="325" t="s">
        <v>3624</v>
      </c>
      <c r="I423" s="325" t="s">
        <v>3633</v>
      </c>
      <c r="J423" s="2539" t="s">
        <v>3676</v>
      </c>
    </row>
    <row r="424" spans="4:10" x14ac:dyDescent="0.25">
      <c r="F424" s="2545" t="s">
        <v>3565</v>
      </c>
      <c r="G424" s="2543">
        <v>3</v>
      </c>
      <c r="I424" s="325" t="s">
        <v>3633</v>
      </c>
      <c r="J424" s="2539"/>
    </row>
    <row r="425" spans="4:10" x14ac:dyDescent="0.25">
      <c r="D425" s="325" t="s">
        <v>752</v>
      </c>
      <c r="E425" s="325" t="s">
        <v>3500</v>
      </c>
      <c r="F425" s="2545" t="s">
        <v>2170</v>
      </c>
      <c r="G425" s="2543">
        <v>-44.67</v>
      </c>
      <c r="I425" s="325" t="s">
        <v>3633</v>
      </c>
      <c r="J425" s="2539"/>
    </row>
    <row r="426" spans="4:10" x14ac:dyDescent="0.25">
      <c r="G426" s="1781"/>
      <c r="J426" s="2539"/>
    </row>
    <row r="427" spans="4:10" x14ac:dyDescent="0.25">
      <c r="D427" s="325" t="s">
        <v>763</v>
      </c>
      <c r="E427" s="325" t="s">
        <v>2754</v>
      </c>
      <c r="F427" s="2545" t="s">
        <v>2213</v>
      </c>
      <c r="G427" s="2543">
        <v>8844.35</v>
      </c>
      <c r="H427" s="325" t="s">
        <v>3624</v>
      </c>
      <c r="I427" s="325" t="s">
        <v>3633</v>
      </c>
      <c r="J427" s="2539" t="s">
        <v>3677</v>
      </c>
    </row>
    <row r="428" spans="4:10" x14ac:dyDescent="0.25">
      <c r="F428" s="2545" t="s">
        <v>3573</v>
      </c>
      <c r="G428" s="2543">
        <v>-8844.35</v>
      </c>
      <c r="I428" s="325" t="s">
        <v>3633</v>
      </c>
      <c r="J428" s="2539"/>
    </row>
    <row r="429" spans="4:10" x14ac:dyDescent="0.25">
      <c r="G429" s="1781"/>
      <c r="J429" s="2539"/>
    </row>
    <row r="430" spans="4:10" x14ac:dyDescent="0.25">
      <c r="D430" s="325" t="s">
        <v>763</v>
      </c>
      <c r="E430" s="325" t="s">
        <v>2754</v>
      </c>
      <c r="F430" s="2545" t="s">
        <v>2213</v>
      </c>
      <c r="G430" s="2543">
        <v>2667</v>
      </c>
      <c r="H430" s="325" t="s">
        <v>3624</v>
      </c>
      <c r="I430" s="325" t="s">
        <v>3633</v>
      </c>
      <c r="J430" s="2539" t="s">
        <v>3678</v>
      </c>
    </row>
    <row r="431" spans="4:10" x14ac:dyDescent="0.25">
      <c r="F431" s="2545" t="s">
        <v>3698</v>
      </c>
      <c r="G431" s="2543">
        <v>-2667</v>
      </c>
      <c r="I431" s="325" t="s">
        <v>3633</v>
      </c>
      <c r="J431" s="2539"/>
    </row>
    <row r="432" spans="4:10" x14ac:dyDescent="0.25">
      <c r="G432" s="1781"/>
      <c r="J432" s="2539"/>
    </row>
    <row r="433" spans="4:10" x14ac:dyDescent="0.25">
      <c r="F433" s="2545" t="s">
        <v>3171</v>
      </c>
      <c r="G433" s="2543">
        <v>1048</v>
      </c>
      <c r="H433" s="325" t="s">
        <v>3624</v>
      </c>
      <c r="I433" s="325" t="s">
        <v>3633</v>
      </c>
      <c r="J433" s="2539" t="s">
        <v>3679</v>
      </c>
    </row>
    <row r="434" spans="4:10" x14ac:dyDescent="0.25">
      <c r="F434" s="2545" t="s">
        <v>2264</v>
      </c>
      <c r="G434" s="2543">
        <v>-1048</v>
      </c>
      <c r="I434" s="325" t="s">
        <v>3633</v>
      </c>
      <c r="J434" s="2539"/>
    </row>
    <row r="435" spans="4:10" x14ac:dyDescent="0.25">
      <c r="J435" s="2539"/>
    </row>
    <row r="436" spans="4:10" x14ac:dyDescent="0.25">
      <c r="F436" s="2545" t="s">
        <v>3171</v>
      </c>
      <c r="G436" s="2543">
        <v>89083</v>
      </c>
      <c r="H436" s="325" t="s">
        <v>3624</v>
      </c>
      <c r="I436" s="325" t="s">
        <v>3633</v>
      </c>
      <c r="J436" s="2539" t="s">
        <v>3697</v>
      </c>
    </row>
    <row r="437" spans="4:10" x14ac:dyDescent="0.25">
      <c r="F437" s="2545" t="s">
        <v>3564</v>
      </c>
      <c r="G437" s="2543">
        <v>-386</v>
      </c>
      <c r="I437" s="325" t="s">
        <v>3633</v>
      </c>
      <c r="J437" s="2539"/>
    </row>
    <row r="438" spans="4:10" x14ac:dyDescent="0.25">
      <c r="F438" s="2545" t="s">
        <v>3054</v>
      </c>
      <c r="G438" s="2543">
        <v>-52386</v>
      </c>
      <c r="I438" s="325" t="s">
        <v>3633</v>
      </c>
      <c r="J438" s="2539"/>
    </row>
    <row r="439" spans="4:10" x14ac:dyDescent="0.25">
      <c r="F439" s="2545" t="s">
        <v>2258</v>
      </c>
      <c r="G439" s="2543">
        <v>-6852</v>
      </c>
      <c r="I439" s="325" t="s">
        <v>3633</v>
      </c>
      <c r="J439" s="2539"/>
    </row>
    <row r="440" spans="4:10" x14ac:dyDescent="0.25">
      <c r="F440" s="2545" t="s">
        <v>3076</v>
      </c>
      <c r="G440" s="2543">
        <v>-25781</v>
      </c>
      <c r="I440" s="325" t="s">
        <v>3633</v>
      </c>
      <c r="J440" s="2539"/>
    </row>
    <row r="441" spans="4:10" x14ac:dyDescent="0.25">
      <c r="F441" s="2545" t="s">
        <v>3565</v>
      </c>
      <c r="G441" s="2543">
        <v>-358</v>
      </c>
      <c r="I441" s="325" t="s">
        <v>3633</v>
      </c>
      <c r="J441" s="2539"/>
    </row>
    <row r="442" spans="4:10" x14ac:dyDescent="0.25">
      <c r="F442" s="2545" t="s">
        <v>2133</v>
      </c>
      <c r="G442" s="2543">
        <v>-2390</v>
      </c>
      <c r="I442" s="325" t="s">
        <v>3633</v>
      </c>
      <c r="J442" s="2539"/>
    </row>
    <row r="443" spans="4:10" x14ac:dyDescent="0.25">
      <c r="F443" s="2545" t="s">
        <v>3566</v>
      </c>
      <c r="G443" s="2543">
        <v>-28</v>
      </c>
      <c r="I443" s="325" t="s">
        <v>3633</v>
      </c>
      <c r="J443" s="2539"/>
    </row>
    <row r="444" spans="4:10" x14ac:dyDescent="0.25">
      <c r="F444" s="2545" t="s">
        <v>3062</v>
      </c>
      <c r="G444" s="2543">
        <v>-669</v>
      </c>
      <c r="I444" s="325" t="s">
        <v>3633</v>
      </c>
      <c r="J444" s="2539"/>
    </row>
    <row r="445" spans="4:10" x14ac:dyDescent="0.25">
      <c r="F445" s="2545" t="s">
        <v>3567</v>
      </c>
      <c r="G445" s="2543">
        <v>-118</v>
      </c>
      <c r="I445" s="325" t="s">
        <v>3633</v>
      </c>
      <c r="J445" s="2539"/>
    </row>
    <row r="446" spans="4:10" x14ac:dyDescent="0.25">
      <c r="F446" s="2545" t="s">
        <v>3568</v>
      </c>
      <c r="G446" s="2543">
        <v>-115</v>
      </c>
      <c r="I446" s="325" t="s">
        <v>3633</v>
      </c>
      <c r="J446" s="2539"/>
    </row>
    <row r="447" spans="4:10" x14ac:dyDescent="0.25">
      <c r="J447" s="2539"/>
    </row>
    <row r="448" spans="4:10" x14ac:dyDescent="0.25">
      <c r="D448" s="325" t="s">
        <v>363</v>
      </c>
      <c r="E448" s="325" t="s">
        <v>2018</v>
      </c>
      <c r="F448" s="2545" t="s">
        <v>3608</v>
      </c>
      <c r="G448" s="2543">
        <v>264829.94</v>
      </c>
      <c r="H448" s="325" t="s">
        <v>3624</v>
      </c>
      <c r="I448" s="325" t="s">
        <v>3633</v>
      </c>
      <c r="J448" s="2539" t="s">
        <v>3700</v>
      </c>
    </row>
    <row r="449" spans="4:10" x14ac:dyDescent="0.25">
      <c r="D449" s="325" t="s">
        <v>363</v>
      </c>
      <c r="E449" s="325" t="s">
        <v>2018</v>
      </c>
      <c r="F449" s="2545" t="s">
        <v>3699</v>
      </c>
      <c r="G449" s="2543">
        <v>293.18</v>
      </c>
      <c r="I449" s="325" t="s">
        <v>3633</v>
      </c>
      <c r="J449" s="2539"/>
    </row>
    <row r="450" spans="4:10" x14ac:dyDescent="0.25">
      <c r="D450" s="325" t="s">
        <v>363</v>
      </c>
      <c r="E450" s="325" t="s">
        <v>2018</v>
      </c>
      <c r="F450" s="2545" t="s">
        <v>3154</v>
      </c>
      <c r="G450" s="2543">
        <v>-265123.12</v>
      </c>
      <c r="I450" s="325" t="s">
        <v>3633</v>
      </c>
      <c r="J450" s="2539"/>
    </row>
    <row r="451" spans="4:10" x14ac:dyDescent="0.25">
      <c r="J451" s="2539"/>
    </row>
    <row r="452" spans="4:10" x14ac:dyDescent="0.25">
      <c r="D452" s="325" t="s">
        <v>747</v>
      </c>
      <c r="E452" s="325" t="s">
        <v>3612</v>
      </c>
      <c r="F452" s="2545" t="s">
        <v>3701</v>
      </c>
      <c r="G452" s="2543">
        <v>15783541.9</v>
      </c>
      <c r="H452" s="325" t="s">
        <v>3624</v>
      </c>
      <c r="I452" s="325" t="s">
        <v>3633</v>
      </c>
      <c r="J452" s="2539" t="s">
        <v>3707</v>
      </c>
    </row>
    <row r="453" spans="4:10" x14ac:dyDescent="0.25">
      <c r="D453" s="325" t="s">
        <v>747</v>
      </c>
      <c r="E453" s="325" t="s">
        <v>3612</v>
      </c>
      <c r="F453" s="2545" t="s">
        <v>3702</v>
      </c>
      <c r="G453" s="2543">
        <v>472443.85</v>
      </c>
      <c r="I453" s="325" t="s">
        <v>3633</v>
      </c>
      <c r="J453" s="2539"/>
    </row>
    <row r="454" spans="4:10" x14ac:dyDescent="0.25">
      <c r="D454" s="325" t="s">
        <v>747</v>
      </c>
      <c r="E454" s="325" t="s">
        <v>3612</v>
      </c>
      <c r="F454" s="2545" t="s">
        <v>3703</v>
      </c>
      <c r="G454" s="2543">
        <v>295724.71999999997</v>
      </c>
      <c r="I454" s="325" t="s">
        <v>3633</v>
      </c>
      <c r="J454" s="2539"/>
    </row>
    <row r="455" spans="4:10" x14ac:dyDescent="0.25">
      <c r="D455" s="325" t="s">
        <v>763</v>
      </c>
      <c r="E455" s="325" t="s">
        <v>3503</v>
      </c>
      <c r="F455" s="2545" t="s">
        <v>3704</v>
      </c>
      <c r="G455" s="2543">
        <v>-1964623.28</v>
      </c>
      <c r="I455" s="325" t="s">
        <v>3633</v>
      </c>
      <c r="J455" s="2539"/>
    </row>
    <row r="456" spans="4:10" x14ac:dyDescent="0.25">
      <c r="D456" s="325" t="s">
        <v>763</v>
      </c>
      <c r="E456" s="325" t="s">
        <v>3503</v>
      </c>
      <c r="F456" s="2545" t="s">
        <v>3705</v>
      </c>
      <c r="G456" s="2543">
        <v>-2413225.7400000002</v>
      </c>
      <c r="I456" s="325" t="s">
        <v>3633</v>
      </c>
      <c r="J456" s="2539"/>
    </row>
    <row r="457" spans="4:10" x14ac:dyDescent="0.25">
      <c r="D457" s="325" t="s">
        <v>763</v>
      </c>
      <c r="E457" s="325" t="s">
        <v>3503</v>
      </c>
      <c r="F457" s="2545" t="s">
        <v>3706</v>
      </c>
      <c r="G457" s="2543">
        <v>-12160142.220000001</v>
      </c>
      <c r="I457" s="325" t="s">
        <v>3633</v>
      </c>
      <c r="J457" s="2539"/>
    </row>
    <row r="458" spans="4:10" x14ac:dyDescent="0.25">
      <c r="D458" s="325" t="s">
        <v>763</v>
      </c>
      <c r="E458" s="325" t="s">
        <v>3503</v>
      </c>
      <c r="F458" s="2545" t="s">
        <v>3061</v>
      </c>
      <c r="G458" s="2543">
        <v>-13719.23</v>
      </c>
      <c r="H458" s="1777" t="s">
        <v>3614</v>
      </c>
      <c r="I458" s="325" t="s">
        <v>3633</v>
      </c>
      <c r="J458" s="2539"/>
    </row>
    <row r="459" spans="4:10" x14ac:dyDescent="0.25">
      <c r="G459" s="1781"/>
      <c r="H459" s="1777"/>
      <c r="J459" s="2539"/>
    </row>
    <row r="460" spans="4:10" x14ac:dyDescent="0.25">
      <c r="D460" s="325" t="s">
        <v>752</v>
      </c>
      <c r="E460" s="325" t="s">
        <v>3500</v>
      </c>
      <c r="F460" s="2545" t="s">
        <v>2170</v>
      </c>
      <c r="G460" s="2543">
        <v>6929755.5199999996</v>
      </c>
      <c r="H460" s="325" t="s">
        <v>3624</v>
      </c>
      <c r="I460" s="325" t="s">
        <v>3633</v>
      </c>
      <c r="J460" s="2539" t="s">
        <v>3689</v>
      </c>
    </row>
    <row r="461" spans="4:10" x14ac:dyDescent="0.25">
      <c r="D461" s="325" t="s">
        <v>743</v>
      </c>
      <c r="E461" s="325" t="s">
        <v>1513</v>
      </c>
      <c r="F461" s="2545" t="s">
        <v>3059</v>
      </c>
      <c r="G461" s="2543">
        <v>-6929755.5199999996</v>
      </c>
      <c r="I461" s="325" t="s">
        <v>3633</v>
      </c>
      <c r="J461" s="2539"/>
    </row>
    <row r="462" spans="4:10" x14ac:dyDescent="0.25">
      <c r="J462" s="2539"/>
    </row>
    <row r="463" spans="4:10" x14ac:dyDescent="0.25">
      <c r="F463" s="2499" t="s">
        <v>3620</v>
      </c>
      <c r="G463" s="2533"/>
      <c r="H463" s="325" t="s">
        <v>3621</v>
      </c>
      <c r="J463" s="2539"/>
    </row>
    <row r="464" spans="4:10" x14ac:dyDescent="0.25">
      <c r="F464" s="2499" t="s">
        <v>3575</v>
      </c>
      <c r="G464" s="2533"/>
      <c r="J464" s="2539"/>
    </row>
    <row r="465" spans="4:10" x14ac:dyDescent="0.25">
      <c r="J465" s="2539"/>
    </row>
    <row r="466" spans="4:10" x14ac:dyDescent="0.25">
      <c r="D466" s="325" t="s">
        <v>748</v>
      </c>
      <c r="E466" s="325" t="s">
        <v>1004</v>
      </c>
      <c r="F466" s="2545" t="s">
        <v>2743</v>
      </c>
      <c r="G466" s="2543">
        <v>2916207.332045557</v>
      </c>
      <c r="H466" s="325" t="s">
        <v>3624</v>
      </c>
      <c r="I466" s="325" t="s">
        <v>3634</v>
      </c>
      <c r="J466" s="2539" t="s">
        <v>3690</v>
      </c>
    </row>
    <row r="467" spans="4:10" x14ac:dyDescent="0.25">
      <c r="D467" s="325" t="s">
        <v>508</v>
      </c>
      <c r="E467" s="325" t="s">
        <v>3618</v>
      </c>
      <c r="F467" s="2545" t="s">
        <v>3618</v>
      </c>
      <c r="G467" s="2543">
        <v>-2916207.332045557</v>
      </c>
      <c r="I467" s="325" t="s">
        <v>3634</v>
      </c>
      <c r="J467" s="2539"/>
    </row>
    <row r="468" spans="4:10" x14ac:dyDescent="0.25">
      <c r="J468" s="2539"/>
    </row>
    <row r="469" spans="4:10" x14ac:dyDescent="0.25">
      <c r="D469" s="325" t="s">
        <v>748</v>
      </c>
      <c r="E469" s="325" t="s">
        <v>1004</v>
      </c>
      <c r="F469" s="2545" t="s">
        <v>2743</v>
      </c>
      <c r="G469" s="2543">
        <v>605978.1</v>
      </c>
      <c r="H469" s="325" t="s">
        <v>3624</v>
      </c>
      <c r="I469" s="325" t="s">
        <v>3634</v>
      </c>
      <c r="J469" s="2539" t="s">
        <v>3691</v>
      </c>
    </row>
    <row r="470" spans="4:10" x14ac:dyDescent="0.25">
      <c r="D470" s="325" t="s">
        <v>747</v>
      </c>
      <c r="E470" s="325" t="s">
        <v>746</v>
      </c>
      <c r="F470" s="2545" t="s">
        <v>3113</v>
      </c>
      <c r="G470" s="2543">
        <f>-G469</f>
        <v>-605978.1</v>
      </c>
      <c r="I470" s="325" t="s">
        <v>3634</v>
      </c>
      <c r="J470" s="2539"/>
    </row>
    <row r="471" spans="4:10" x14ac:dyDescent="0.25">
      <c r="J471" s="2539"/>
    </row>
    <row r="472" spans="4:10" x14ac:dyDescent="0.25">
      <c r="D472" s="325" t="s">
        <v>763</v>
      </c>
      <c r="E472" s="325" t="s">
        <v>234</v>
      </c>
      <c r="F472" s="2545" t="s">
        <v>2418</v>
      </c>
      <c r="G472" s="2543">
        <v>41316.164383561598</v>
      </c>
      <c r="H472" s="325" t="s">
        <v>3624</v>
      </c>
      <c r="I472" s="325" t="s">
        <v>3633</v>
      </c>
      <c r="J472" s="2539" t="s">
        <v>3692</v>
      </c>
    </row>
    <row r="473" spans="4:10" x14ac:dyDescent="0.25">
      <c r="D473" s="325" t="s">
        <v>363</v>
      </c>
      <c r="E473" s="325" t="s">
        <v>2015</v>
      </c>
      <c r="F473" s="2545" t="s">
        <v>2641</v>
      </c>
      <c r="G473" s="2551">
        <f>-G472</f>
        <v>-41316.164383561598</v>
      </c>
      <c r="I473" s="325" t="s">
        <v>3633</v>
      </c>
      <c r="J473" s="2539"/>
    </row>
    <row r="474" spans="4:10" x14ac:dyDescent="0.25">
      <c r="J474" s="2539"/>
    </row>
    <row r="475" spans="4:10" x14ac:dyDescent="0.25">
      <c r="D475" s="325" t="s">
        <v>997</v>
      </c>
      <c r="E475" s="325" t="s">
        <v>1033</v>
      </c>
      <c r="F475" s="2499" t="s">
        <v>2361</v>
      </c>
      <c r="G475" s="2533">
        <v>316630</v>
      </c>
      <c r="H475" s="325" t="s">
        <v>3624</v>
      </c>
      <c r="I475" s="325" t="s">
        <v>3634</v>
      </c>
      <c r="J475" s="2539" t="s">
        <v>3680</v>
      </c>
    </row>
    <row r="476" spans="4:10" x14ac:dyDescent="0.25">
      <c r="D476" s="325" t="s">
        <v>959</v>
      </c>
      <c r="E476" s="325" t="s">
        <v>1272</v>
      </c>
      <c r="F476" s="2499" t="s">
        <v>3629</v>
      </c>
      <c r="G476" s="2533">
        <v>-316630</v>
      </c>
      <c r="I476" s="325" t="s">
        <v>3634</v>
      </c>
      <c r="J476" s="2539"/>
    </row>
    <row r="477" spans="4:10" x14ac:dyDescent="0.25">
      <c r="F477" s="2499"/>
      <c r="G477" s="2499"/>
      <c r="J477" s="2539"/>
    </row>
    <row r="478" spans="4:10" x14ac:dyDescent="0.25">
      <c r="D478" s="325" t="s">
        <v>959</v>
      </c>
      <c r="E478" s="325" t="s">
        <v>1272</v>
      </c>
      <c r="F478" s="2499" t="s">
        <v>3629</v>
      </c>
      <c r="G478" s="2533">
        <v>4788</v>
      </c>
      <c r="H478" s="325" t="s">
        <v>3624</v>
      </c>
      <c r="I478" s="325" t="s">
        <v>3634</v>
      </c>
      <c r="J478" s="2539" t="s">
        <v>3680</v>
      </c>
    </row>
    <row r="479" spans="4:10" x14ac:dyDescent="0.25">
      <c r="D479" s="325" t="s">
        <v>752</v>
      </c>
      <c r="E479" s="325" t="s">
        <v>3500</v>
      </c>
      <c r="F479" s="2499" t="s">
        <v>2170</v>
      </c>
      <c r="G479" s="2533">
        <v>-4788</v>
      </c>
      <c r="I479" s="325" t="s">
        <v>3634</v>
      </c>
      <c r="J479" s="2539"/>
    </row>
    <row r="480" spans="4:10" x14ac:dyDescent="0.25">
      <c r="F480" s="2499"/>
      <c r="G480" s="2499"/>
      <c r="J480" s="2539"/>
    </row>
    <row r="481" spans="4:10" x14ac:dyDescent="0.25">
      <c r="D481" s="325" t="s">
        <v>763</v>
      </c>
      <c r="E481" s="325" t="s">
        <v>1272</v>
      </c>
      <c r="F481" s="2499" t="s">
        <v>3629</v>
      </c>
      <c r="G481" s="2533">
        <v>62932.92</v>
      </c>
      <c r="H481" s="325" t="s">
        <v>3624</v>
      </c>
      <c r="I481" s="325" t="s">
        <v>3634</v>
      </c>
      <c r="J481" s="2539" t="s">
        <v>3681</v>
      </c>
    </row>
    <row r="482" spans="4:10" x14ac:dyDescent="0.25">
      <c r="D482" s="325" t="s">
        <v>363</v>
      </c>
      <c r="E482" s="325" t="s">
        <v>2015</v>
      </c>
      <c r="F482" s="2499" t="s">
        <v>2638</v>
      </c>
      <c r="G482" s="2533">
        <v>-62932.92</v>
      </c>
      <c r="I482" s="325" t="s">
        <v>3634</v>
      </c>
      <c r="J482" s="2539"/>
    </row>
    <row r="483" spans="4:10" x14ac:dyDescent="0.25">
      <c r="J483" s="2539"/>
    </row>
    <row r="484" spans="4:10" x14ac:dyDescent="0.25">
      <c r="D484" s="325" t="s">
        <v>1520</v>
      </c>
      <c r="E484" s="325" t="s">
        <v>1523</v>
      </c>
      <c r="F484" s="2545" t="s">
        <v>2312</v>
      </c>
      <c r="G484" s="2543">
        <v>4684260</v>
      </c>
      <c r="H484" s="325" t="s">
        <v>3624</v>
      </c>
      <c r="I484" s="325" t="s">
        <v>3633</v>
      </c>
      <c r="J484" s="2539" t="s">
        <v>3693</v>
      </c>
    </row>
    <row r="485" spans="4:10" x14ac:dyDescent="0.25">
      <c r="D485" s="325" t="s">
        <v>752</v>
      </c>
      <c r="E485" s="325" t="s">
        <v>42</v>
      </c>
      <c r="F485" s="2545" t="s">
        <v>2420</v>
      </c>
      <c r="G485" s="2543">
        <v>-4684260</v>
      </c>
      <c r="I485" s="325" t="s">
        <v>3633</v>
      </c>
      <c r="J485" s="2539"/>
    </row>
    <row r="486" spans="4:10" x14ac:dyDescent="0.25">
      <c r="J486" s="2539"/>
    </row>
    <row r="487" spans="4:10" x14ac:dyDescent="0.25">
      <c r="D487" s="325" t="s">
        <v>959</v>
      </c>
      <c r="E487" s="325" t="s">
        <v>1277</v>
      </c>
      <c r="F487" s="2545" t="s">
        <v>2667</v>
      </c>
      <c r="G487" s="2543">
        <v>4783380.82</v>
      </c>
      <c r="H487" s="325" t="s">
        <v>3624</v>
      </c>
      <c r="I487" s="325" t="s">
        <v>3634</v>
      </c>
      <c r="J487" s="2539" t="s">
        <v>3694</v>
      </c>
    </row>
    <row r="488" spans="4:10" x14ac:dyDescent="0.25">
      <c r="D488" s="325" t="s">
        <v>959</v>
      </c>
      <c r="E488" s="325" t="s">
        <v>1277</v>
      </c>
      <c r="F488" s="2545" t="s">
        <v>3630</v>
      </c>
      <c r="G488" s="2543">
        <v>-4783380.82</v>
      </c>
      <c r="I488" s="325" t="s">
        <v>3634</v>
      </c>
      <c r="J488" s="2539"/>
    </row>
    <row r="489" spans="4:10" x14ac:dyDescent="0.25">
      <c r="J489" s="2539"/>
    </row>
    <row r="490" spans="4:10" x14ac:dyDescent="0.25">
      <c r="D490" s="325" t="s">
        <v>959</v>
      </c>
      <c r="E490" s="325" t="s">
        <v>1277</v>
      </c>
      <c r="F490" s="2545" t="s">
        <v>3631</v>
      </c>
      <c r="G490" s="2543">
        <v>4783380.82</v>
      </c>
      <c r="H490" s="325" t="s">
        <v>3624</v>
      </c>
      <c r="I490" s="325" t="s">
        <v>3633</v>
      </c>
      <c r="J490" s="2539" t="s">
        <v>3694</v>
      </c>
    </row>
    <row r="491" spans="4:10" x14ac:dyDescent="0.25">
      <c r="D491" s="325" t="s">
        <v>959</v>
      </c>
      <c r="E491" s="325" t="s">
        <v>1277</v>
      </c>
      <c r="F491" s="2545" t="s">
        <v>2667</v>
      </c>
      <c r="G491" s="2543">
        <v>-4783380.82</v>
      </c>
      <c r="I491" s="325" t="s">
        <v>3633</v>
      </c>
      <c r="J491" s="2539"/>
    </row>
    <row r="492" spans="4:10" x14ac:dyDescent="0.25">
      <c r="J492" s="2539"/>
    </row>
    <row r="493" spans="4:10" x14ac:dyDescent="0.25">
      <c r="F493" s="2545" t="s">
        <v>3575</v>
      </c>
      <c r="G493" s="2543">
        <v>126084.395532</v>
      </c>
      <c r="H493" s="325" t="s">
        <v>3624</v>
      </c>
      <c r="I493" s="325" t="s">
        <v>3633</v>
      </c>
      <c r="J493" s="2539" t="s">
        <v>3695</v>
      </c>
    </row>
    <row r="494" spans="4:10" x14ac:dyDescent="0.25">
      <c r="F494" s="2545" t="s">
        <v>3617</v>
      </c>
      <c r="G494" s="2543">
        <v>-126084.395532</v>
      </c>
      <c r="I494" s="325" t="s">
        <v>3633</v>
      </c>
      <c r="J494" s="2539"/>
    </row>
    <row r="495" spans="4:10" x14ac:dyDescent="0.25">
      <c r="J495" s="2539"/>
    </row>
    <row r="496" spans="4:10" x14ac:dyDescent="0.25">
      <c r="F496" s="325" t="s">
        <v>3073</v>
      </c>
      <c r="G496" s="1777">
        <v>0</v>
      </c>
      <c r="I496" s="325" t="s">
        <v>3633</v>
      </c>
      <c r="J496" s="2539" t="s">
        <v>3696</v>
      </c>
    </row>
    <row r="497" spans="4:10" x14ac:dyDescent="0.25">
      <c r="F497" s="325" t="s">
        <v>3095</v>
      </c>
      <c r="G497" s="1777">
        <f>-G496</f>
        <v>0</v>
      </c>
      <c r="I497" s="325" t="s">
        <v>3633</v>
      </c>
      <c r="J497" s="2539"/>
    </row>
    <row r="498" spans="4:10" x14ac:dyDescent="0.25">
      <c r="J498" s="2539"/>
    </row>
    <row r="499" spans="4:10" x14ac:dyDescent="0.25">
      <c r="D499" s="325" t="s">
        <v>763</v>
      </c>
      <c r="E499" s="325" t="s">
        <v>3503</v>
      </c>
      <c r="F499" s="2545" t="s">
        <v>3706</v>
      </c>
      <c r="G499" s="2543">
        <v>57377.56</v>
      </c>
      <c r="I499" s="325" t="s">
        <v>3633</v>
      </c>
      <c r="J499" s="2539"/>
    </row>
    <row r="500" spans="4:10" x14ac:dyDescent="0.25">
      <c r="E500" s="325" t="s">
        <v>3723</v>
      </c>
      <c r="F500" s="2545" t="s">
        <v>3708</v>
      </c>
      <c r="G500" s="2543">
        <f>-G499</f>
        <v>-57377.56</v>
      </c>
      <c r="I500" s="325" t="s">
        <v>3633</v>
      </c>
    </row>
    <row r="502" spans="4:10" x14ac:dyDescent="0.25">
      <c r="D502" s="325" t="s">
        <v>763</v>
      </c>
      <c r="E502" s="325" t="s">
        <v>235</v>
      </c>
      <c r="F502" s="325" t="s">
        <v>2337</v>
      </c>
      <c r="G502" s="1777">
        <v>677690</v>
      </c>
      <c r="I502" s="325" t="s">
        <v>3633</v>
      </c>
      <c r="J502" s="2539" t="s">
        <v>3709</v>
      </c>
    </row>
    <row r="503" spans="4:10" x14ac:dyDescent="0.25">
      <c r="D503" s="325" t="s">
        <v>508</v>
      </c>
      <c r="E503" s="325" t="s">
        <v>1303</v>
      </c>
      <c r="F503" s="325" t="s">
        <v>3066</v>
      </c>
      <c r="G503" s="1777">
        <v>-677690</v>
      </c>
      <c r="I503" s="325" t="s">
        <v>3633</v>
      </c>
    </row>
    <row r="505" spans="4:10" x14ac:dyDescent="0.25">
      <c r="D505" s="325" t="e">
        <f ca="1">+_xlfn.XLOOKUP(F505,'TB Grouping'!D:D,'TB Grouping'!G:G)</f>
        <v>#NAME?</v>
      </c>
      <c r="E505" s="325" t="e">
        <f ca="1">+_xlfn.XLOOKUP(F505,'TB Grouping'!D:D,'TB Grouping'!H:H)</f>
        <v>#NAME?</v>
      </c>
      <c r="F505" s="325" t="s">
        <v>2303</v>
      </c>
      <c r="G505" s="1777">
        <v>586241.13</v>
      </c>
      <c r="I505" s="325" t="s">
        <v>3633</v>
      </c>
    </row>
    <row r="506" spans="4:10" x14ac:dyDescent="0.25">
      <c r="D506" s="325" t="e">
        <f ca="1">+_xlfn.XLOOKUP(F506,'TB Grouping'!D:D,'TB Grouping'!G:G)</f>
        <v>#NAME?</v>
      </c>
      <c r="E506" s="325" t="e">
        <f ca="1">+_xlfn.XLOOKUP(F506,'TB Grouping'!D:D,'TB Grouping'!H:H)</f>
        <v>#NAME?</v>
      </c>
      <c r="F506" s="325" t="s">
        <v>2305</v>
      </c>
      <c r="G506" s="1777">
        <v>274757.32</v>
      </c>
      <c r="I506" s="325" t="s">
        <v>3633</v>
      </c>
    </row>
    <row r="507" spans="4:10" x14ac:dyDescent="0.25">
      <c r="D507" s="325" t="e">
        <f ca="1">+_xlfn.XLOOKUP(F507,'TB Grouping'!D:D,'TB Grouping'!G:G)</f>
        <v>#NAME?</v>
      </c>
      <c r="E507" s="325" t="e">
        <f ca="1">+_xlfn.XLOOKUP(F507,'TB Grouping'!D:D,'TB Grouping'!H:H)</f>
        <v>#NAME?</v>
      </c>
      <c r="F507" s="325" t="s">
        <v>2842</v>
      </c>
      <c r="G507" s="1777">
        <v>15804108</v>
      </c>
      <c r="I507" s="325" t="s">
        <v>3633</v>
      </c>
    </row>
    <row r="508" spans="4:10" x14ac:dyDescent="0.25">
      <c r="D508" s="325" t="e">
        <f ca="1">+_xlfn.XLOOKUP(F508,'TB Grouping'!D:D,'TB Grouping'!G:G)</f>
        <v>#NAME?</v>
      </c>
      <c r="E508" s="325" t="e">
        <f ca="1">+_xlfn.XLOOKUP(F508,'TB Grouping'!D:D,'TB Grouping'!H:H)</f>
        <v>#NAME?</v>
      </c>
      <c r="F508" s="325" t="s">
        <v>2744</v>
      </c>
      <c r="G508" s="1777">
        <v>46312.86</v>
      </c>
      <c r="I508" s="325" t="s">
        <v>3633</v>
      </c>
    </row>
    <row r="509" spans="4:10" x14ac:dyDescent="0.25">
      <c r="D509" s="325" t="e">
        <f ca="1">+_xlfn.XLOOKUP(F509,'TB Grouping'!D:D,'TB Grouping'!G:G)</f>
        <v>#NAME?</v>
      </c>
      <c r="E509" s="325" t="e">
        <f ca="1">+_xlfn.XLOOKUP(F509,'TB Grouping'!D:D,'TB Grouping'!H:H)</f>
        <v>#NAME?</v>
      </c>
      <c r="F509" s="325" t="s">
        <v>2839</v>
      </c>
      <c r="G509" s="1777">
        <v>593188.43000000005</v>
      </c>
      <c r="I509" s="325" t="s">
        <v>3633</v>
      </c>
    </row>
    <row r="510" spans="4:10" x14ac:dyDescent="0.25">
      <c r="D510" s="325" t="e">
        <f ca="1">+_xlfn.XLOOKUP(F510,'TB Grouping'!D:D,'TB Grouping'!G:G)</f>
        <v>#NAME?</v>
      </c>
      <c r="E510" s="325" t="e">
        <f ca="1">+_xlfn.XLOOKUP(F510,'TB Grouping'!D:D,'TB Grouping'!H:H)</f>
        <v>#NAME?</v>
      </c>
      <c r="F510" s="325" t="s">
        <v>2786</v>
      </c>
      <c r="G510" s="1777">
        <v>109691.02</v>
      </c>
      <c r="I510" s="325" t="s">
        <v>3633</v>
      </c>
    </row>
    <row r="511" spans="4:10" x14ac:dyDescent="0.25">
      <c r="D511" s="325" t="e">
        <f ca="1">+_xlfn.XLOOKUP(F511,'TB Grouping'!D:D,'TB Grouping'!G:G)</f>
        <v>#NAME?</v>
      </c>
      <c r="E511" s="325" t="e">
        <f ca="1">+_xlfn.XLOOKUP(F511,'TB Grouping'!D:D,'TB Grouping'!H:H)</f>
        <v>#NAME?</v>
      </c>
      <c r="F511" s="325" t="s">
        <v>3609</v>
      </c>
      <c r="G511" s="1777">
        <v>-16524819.84</v>
      </c>
      <c r="I511" s="325" t="s">
        <v>3633</v>
      </c>
    </row>
    <row r="512" spans="4:10" x14ac:dyDescent="0.25">
      <c r="D512" s="325" t="e">
        <f ca="1">+_xlfn.XLOOKUP(F512,'TB Grouping'!D:D,'TB Grouping'!G:G)</f>
        <v>#NAME?</v>
      </c>
      <c r="E512" s="325" t="e">
        <f ca="1">+_xlfn.XLOOKUP(F512,'TB Grouping'!D:D,'TB Grouping'!H:H)</f>
        <v>#NAME?</v>
      </c>
      <c r="F512" s="325" t="s">
        <v>3610</v>
      </c>
      <c r="G512" s="1777">
        <v>-543288.98</v>
      </c>
      <c r="I512" s="325" t="s">
        <v>3633</v>
      </c>
    </row>
    <row r="513" spans="4:9" x14ac:dyDescent="0.25">
      <c r="D513" s="325" t="e">
        <f ca="1">+_xlfn.XLOOKUP(F513,'TB Grouping'!D:D,'TB Grouping'!G:G)</f>
        <v>#NAME?</v>
      </c>
      <c r="E513" s="325" t="e">
        <f ca="1">+_xlfn.XLOOKUP(F513,'TB Grouping'!D:D,'TB Grouping'!H:H)</f>
        <v>#NAME?</v>
      </c>
      <c r="F513" s="325" t="s">
        <v>3611</v>
      </c>
      <c r="G513" s="1777">
        <v>-346189.94</v>
      </c>
      <c r="I513" s="325" t="s">
        <v>3633</v>
      </c>
    </row>
    <row r="515" spans="4:9" x14ac:dyDescent="0.25">
      <c r="D515" s="325" t="s">
        <v>763</v>
      </c>
      <c r="E515" s="325" t="s">
        <v>235</v>
      </c>
      <c r="F515" s="325" t="s">
        <v>2653</v>
      </c>
      <c r="G515" s="1777">
        <v>400</v>
      </c>
      <c r="H515" s="325" t="s">
        <v>3633</v>
      </c>
      <c r="I515" s="325" t="s">
        <v>3633</v>
      </c>
    </row>
    <row r="516" spans="4:9" x14ac:dyDescent="0.25">
      <c r="D516" s="325" t="s">
        <v>508</v>
      </c>
      <c r="E516" s="325" t="s">
        <v>1303</v>
      </c>
      <c r="F516" s="325" t="s">
        <v>2656</v>
      </c>
      <c r="G516" s="1777">
        <v>-400</v>
      </c>
      <c r="H516" s="325" t="s">
        <v>3633</v>
      </c>
      <c r="I516" s="325" t="s">
        <v>3633</v>
      </c>
    </row>
    <row r="518" spans="4:9" x14ac:dyDescent="0.25">
      <c r="D518" s="325" t="s">
        <v>508</v>
      </c>
      <c r="E518" s="325" t="s">
        <v>1303</v>
      </c>
      <c r="F518" s="325" t="s">
        <v>2661</v>
      </c>
      <c r="G518" s="1777">
        <v>2123</v>
      </c>
      <c r="I518" s="325" t="s">
        <v>3633</v>
      </c>
    </row>
    <row r="519" spans="4:9" x14ac:dyDescent="0.25">
      <c r="D519" s="325" t="s">
        <v>763</v>
      </c>
      <c r="E519" s="325" t="s">
        <v>235</v>
      </c>
      <c r="F519" s="325" t="s">
        <v>2659</v>
      </c>
      <c r="G519" s="1777">
        <v>-2123</v>
      </c>
      <c r="I519" s="325" t="s">
        <v>3633</v>
      </c>
    </row>
    <row r="521" spans="4:9" x14ac:dyDescent="0.25">
      <c r="D521" s="325" t="s">
        <v>959</v>
      </c>
      <c r="E521" s="325" t="s">
        <v>1277</v>
      </c>
      <c r="F521" s="325" t="s">
        <v>2668</v>
      </c>
      <c r="G521" s="1777">
        <v>736322.8</v>
      </c>
      <c r="I521" s="325" t="s">
        <v>3633</v>
      </c>
    </row>
    <row r="522" spans="4:9" x14ac:dyDescent="0.25">
      <c r="D522" s="325" t="s">
        <v>959</v>
      </c>
      <c r="E522" s="325" t="s">
        <v>1277</v>
      </c>
      <c r="F522" s="325" t="s">
        <v>2912</v>
      </c>
      <c r="G522" s="1777">
        <v>213.71</v>
      </c>
      <c r="I522" s="325" t="s">
        <v>3633</v>
      </c>
    </row>
    <row r="523" spans="4:9" x14ac:dyDescent="0.25">
      <c r="D523" s="325" t="s">
        <v>959</v>
      </c>
      <c r="E523" s="325" t="s">
        <v>1277</v>
      </c>
      <c r="F523" s="325" t="s">
        <v>2922</v>
      </c>
      <c r="G523" s="1777">
        <v>-2218.79</v>
      </c>
      <c r="I523" s="325" t="s">
        <v>3633</v>
      </c>
    </row>
    <row r="524" spans="4:9" x14ac:dyDescent="0.25">
      <c r="D524" s="325" t="s">
        <v>959</v>
      </c>
      <c r="E524" s="325" t="s">
        <v>1277</v>
      </c>
      <c r="F524" s="325" t="s">
        <v>3631</v>
      </c>
      <c r="G524" s="1777">
        <v>-589536</v>
      </c>
      <c r="I524" s="325" t="s">
        <v>3633</v>
      </c>
    </row>
    <row r="525" spans="4:9" x14ac:dyDescent="0.25">
      <c r="F525" s="325" t="s">
        <v>2409</v>
      </c>
      <c r="G525" s="1777">
        <v>-144781.72</v>
      </c>
      <c r="I525" s="325" t="s">
        <v>3633</v>
      </c>
    </row>
    <row r="526" spans="4:9" x14ac:dyDescent="0.25">
      <c r="F526" s="325" t="s">
        <v>3710</v>
      </c>
      <c r="G526" s="1781">
        <f>-27236.84*0</f>
        <v>0</v>
      </c>
      <c r="I526" s="325" t="s">
        <v>3633</v>
      </c>
    </row>
    <row r="528" spans="4:9" x14ac:dyDescent="0.25">
      <c r="D528" s="325" t="s">
        <v>508</v>
      </c>
      <c r="E528" s="325" t="s">
        <v>1303</v>
      </c>
      <c r="F528" s="325" t="s">
        <v>3711</v>
      </c>
      <c r="G528" s="1777">
        <v>400</v>
      </c>
      <c r="I528" s="325" t="s">
        <v>3634</v>
      </c>
    </row>
    <row r="529" spans="4:9" x14ac:dyDescent="0.25">
      <c r="D529" s="325" t="s">
        <v>763</v>
      </c>
      <c r="E529" s="325" t="s">
        <v>235</v>
      </c>
      <c r="F529" s="325" t="s">
        <v>2653</v>
      </c>
      <c r="G529" s="1777">
        <v>-400</v>
      </c>
      <c r="I529" s="325" t="s">
        <v>3634</v>
      </c>
    </row>
    <row r="531" spans="4:9" x14ac:dyDescent="0.25">
      <c r="D531" s="325" t="s">
        <v>763</v>
      </c>
      <c r="E531" s="325" t="s">
        <v>235</v>
      </c>
      <c r="F531" s="325" t="s">
        <v>2659</v>
      </c>
      <c r="G531" s="1777">
        <v>2123</v>
      </c>
      <c r="I531" s="325" t="s">
        <v>3634</v>
      </c>
    </row>
    <row r="532" spans="4:9" x14ac:dyDescent="0.25">
      <c r="D532" s="325" t="s">
        <v>508</v>
      </c>
      <c r="E532" s="325" t="s">
        <v>1303</v>
      </c>
      <c r="F532" s="325" t="s">
        <v>2661</v>
      </c>
      <c r="G532" s="1777">
        <v>-2123</v>
      </c>
      <c r="I532" s="325" t="s">
        <v>3634</v>
      </c>
    </row>
    <row r="534" spans="4:9" x14ac:dyDescent="0.25">
      <c r="D534" s="325" t="s">
        <v>959</v>
      </c>
      <c r="E534" s="325" t="s">
        <v>1277</v>
      </c>
      <c r="F534" s="325" t="s">
        <v>3630</v>
      </c>
      <c r="G534" s="1777">
        <v>589536</v>
      </c>
      <c r="I534" s="325" t="s">
        <v>3634</v>
      </c>
    </row>
    <row r="535" spans="4:9" x14ac:dyDescent="0.25">
      <c r="D535" s="325" t="s">
        <v>959</v>
      </c>
      <c r="E535" s="325" t="s">
        <v>1277</v>
      </c>
      <c r="F535" s="325" t="s">
        <v>2668</v>
      </c>
      <c r="G535" s="1777">
        <v>589536</v>
      </c>
      <c r="I535" s="325" t="s">
        <v>3634</v>
      </c>
    </row>
    <row r="536" spans="4:9" x14ac:dyDescent="0.25">
      <c r="D536" s="325" t="s">
        <v>959</v>
      </c>
      <c r="E536" s="325" t="s">
        <v>1277</v>
      </c>
      <c r="F536" s="325" t="s">
        <v>2668</v>
      </c>
      <c r="G536" s="1777">
        <v>-589536</v>
      </c>
      <c r="I536" s="325" t="s">
        <v>3634</v>
      </c>
    </row>
    <row r="537" spans="4:9" x14ac:dyDescent="0.25">
      <c r="F537" s="325" t="s">
        <v>2409</v>
      </c>
      <c r="G537" s="1777">
        <v>-589536</v>
      </c>
      <c r="I537" s="325" t="s">
        <v>3634</v>
      </c>
    </row>
    <row r="539" spans="4:9" x14ac:dyDescent="0.25">
      <c r="F539" s="325" t="s">
        <v>3712</v>
      </c>
      <c r="G539" s="1777">
        <v>367379.02840422466</v>
      </c>
      <c r="I539" s="325" t="s">
        <v>3633</v>
      </c>
    </row>
    <row r="540" spans="4:9" x14ac:dyDescent="0.25">
      <c r="D540" s="325" t="s">
        <v>959</v>
      </c>
      <c r="E540" s="325" t="s">
        <v>1277</v>
      </c>
      <c r="F540" s="325" t="s">
        <v>3713</v>
      </c>
      <c r="G540" s="1777">
        <f>-G539</f>
        <v>-367379.02840422466</v>
      </c>
      <c r="I540" s="325" t="s">
        <v>3633</v>
      </c>
    </row>
    <row r="542" spans="4:9" x14ac:dyDescent="0.25">
      <c r="D542" s="325" t="s">
        <v>763</v>
      </c>
      <c r="E542" s="325" t="s">
        <v>2322</v>
      </c>
      <c r="F542" s="2499" t="s">
        <v>2322</v>
      </c>
      <c r="G542" s="2533">
        <v>305839.32</v>
      </c>
      <c r="H542" s="325" t="s">
        <v>3634</v>
      </c>
      <c r="I542" s="325" t="s">
        <v>3634</v>
      </c>
    </row>
    <row r="543" spans="4:9" x14ac:dyDescent="0.25">
      <c r="F543" s="2499" t="s">
        <v>2532</v>
      </c>
      <c r="G543" s="2533">
        <v>-305839.32</v>
      </c>
      <c r="H543" s="325" t="s">
        <v>3634</v>
      </c>
      <c r="I543" s="325" t="s">
        <v>3634</v>
      </c>
    </row>
    <row r="544" spans="4:9" x14ac:dyDescent="0.25">
      <c r="F544" s="2499"/>
      <c r="G544" s="2533"/>
    </row>
    <row r="545" spans="4:9" x14ac:dyDescent="0.25">
      <c r="D545" s="325" t="s">
        <v>763</v>
      </c>
      <c r="E545" s="325" t="s">
        <v>2322</v>
      </c>
      <c r="F545" s="2499" t="s">
        <v>2322</v>
      </c>
      <c r="G545" s="2533">
        <v>9617.86</v>
      </c>
      <c r="H545" s="325" t="s">
        <v>3633</v>
      </c>
      <c r="I545" s="325" t="s">
        <v>3633</v>
      </c>
    </row>
    <row r="546" spans="4:9" x14ac:dyDescent="0.25">
      <c r="F546" s="2499" t="s">
        <v>3714</v>
      </c>
      <c r="G546" s="2533">
        <v>-9617.86</v>
      </c>
      <c r="H546" s="325" t="s">
        <v>3633</v>
      </c>
      <c r="I546" s="325" t="s">
        <v>3633</v>
      </c>
    </row>
    <row r="547" spans="4:9" x14ac:dyDescent="0.25">
      <c r="F547" s="2499"/>
      <c r="G547" s="2533"/>
    </row>
    <row r="548" spans="4:9" x14ac:dyDescent="0.25">
      <c r="D548" s="325" t="s">
        <v>763</v>
      </c>
      <c r="E548" s="325" t="s">
        <v>2322</v>
      </c>
      <c r="F548" s="2499" t="s">
        <v>2322</v>
      </c>
      <c r="G548" s="2533">
        <v>10120.799999999999</v>
      </c>
      <c r="H548" s="325" t="s">
        <v>3633</v>
      </c>
      <c r="I548" s="325" t="s">
        <v>3633</v>
      </c>
    </row>
    <row r="549" spans="4:9" x14ac:dyDescent="0.25">
      <c r="F549" s="2499" t="s">
        <v>2533</v>
      </c>
      <c r="G549" s="2533">
        <v>1102.3900000000001</v>
      </c>
      <c r="H549" s="325" t="s">
        <v>3633</v>
      </c>
      <c r="I549" s="325" t="s">
        <v>3633</v>
      </c>
    </row>
    <row r="550" spans="4:9" x14ac:dyDescent="0.25">
      <c r="F550" s="2499" t="s">
        <v>3085</v>
      </c>
      <c r="G550" s="2533">
        <v>301.85000000000002</v>
      </c>
      <c r="H550" s="325" t="s">
        <v>3633</v>
      </c>
      <c r="I550" s="325" t="s">
        <v>3633</v>
      </c>
    </row>
    <row r="551" spans="4:9" x14ac:dyDescent="0.25">
      <c r="F551" s="2499" t="s">
        <v>2532</v>
      </c>
      <c r="G551" s="2533">
        <v>-11525.04</v>
      </c>
      <c r="H551" s="325" t="s">
        <v>3633</v>
      </c>
      <c r="I551" s="325" t="s">
        <v>3633</v>
      </c>
    </row>
    <row r="552" spans="4:9" x14ac:dyDescent="0.25">
      <c r="F552" s="2499"/>
      <c r="G552" s="2533"/>
    </row>
    <row r="553" spans="4:9" x14ac:dyDescent="0.25">
      <c r="D553" s="325" t="s">
        <v>763</v>
      </c>
      <c r="E553" s="325" t="s">
        <v>754</v>
      </c>
      <c r="F553" s="2499" t="s">
        <v>3715</v>
      </c>
      <c r="G553" s="2533">
        <v>17100.87</v>
      </c>
      <c r="H553" s="325" t="s">
        <v>3633</v>
      </c>
      <c r="I553" s="325" t="s">
        <v>3633</v>
      </c>
    </row>
    <row r="554" spans="4:9" x14ac:dyDescent="0.25">
      <c r="D554" s="325" t="s">
        <v>799</v>
      </c>
      <c r="F554" s="2499" t="s">
        <v>3716</v>
      </c>
      <c r="G554" s="2533">
        <v>-17100.87</v>
      </c>
      <c r="H554" s="325" t="s">
        <v>3633</v>
      </c>
      <c r="I554" s="325" t="s">
        <v>3633</v>
      </c>
    </row>
  </sheetData>
  <autoFilter ref="B10:I554"/>
  <mergeCells count="6">
    <mergeCell ref="B9:C9"/>
    <mergeCell ref="D9:E9"/>
    <mergeCell ref="B8:G8"/>
    <mergeCell ref="I8:N8"/>
    <mergeCell ref="I9:J9"/>
    <mergeCell ref="K9:L9"/>
  </mergeCells>
  <conditionalFormatting sqref="J327:N330 G327:G330 I99:N99 J100:N100 J35:N39 I40:N96 J97:N98 I101:N206 K207:N209 I10:N34 I210:N326 I331:N1048576">
    <cfRule type="expression" dxfId="187" priority="26">
      <formula>$M10&lt;&gt;""</formula>
    </cfRule>
  </conditionalFormatting>
  <conditionalFormatting sqref="F105 F109 F112 F139 F142 F163 F172 F175 F285 F288 F291 F294 F215 F218 F221 F224 F227 F230 F233 F236 F282 F239 F242 F212 F303 F306 G68 F300:F301 F296:F297 F11:F102 F308:F326 F331:F1048576">
    <cfRule type="expression" dxfId="186" priority="20">
      <formula>$G11&lt;0</formula>
    </cfRule>
  </conditionalFormatting>
  <conditionalFormatting sqref="B161:C162 B10:G13 B160:E160 B158:C159 B157:E157 B155:C156 F163:G163 F105:G105 F109:G109 F112:G112 F139:G139 E158:E159 E161:E162 F172:G172 F175:G175 F285:G285 F288:G288 F291:G291 F294:G294 F297:G297 F215:G215 F218:G218 F221:G221 F224:G224 F227:G227 F230:G230 F233:G233 F236:G236 F282:G282 G106:G108 E155:E156 F239:G239 F242:G242 G103:G104 G110:G111 G173:G174 G213:G214 G216:G217 G222:G223 G228:G229 G231:G232 G234:G235 G237:G238 G240:G241 G283:G284 G286:G287 G289:G290 G219:G220 G292:G293 G295:G296 F142:G142 G140:G141 F212:G212 F300:G300 F303:G303 G164:G171 G225:G226 B103:E154 F306:G306 G113:G138 G143:G162 G243:G281 G298:G299 G301:G302 G307 G304:G305 G176:G211 B32:G102 B163:E307 B14:F31 B308:G1048576">
    <cfRule type="expression" dxfId="185" priority="19">
      <formula>$F10&lt;&gt;""</formula>
    </cfRule>
  </conditionalFormatting>
  <conditionalFormatting sqref="D161 D158 D155">
    <cfRule type="expression" dxfId="184" priority="382">
      <formula>$F156&lt;&gt;""</formula>
    </cfRule>
  </conditionalFormatting>
  <conditionalFormatting sqref="F182 F169 F148 F145 F135 F119">
    <cfRule type="expression" dxfId="183" priority="18">
      <formula>$D119&lt;&gt;""</formula>
    </cfRule>
  </conditionalFormatting>
  <conditionalFormatting sqref="F281 F278 F275 F272 F209 F206 F203 F200 F191 F188 F154">
    <cfRule type="expression" dxfId="182" priority="17">
      <formula>$D154&lt;&gt;""</formula>
    </cfRule>
  </conditionalFormatting>
  <conditionalFormatting sqref="F266 F263 F254 F248 F179 F166 F157 F151 F125">
    <cfRule type="expression" dxfId="181" priority="16">
      <formula>$D125&lt;&gt;""</formula>
    </cfRule>
  </conditionalFormatting>
  <conditionalFormatting sqref="F269 F251 F197 F194 F192 F185 F160 F132 F129 F122 F116">
    <cfRule type="expression" dxfId="180" priority="15">
      <formula>$D116&lt;&gt;""</formula>
    </cfRule>
  </conditionalFormatting>
  <conditionalFormatting sqref="F257">
    <cfRule type="expression" dxfId="179" priority="14">
      <formula>$D257&lt;&gt;""</formula>
    </cfRule>
  </conditionalFormatting>
  <conditionalFormatting sqref="F245">
    <cfRule type="expression" dxfId="178" priority="13">
      <formula>$D245&lt;&gt;""</formula>
    </cfRule>
  </conditionalFormatting>
  <conditionalFormatting sqref="F292 F260">
    <cfRule type="expression" dxfId="177" priority="12">
      <formula>$D260&lt;&gt;""</formula>
    </cfRule>
  </conditionalFormatting>
  <conditionalFormatting sqref="F298 F293 F290 F287 F284 F279 F276 F273 F270 F268 F265 F261 F258 F256 F253 F222 F220 F217 F214 F211 F207 F147 F141 F136 F134 F131 F126 F123 F114 F107">
    <cfRule type="expression" dxfId="176" priority="10">
      <formula>$D107&lt;&gt;""</formula>
    </cfRule>
  </conditionalFormatting>
  <conditionalFormatting sqref="F243 F240 F238 F235 F232 F229 F225 F204 F201 F198 F196 F193 F190 F187 F184 F181 F176 F173 F170 F168 F165 F161 F159 F155 F152 F150 F137 F127 F106">
    <cfRule type="expression" dxfId="175" priority="9">
      <formula>$D106&lt;&gt;""</formula>
    </cfRule>
  </conditionalFormatting>
  <conditionalFormatting sqref="F250 F247 F146 F144 F140 F138 F133 F130 F128 F124 F120 F118 F113 F111 F108 F104">
    <cfRule type="expression" dxfId="174" priority="8">
      <formula>$D104&lt;&gt;""</formula>
    </cfRule>
  </conditionalFormatting>
  <conditionalFormatting sqref="F304 F186 F153 F143 F115">
    <cfRule type="expression" dxfId="173" priority="7">
      <formula>$D115&lt;&gt;""</formula>
    </cfRule>
  </conditionalFormatting>
  <conditionalFormatting sqref="F307 F302 F299 F295 F289 F286 F283 F277 F274 F271 F267 F264 F262 F259 F255 F252 F249 F246 F244 F241 F231 F228 F226 F223 F213 F210 F208 F205 F202 F199 F195 F189 F183 F180 F174 F171 F167 F164 F162 F158 F156 F149 F121 F117 F110 F103">
    <cfRule type="expression" dxfId="172" priority="6">
      <formula>$D103&lt;&gt;""</formula>
    </cfRule>
  </conditionalFormatting>
  <conditionalFormatting sqref="F305 F237 F234 F219 F216">
    <cfRule type="expression" dxfId="171" priority="5">
      <formula>$D216&lt;&gt;""</formula>
    </cfRule>
  </conditionalFormatting>
  <conditionalFormatting sqref="F178">
    <cfRule type="expression" dxfId="170" priority="4">
      <formula>$D178&lt;&gt;""</formula>
    </cfRule>
  </conditionalFormatting>
  <conditionalFormatting sqref="F280 F177">
    <cfRule type="expression" dxfId="169" priority="3">
      <formula>$D177&lt;&gt;""</formula>
    </cfRule>
  </conditionalFormatting>
  <conditionalFormatting sqref="F327:F330">
    <cfRule type="expression" dxfId="168" priority="386">
      <formula>#REF!&lt;0</formula>
    </cfRule>
  </conditionalFormatting>
  <conditionalFormatting sqref="F301">
    <cfRule type="expression" dxfId="167" priority="2">
      <formula>$F301&lt;&gt;""</formula>
    </cfRule>
  </conditionalFormatting>
  <conditionalFormatting sqref="F296">
    <cfRule type="expression" dxfId="166" priority="1">
      <formula>$F296&lt;&gt;""</formula>
    </cfRule>
  </conditionalFormatting>
  <conditionalFormatting sqref="I207:J208">
    <cfRule type="expression" dxfId="165" priority="394">
      <formula>$M208&lt;&gt;""</formula>
    </cfRule>
  </conditionalFormatting>
  <dataValidations disablePrompts="1" count="2">
    <dataValidation type="list" allowBlank="1" showInputMessage="1" showErrorMessage="1" sqref="B11 D157:D158 D160:D161 D11:D155 D163:D1048576 K11:K1048576">
      <formula1>fsgroup</formula1>
    </dataValidation>
    <dataValidation type="list" allowBlank="1" showInputMessage="1" showErrorMessage="1" sqref="E11:E1048576 L11:L1048576">
      <formula1>INDIRECT(SUBSTITUTE(D11," ","_"))</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W61"/>
  <sheetViews>
    <sheetView topLeftCell="K1" zoomScale="80" zoomScaleNormal="80" workbookViewId="0">
      <selection activeCell="L1" sqref="L1"/>
    </sheetView>
  </sheetViews>
  <sheetFormatPr defaultRowHeight="16.5" x14ac:dyDescent="0.3"/>
  <cols>
    <col min="1" max="1" width="28.28515625" style="1" bestFit="1" customWidth="1"/>
    <col min="2" max="2" width="45.28515625" style="1" bestFit="1" customWidth="1"/>
    <col min="3" max="3" width="63" style="1" bestFit="1" customWidth="1"/>
    <col min="4" max="4" width="27.140625" style="1" bestFit="1" customWidth="1"/>
    <col min="5" max="5" width="48.42578125" style="1" bestFit="1" customWidth="1"/>
    <col min="6" max="6" width="86.28515625" style="1" bestFit="1" customWidth="1"/>
    <col min="7" max="7" width="37.7109375" bestFit="1" customWidth="1"/>
    <col min="8" max="8" width="28.42578125" bestFit="1" customWidth="1"/>
    <col min="9" max="9" width="59.7109375" bestFit="1" customWidth="1"/>
    <col min="10" max="10" width="42.42578125" bestFit="1" customWidth="1"/>
    <col min="11" max="11" width="77.7109375" bestFit="1" customWidth="1"/>
    <col min="12" max="12" width="76.85546875" bestFit="1" customWidth="1"/>
    <col min="13" max="13" width="93" bestFit="1" customWidth="1"/>
    <col min="14" max="14" width="45.7109375" bestFit="1" customWidth="1"/>
    <col min="15" max="15" width="51.140625" bestFit="1" customWidth="1"/>
    <col min="16" max="16" width="47.42578125" bestFit="1" customWidth="1"/>
    <col min="17" max="17" width="37.28515625" bestFit="1" customWidth="1"/>
    <col min="18" max="18" width="48.5703125" bestFit="1" customWidth="1"/>
    <col min="19" max="19" width="62.7109375" bestFit="1" customWidth="1"/>
    <col min="20" max="20" width="66.7109375" bestFit="1" customWidth="1"/>
    <col min="21" max="21" width="56.5703125" bestFit="1" customWidth="1"/>
    <col min="22" max="22" width="108.140625" bestFit="1" customWidth="1"/>
  </cols>
  <sheetData>
    <row r="1" spans="1:23" x14ac:dyDescent="0.3">
      <c r="A1" s="1" t="s">
        <v>748</v>
      </c>
      <c r="B1" s="1" t="s">
        <v>1047</v>
      </c>
      <c r="C1" s="1" t="s">
        <v>752</v>
      </c>
      <c r="D1" s="1" t="s">
        <v>397</v>
      </c>
      <c r="E1" s="1" t="s">
        <v>997</v>
      </c>
      <c r="F1" s="1" t="s">
        <v>36</v>
      </c>
      <c r="G1" s="1" t="s">
        <v>763</v>
      </c>
      <c r="H1" s="1" t="s">
        <v>731</v>
      </c>
      <c r="I1" t="s">
        <v>364</v>
      </c>
      <c r="J1" s="1" t="s">
        <v>1328</v>
      </c>
      <c r="K1" t="s">
        <v>959</v>
      </c>
      <c r="L1" t="s">
        <v>799</v>
      </c>
      <c r="M1" t="s">
        <v>508</v>
      </c>
      <c r="N1" t="s">
        <v>1812</v>
      </c>
      <c r="O1" t="s">
        <v>1813</v>
      </c>
      <c r="P1" t="s">
        <v>363</v>
      </c>
      <c r="Q1" t="s">
        <v>1643</v>
      </c>
      <c r="R1" t="s">
        <v>58</v>
      </c>
      <c r="S1" t="s">
        <v>743</v>
      </c>
      <c r="T1" t="s">
        <v>1520</v>
      </c>
      <c r="U1" t="s">
        <v>747</v>
      </c>
      <c r="V1" t="s">
        <v>1847</v>
      </c>
      <c r="W1" t="s">
        <v>3721</v>
      </c>
    </row>
    <row r="2" spans="1:23" x14ac:dyDescent="0.3">
      <c r="A2" s="1" t="s">
        <v>1003</v>
      </c>
      <c r="B2" s="1" t="s">
        <v>179</v>
      </c>
      <c r="C2" s="1" t="s">
        <v>42</v>
      </c>
      <c r="D2" s="1" t="s">
        <v>1056</v>
      </c>
      <c r="E2" s="1" t="s">
        <v>761</v>
      </c>
      <c r="F2" s="1" t="s">
        <v>1005</v>
      </c>
      <c r="G2" s="1" t="s">
        <v>230</v>
      </c>
      <c r="H2" s="1" t="s">
        <v>732</v>
      </c>
      <c r="I2" s="1" t="s">
        <v>1189</v>
      </c>
      <c r="J2" s="1" t="s">
        <v>734</v>
      </c>
      <c r="K2" s="1" t="s">
        <v>1281</v>
      </c>
      <c r="L2" s="1" t="s">
        <v>1291</v>
      </c>
      <c r="M2" s="1" t="s">
        <v>739</v>
      </c>
      <c r="N2" s="1" t="s">
        <v>1388</v>
      </c>
      <c r="O2" s="1" t="s">
        <v>1392</v>
      </c>
      <c r="P2" s="1" t="s">
        <v>1420</v>
      </c>
      <c r="Q2" s="1" t="s">
        <v>1460</v>
      </c>
      <c r="R2" s="1" t="s">
        <v>1488</v>
      </c>
      <c r="S2" s="1" t="s">
        <v>1509</v>
      </c>
      <c r="T2" s="1" t="s">
        <v>1521</v>
      </c>
      <c r="U2" s="1" t="s">
        <v>746</v>
      </c>
      <c r="V2" t="s">
        <v>560</v>
      </c>
      <c r="W2" s="1" t="s">
        <v>3722</v>
      </c>
    </row>
    <row r="3" spans="1:23" x14ac:dyDescent="0.3">
      <c r="A3" s="1" t="s">
        <v>1002</v>
      </c>
      <c r="B3" s="1" t="s">
        <v>1662</v>
      </c>
      <c r="C3" s="1" t="s">
        <v>751</v>
      </c>
      <c r="D3" s="1" t="s">
        <v>759</v>
      </c>
      <c r="E3" s="1" t="s">
        <v>986</v>
      </c>
      <c r="F3" t="s">
        <v>1006</v>
      </c>
      <c r="G3" t="s">
        <v>988</v>
      </c>
      <c r="H3" t="s">
        <v>167</v>
      </c>
      <c r="I3" t="s">
        <v>1188</v>
      </c>
      <c r="J3" t="s">
        <v>735</v>
      </c>
      <c r="K3" t="s">
        <v>1282</v>
      </c>
      <c r="L3" t="s">
        <v>1292</v>
      </c>
      <c r="M3" t="s">
        <v>1664</v>
      </c>
      <c r="N3" t="s">
        <v>1390</v>
      </c>
      <c r="O3" t="s">
        <v>1394</v>
      </c>
      <c r="P3" t="s">
        <v>1422</v>
      </c>
      <c r="Q3" t="s">
        <v>1462</v>
      </c>
      <c r="R3" t="s">
        <v>1489</v>
      </c>
      <c r="S3" t="s">
        <v>1510</v>
      </c>
      <c r="T3" t="s">
        <v>1522</v>
      </c>
      <c r="U3" t="s">
        <v>1531</v>
      </c>
      <c r="V3" t="s">
        <v>1815</v>
      </c>
    </row>
    <row r="4" spans="1:23" x14ac:dyDescent="0.3">
      <c r="A4" s="1" t="s">
        <v>749</v>
      </c>
      <c r="B4" s="1" t="s">
        <v>1035</v>
      </c>
      <c r="C4" s="1" t="s">
        <v>753</v>
      </c>
      <c r="D4" s="1" t="s">
        <v>1057</v>
      </c>
      <c r="E4" s="1" t="s">
        <v>1033</v>
      </c>
      <c r="F4" t="s">
        <v>1007</v>
      </c>
      <c r="G4" t="s">
        <v>764</v>
      </c>
      <c r="H4" t="s">
        <v>1170</v>
      </c>
      <c r="I4" t="s">
        <v>1182</v>
      </c>
      <c r="J4" t="s">
        <v>1663</v>
      </c>
      <c r="K4" t="s">
        <v>1283</v>
      </c>
      <c r="L4" t="s">
        <v>1336</v>
      </c>
      <c r="M4" t="s">
        <v>740</v>
      </c>
      <c r="N4" t="s">
        <v>1887</v>
      </c>
      <c r="O4" t="s">
        <v>1396</v>
      </c>
      <c r="P4" t="s">
        <v>1424</v>
      </c>
      <c r="Q4" t="s">
        <v>1464</v>
      </c>
      <c r="R4" t="s">
        <v>1491</v>
      </c>
      <c r="S4" t="s">
        <v>1511</v>
      </c>
      <c r="T4" t="s">
        <v>1523</v>
      </c>
      <c r="U4" t="s">
        <v>1533</v>
      </c>
      <c r="V4" t="s">
        <v>1848</v>
      </c>
    </row>
    <row r="5" spans="1:23" x14ac:dyDescent="0.3">
      <c r="A5" s="1" t="s">
        <v>1004</v>
      </c>
      <c r="B5" s="1" t="s">
        <v>1036</v>
      </c>
      <c r="C5" s="1" t="s">
        <v>755</v>
      </c>
      <c r="E5" s="1" t="s">
        <v>1034</v>
      </c>
      <c r="F5" t="s">
        <v>646</v>
      </c>
      <c r="G5" t="s">
        <v>231</v>
      </c>
      <c r="H5" t="s">
        <v>168</v>
      </c>
      <c r="I5" t="s">
        <v>1183</v>
      </c>
      <c r="J5" t="s">
        <v>736</v>
      </c>
      <c r="K5" t="s">
        <v>1284</v>
      </c>
      <c r="M5" t="s">
        <v>1645</v>
      </c>
      <c r="O5" t="s">
        <v>1398</v>
      </c>
      <c r="P5" t="s">
        <v>1426</v>
      </c>
      <c r="Q5" t="s">
        <v>1466</v>
      </c>
      <c r="R5" t="s">
        <v>1492</v>
      </c>
      <c r="S5" t="s">
        <v>1513</v>
      </c>
      <c r="T5" t="s">
        <v>1524</v>
      </c>
      <c r="U5" t="s">
        <v>1535</v>
      </c>
      <c r="V5" t="s">
        <v>1849</v>
      </c>
    </row>
    <row r="6" spans="1:23" x14ac:dyDescent="0.3">
      <c r="A6" s="1" t="s">
        <v>1015</v>
      </c>
      <c r="B6" s="1" t="s">
        <v>1041</v>
      </c>
      <c r="C6" s="1" t="s">
        <v>756</v>
      </c>
      <c r="D6"/>
      <c r="E6" s="1" t="s">
        <v>762</v>
      </c>
      <c r="F6"/>
      <c r="G6" t="s">
        <v>758</v>
      </c>
      <c r="H6" t="s">
        <v>1171</v>
      </c>
      <c r="I6" t="s">
        <v>1184</v>
      </c>
      <c r="J6" t="s">
        <v>737</v>
      </c>
      <c r="K6" t="s">
        <v>1285</v>
      </c>
      <c r="M6" t="s">
        <v>1310</v>
      </c>
      <c r="O6" t="s">
        <v>1400</v>
      </c>
      <c r="P6" t="s">
        <v>1428</v>
      </c>
      <c r="Q6" t="s">
        <v>1468</v>
      </c>
      <c r="R6" t="s">
        <v>1494</v>
      </c>
      <c r="S6" t="s">
        <v>1515</v>
      </c>
      <c r="T6" t="s">
        <v>1525</v>
      </c>
      <c r="U6" t="s">
        <v>1537</v>
      </c>
      <c r="V6" t="s">
        <v>1816</v>
      </c>
    </row>
    <row r="7" spans="1:23" x14ac:dyDescent="0.3">
      <c r="A7" s="1" t="s">
        <v>750</v>
      </c>
      <c r="C7" t="s">
        <v>980</v>
      </c>
      <c r="D7"/>
      <c r="F7"/>
      <c r="G7" t="s">
        <v>232</v>
      </c>
      <c r="H7" t="s">
        <v>1172</v>
      </c>
      <c r="I7" t="s">
        <v>1185</v>
      </c>
      <c r="J7" t="s">
        <v>1241</v>
      </c>
      <c r="K7" t="s">
        <v>1286</v>
      </c>
      <c r="M7" t="s">
        <v>1311</v>
      </c>
      <c r="O7" t="s">
        <v>1402</v>
      </c>
      <c r="P7" t="s">
        <v>1430</v>
      </c>
      <c r="Q7" t="s">
        <v>1470</v>
      </c>
      <c r="R7" t="s">
        <v>1495</v>
      </c>
      <c r="S7" t="s">
        <v>1517</v>
      </c>
      <c r="T7" t="s">
        <v>1526</v>
      </c>
      <c r="U7" t="s">
        <v>1539</v>
      </c>
      <c r="V7" t="s">
        <v>1817</v>
      </c>
    </row>
    <row r="8" spans="1:23" x14ac:dyDescent="0.3">
      <c r="A8"/>
      <c r="C8" t="s">
        <v>981</v>
      </c>
      <c r="D8"/>
      <c r="F8"/>
      <c r="G8" t="s">
        <v>233</v>
      </c>
      <c r="H8" t="s">
        <v>164</v>
      </c>
      <c r="I8" t="s">
        <v>1200</v>
      </c>
      <c r="J8" t="s">
        <v>738</v>
      </c>
      <c r="K8" t="s">
        <v>1287</v>
      </c>
      <c r="M8" t="s">
        <v>1312</v>
      </c>
      <c r="O8" t="s">
        <v>1404</v>
      </c>
      <c r="P8" t="s">
        <v>1432</v>
      </c>
      <c r="Q8" t="s">
        <v>1472</v>
      </c>
      <c r="R8" t="s">
        <v>1497</v>
      </c>
      <c r="S8" t="s">
        <v>1666</v>
      </c>
      <c r="T8" t="s">
        <v>1527</v>
      </c>
      <c r="U8" t="s">
        <v>1541</v>
      </c>
      <c r="V8" t="s">
        <v>1818</v>
      </c>
    </row>
    <row r="9" spans="1:23" x14ac:dyDescent="0.3">
      <c r="A9"/>
      <c r="C9" t="s">
        <v>982</v>
      </c>
      <c r="D9"/>
      <c r="F9"/>
      <c r="G9" t="s">
        <v>794</v>
      </c>
      <c r="H9" t="s">
        <v>1177</v>
      </c>
      <c r="I9" t="s">
        <v>1201</v>
      </c>
      <c r="J9" t="s">
        <v>1644</v>
      </c>
      <c r="K9" t="s">
        <v>1288</v>
      </c>
      <c r="M9" t="s">
        <v>1303</v>
      </c>
      <c r="O9" t="s">
        <v>1406</v>
      </c>
      <c r="P9" t="s">
        <v>1657</v>
      </c>
      <c r="Q9" t="s">
        <v>1474</v>
      </c>
      <c r="R9" t="s">
        <v>1498</v>
      </c>
      <c r="T9" t="s">
        <v>1528</v>
      </c>
      <c r="U9" t="s">
        <v>1543</v>
      </c>
      <c r="V9" t="s">
        <v>1819</v>
      </c>
    </row>
    <row r="10" spans="1:23" x14ac:dyDescent="0.3">
      <c r="A10"/>
      <c r="C10" t="s">
        <v>757</v>
      </c>
      <c r="D10"/>
      <c r="F10"/>
      <c r="G10" t="s">
        <v>234</v>
      </c>
      <c r="H10" t="s">
        <v>1178</v>
      </c>
      <c r="I10" t="s">
        <v>1202</v>
      </c>
      <c r="J10" t="s">
        <v>170</v>
      </c>
      <c r="K10" t="s">
        <v>1289</v>
      </c>
      <c r="M10" t="s">
        <v>1304</v>
      </c>
      <c r="O10" t="s">
        <v>1408</v>
      </c>
      <c r="P10" t="s">
        <v>1653</v>
      </c>
      <c r="Q10" t="s">
        <v>1476</v>
      </c>
      <c r="R10" t="s">
        <v>1500</v>
      </c>
      <c r="T10" t="s">
        <v>1529</v>
      </c>
      <c r="U10" t="s">
        <v>1545</v>
      </c>
    </row>
    <row r="11" spans="1:23" x14ac:dyDescent="0.3">
      <c r="A11"/>
      <c r="C11" t="s">
        <v>983</v>
      </c>
      <c r="D11"/>
      <c r="F11"/>
      <c r="G11" t="s">
        <v>235</v>
      </c>
      <c r="H11" t="s">
        <v>1179</v>
      </c>
      <c r="I11" t="s">
        <v>1203</v>
      </c>
      <c r="K11" t="s">
        <v>1290</v>
      </c>
      <c r="M11" t="s">
        <v>1305</v>
      </c>
      <c r="O11" t="s">
        <v>1410</v>
      </c>
      <c r="P11" t="s">
        <v>1654</v>
      </c>
      <c r="Q11" t="s">
        <v>1478</v>
      </c>
      <c r="R11" t="s">
        <v>1501</v>
      </c>
      <c r="T11" t="s">
        <v>744</v>
      </c>
      <c r="U11" t="s">
        <v>1547</v>
      </c>
    </row>
    <row r="12" spans="1:23" x14ac:dyDescent="0.3">
      <c r="A12"/>
      <c r="B12"/>
      <c r="C12" t="s">
        <v>3500</v>
      </c>
      <c r="D12"/>
      <c r="F12"/>
      <c r="G12" t="s">
        <v>793</v>
      </c>
      <c r="H12" t="s">
        <v>1180</v>
      </c>
      <c r="I12" t="s">
        <v>1186</v>
      </c>
      <c r="K12" t="s">
        <v>1271</v>
      </c>
      <c r="M12" t="s">
        <v>1306</v>
      </c>
      <c r="O12" t="s">
        <v>1412</v>
      </c>
      <c r="P12" t="s">
        <v>1655</v>
      </c>
      <c r="Q12" t="s">
        <v>1480</v>
      </c>
      <c r="R12" t="s">
        <v>1503</v>
      </c>
      <c r="T12" t="s">
        <v>745</v>
      </c>
      <c r="U12" t="s">
        <v>1549</v>
      </c>
    </row>
    <row r="13" spans="1:23" x14ac:dyDescent="0.3">
      <c r="A13"/>
      <c r="B13"/>
      <c r="C13" t="s">
        <v>3058</v>
      </c>
      <c r="D13"/>
      <c r="F13"/>
      <c r="G13" t="s">
        <v>766</v>
      </c>
      <c r="I13" t="s">
        <v>1187</v>
      </c>
      <c r="K13" t="s">
        <v>1272</v>
      </c>
      <c r="M13" t="s">
        <v>1307</v>
      </c>
      <c r="O13" t="s">
        <v>1414</v>
      </c>
      <c r="P13" t="s">
        <v>1656</v>
      </c>
      <c r="Q13" t="s">
        <v>1482</v>
      </c>
      <c r="R13" t="s">
        <v>1504</v>
      </c>
      <c r="T13" t="s">
        <v>208</v>
      </c>
      <c r="U13" t="s">
        <v>1551</v>
      </c>
    </row>
    <row r="14" spans="1:23" x14ac:dyDescent="0.3">
      <c r="A14"/>
      <c r="B14"/>
      <c r="C14" t="s">
        <v>3806</v>
      </c>
      <c r="D14"/>
      <c r="F14"/>
      <c r="G14" t="s">
        <v>792</v>
      </c>
      <c r="I14" t="s">
        <v>1230</v>
      </c>
      <c r="K14" t="s">
        <v>1273</v>
      </c>
      <c r="M14" t="s">
        <v>1308</v>
      </c>
      <c r="O14" t="s">
        <v>1416</v>
      </c>
      <c r="P14" t="s">
        <v>1435</v>
      </c>
      <c r="Q14" t="s">
        <v>1484</v>
      </c>
      <c r="R14" t="s">
        <v>1506</v>
      </c>
      <c r="U14" t="s">
        <v>3612</v>
      </c>
    </row>
    <row r="15" spans="1:23" x14ac:dyDescent="0.3">
      <c r="A15"/>
      <c r="B15"/>
      <c r="C15"/>
      <c r="D15"/>
      <c r="F15"/>
      <c r="G15" t="s">
        <v>795</v>
      </c>
      <c r="I15" t="s">
        <v>1231</v>
      </c>
      <c r="K15" t="s">
        <v>1274</v>
      </c>
      <c r="M15" t="s">
        <v>1309</v>
      </c>
      <c r="O15" t="s">
        <v>1418</v>
      </c>
      <c r="P15" t="s">
        <v>1437</v>
      </c>
      <c r="Q15" t="s">
        <v>1486</v>
      </c>
      <c r="R15" t="s">
        <v>1507</v>
      </c>
    </row>
    <row r="16" spans="1:23" x14ac:dyDescent="0.3">
      <c r="A16"/>
      <c r="B16"/>
      <c r="C16"/>
      <c r="D16"/>
      <c r="F16"/>
      <c r="G16" t="s">
        <v>767</v>
      </c>
      <c r="I16" t="s">
        <v>1204</v>
      </c>
      <c r="K16" t="s">
        <v>1275</v>
      </c>
      <c r="M16" t="s">
        <v>1647</v>
      </c>
      <c r="P16" t="s">
        <v>1439</v>
      </c>
    </row>
    <row r="17" spans="5:16" customFormat="1" x14ac:dyDescent="0.3">
      <c r="E17" s="1"/>
      <c r="G17" t="s">
        <v>236</v>
      </c>
      <c r="I17" t="s">
        <v>1205</v>
      </c>
      <c r="K17" t="s">
        <v>1276</v>
      </c>
      <c r="M17" t="s">
        <v>1669</v>
      </c>
      <c r="P17" t="s">
        <v>2010</v>
      </c>
    </row>
    <row r="18" spans="5:16" customFormat="1" x14ac:dyDescent="0.3">
      <c r="E18" s="1"/>
      <c r="G18" t="s">
        <v>715</v>
      </c>
      <c r="I18" t="s">
        <v>1232</v>
      </c>
      <c r="K18" t="s">
        <v>1277</v>
      </c>
      <c r="M18" t="s">
        <v>1970</v>
      </c>
      <c r="P18" t="s">
        <v>2011</v>
      </c>
    </row>
    <row r="19" spans="5:16" customFormat="1" x14ac:dyDescent="0.3">
      <c r="E19" s="1"/>
      <c r="G19" t="s">
        <v>771</v>
      </c>
      <c r="I19" t="s">
        <v>1233</v>
      </c>
      <c r="K19" t="s">
        <v>1278</v>
      </c>
      <c r="M19" t="s">
        <v>3093</v>
      </c>
      <c r="P19" t="s">
        <v>2012</v>
      </c>
    </row>
    <row r="20" spans="5:16" customFormat="1" x14ac:dyDescent="0.3">
      <c r="E20" s="1"/>
      <c r="G20" t="s">
        <v>754</v>
      </c>
      <c r="I20" t="s">
        <v>1222</v>
      </c>
      <c r="K20" t="s">
        <v>1279</v>
      </c>
      <c r="M20" t="s">
        <v>3618</v>
      </c>
      <c r="P20" t="s">
        <v>2013</v>
      </c>
    </row>
    <row r="21" spans="5:16" customFormat="1" x14ac:dyDescent="0.3">
      <c r="E21" s="1"/>
      <c r="G21" t="s">
        <v>1009</v>
      </c>
      <c r="I21" t="s">
        <v>1223</v>
      </c>
      <c r="K21" t="s">
        <v>1280</v>
      </c>
      <c r="M21" t="s">
        <v>3767</v>
      </c>
      <c r="P21" t="s">
        <v>2014</v>
      </c>
    </row>
    <row r="22" spans="5:16" customFormat="1" x14ac:dyDescent="0.3">
      <c r="E22" s="1"/>
      <c r="G22" t="s">
        <v>769</v>
      </c>
      <c r="I22" t="s">
        <v>1234</v>
      </c>
      <c r="P22" t="s">
        <v>2004</v>
      </c>
    </row>
    <row r="23" spans="5:16" customFormat="1" x14ac:dyDescent="0.3">
      <c r="E23" s="1"/>
      <c r="G23" t="s">
        <v>237</v>
      </c>
      <c r="I23" t="s">
        <v>1235</v>
      </c>
      <c r="P23" t="s">
        <v>2015</v>
      </c>
    </row>
    <row r="24" spans="5:16" customFormat="1" x14ac:dyDescent="0.3">
      <c r="E24" s="1"/>
      <c r="G24" t="s">
        <v>772</v>
      </c>
      <c r="I24" t="s">
        <v>1236</v>
      </c>
      <c r="P24" t="s">
        <v>2005</v>
      </c>
    </row>
    <row r="25" spans="5:16" x14ac:dyDescent="0.3">
      <c r="G25" t="s">
        <v>765</v>
      </c>
      <c r="I25" t="s">
        <v>1237</v>
      </c>
      <c r="P25" t="s">
        <v>2016</v>
      </c>
    </row>
    <row r="26" spans="5:16" x14ac:dyDescent="0.3">
      <c r="G26" t="s">
        <v>987</v>
      </c>
      <c r="I26" t="s">
        <v>1229</v>
      </c>
      <c r="P26" t="s">
        <v>2006</v>
      </c>
    </row>
    <row r="27" spans="5:16" x14ac:dyDescent="0.3">
      <c r="G27" t="s">
        <v>1665</v>
      </c>
      <c r="I27" t="s">
        <v>1228</v>
      </c>
      <c r="P27" t="s">
        <v>2017</v>
      </c>
    </row>
    <row r="28" spans="5:16" x14ac:dyDescent="0.3">
      <c r="G28" t="s">
        <v>770</v>
      </c>
      <c r="I28" t="s">
        <v>1226</v>
      </c>
      <c r="P28" t="s">
        <v>2007</v>
      </c>
    </row>
    <row r="29" spans="5:16" x14ac:dyDescent="0.3">
      <c r="G29" t="s">
        <v>2868</v>
      </c>
      <c r="I29" t="s">
        <v>1227</v>
      </c>
      <c r="P29" t="s">
        <v>2018</v>
      </c>
    </row>
    <row r="30" spans="5:16" x14ac:dyDescent="0.3">
      <c r="G30" t="str">
        <f>+'Qualitative Disclosures'!C637</f>
        <v>Foreign Exchange Loss/Gain</v>
      </c>
      <c r="P30" t="s">
        <v>1446</v>
      </c>
    </row>
    <row r="31" spans="5:16" x14ac:dyDescent="0.3">
      <c r="G31">
        <f>+'Qualitative Disclosures'!C638</f>
        <v>0</v>
      </c>
      <c r="P31" t="s">
        <v>1448</v>
      </c>
    </row>
    <row r="32" spans="5:16" x14ac:dyDescent="0.3">
      <c r="G32">
        <f>+'Qualitative Disclosures'!C639</f>
        <v>0</v>
      </c>
      <c r="P32" t="s">
        <v>1450</v>
      </c>
    </row>
    <row r="33" spans="7:16" x14ac:dyDescent="0.3">
      <c r="G33" t="str">
        <f>+'Qualitative Disclosures'!C640</f>
        <v>dosbv</v>
      </c>
      <c r="P33" t="s">
        <v>2009</v>
      </c>
    </row>
    <row r="34" spans="7:16" x14ac:dyDescent="0.3">
      <c r="G34">
        <f>+'Qualitative Disclosures'!C641</f>
        <v>0</v>
      </c>
      <c r="P34" t="s">
        <v>2019</v>
      </c>
    </row>
    <row r="35" spans="7:16" x14ac:dyDescent="0.3">
      <c r="G35">
        <f>+'Qualitative Disclosures'!C642</f>
        <v>0</v>
      </c>
      <c r="P35" t="s">
        <v>2020</v>
      </c>
    </row>
    <row r="36" spans="7:16" x14ac:dyDescent="0.3">
      <c r="G36">
        <f>+'Qualitative Disclosures'!C643</f>
        <v>0</v>
      </c>
      <c r="P36" t="s">
        <v>2021</v>
      </c>
    </row>
    <row r="37" spans="7:16" x14ac:dyDescent="0.3">
      <c r="G37">
        <f>+'Qualitative Disclosures'!C644</f>
        <v>0</v>
      </c>
      <c r="P37" t="s">
        <v>2022</v>
      </c>
    </row>
    <row r="38" spans="7:16" x14ac:dyDescent="0.3">
      <c r="G38">
        <f>+'Qualitative Disclosures'!C645</f>
        <v>0</v>
      </c>
      <c r="P38" t="s">
        <v>1453</v>
      </c>
    </row>
    <row r="39" spans="7:16" x14ac:dyDescent="0.3">
      <c r="G39">
        <f>+'Qualitative Disclosures'!C646</f>
        <v>0</v>
      </c>
      <c r="P39" t="s">
        <v>1455</v>
      </c>
    </row>
    <row r="40" spans="7:16" x14ac:dyDescent="0.3">
      <c r="G40">
        <f>+'Qualitative Disclosures'!C647</f>
        <v>0</v>
      </c>
      <c r="P40" t="s">
        <v>1457</v>
      </c>
    </row>
    <row r="41" spans="7:16" x14ac:dyDescent="0.3">
      <c r="G41">
        <f>+'Qualitative Disclosures'!C648</f>
        <v>0</v>
      </c>
      <c r="P41" t="s">
        <v>2008</v>
      </c>
    </row>
    <row r="42" spans="7:16" x14ac:dyDescent="0.3">
      <c r="G42">
        <f>+'Qualitative Disclosures'!C649</f>
        <v>0</v>
      </c>
      <c r="P42" t="s">
        <v>2023</v>
      </c>
    </row>
    <row r="43" spans="7:16" x14ac:dyDescent="0.3">
      <c r="G43" t="s">
        <v>3503</v>
      </c>
      <c r="P43" t="s">
        <v>2024</v>
      </c>
    </row>
    <row r="44" spans="7:16" x14ac:dyDescent="0.3">
      <c r="G44" t="s">
        <v>3507</v>
      </c>
      <c r="P44" t="s">
        <v>2025</v>
      </c>
    </row>
    <row r="45" spans="7:16" x14ac:dyDescent="0.3">
      <c r="G45" t="s">
        <v>2517</v>
      </c>
      <c r="P45" t="s">
        <v>2026</v>
      </c>
    </row>
    <row r="46" spans="7:16" x14ac:dyDescent="0.3">
      <c r="G46" t="s">
        <v>3512</v>
      </c>
    </row>
    <row r="47" spans="7:16" x14ac:dyDescent="0.3">
      <c r="G47" t="s">
        <v>2754</v>
      </c>
    </row>
    <row r="48" spans="7:16" x14ac:dyDescent="0.3">
      <c r="G48" t="s">
        <v>2753</v>
      </c>
    </row>
    <row r="49" spans="7:7" x14ac:dyDescent="0.3">
      <c r="G49" t="s">
        <v>2181</v>
      </c>
    </row>
    <row r="50" spans="7:7" x14ac:dyDescent="0.3">
      <c r="G50" t="s">
        <v>2172</v>
      </c>
    </row>
    <row r="51" spans="7:7" x14ac:dyDescent="0.3">
      <c r="G51" t="s">
        <v>2569</v>
      </c>
    </row>
    <row r="52" spans="7:7" x14ac:dyDescent="0.3">
      <c r="G52" t="s">
        <v>3517</v>
      </c>
    </row>
    <row r="53" spans="7:7" x14ac:dyDescent="0.3">
      <c r="G53" t="s">
        <v>3519</v>
      </c>
    </row>
    <row r="54" spans="7:7" x14ac:dyDescent="0.3">
      <c r="G54" t="s">
        <v>3521</v>
      </c>
    </row>
    <row r="55" spans="7:7" x14ac:dyDescent="0.3">
      <c r="G55" t="s">
        <v>3523</v>
      </c>
    </row>
    <row r="56" spans="7:7" x14ac:dyDescent="0.3">
      <c r="G56" t="s">
        <v>2737</v>
      </c>
    </row>
    <row r="57" spans="7:7" x14ac:dyDescent="0.3">
      <c r="G57" t="s">
        <v>3201</v>
      </c>
    </row>
    <row r="58" spans="7:7" x14ac:dyDescent="0.3">
      <c r="G58" t="s">
        <v>3724</v>
      </c>
    </row>
    <row r="59" spans="7:7" x14ac:dyDescent="0.3">
      <c r="G59" t="s">
        <v>1951</v>
      </c>
    </row>
    <row r="60" spans="7:7" x14ac:dyDescent="0.3">
      <c r="G60" t="s">
        <v>1953</v>
      </c>
    </row>
    <row r="61" spans="7:7" x14ac:dyDescent="0.3">
      <c r="G61" t="s">
        <v>1955</v>
      </c>
    </row>
  </sheetData>
  <sheetProtection formatCells="0" formatColumns="0" formatRows="0"/>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e_AS_Disclosures">
    <tabColor theme="3" tint="0.59999389629810485"/>
    <pageSetUpPr fitToPage="1"/>
  </sheetPr>
  <dimension ref="B1:XFC70"/>
  <sheetViews>
    <sheetView showGridLines="0" zoomScale="80" zoomScaleNormal="80" workbookViewId="0">
      <selection activeCell="F26" sqref="F26"/>
    </sheetView>
  </sheetViews>
  <sheetFormatPr defaultColWidth="9.140625" defaultRowHeight="16.5" zeroHeight="1" x14ac:dyDescent="0.3"/>
  <cols>
    <col min="1" max="1" width="3.7109375" style="1" customWidth="1"/>
    <col min="2" max="2" width="37.42578125" style="1" bestFit="1" customWidth="1"/>
    <col min="3" max="3" width="36.28515625" style="1" bestFit="1" customWidth="1"/>
    <col min="4" max="4" width="4.140625" style="1" customWidth="1"/>
    <col min="5" max="5" width="37.140625" style="1" bestFit="1" customWidth="1"/>
    <col min="6" max="6" width="44.85546875" style="1" bestFit="1" customWidth="1"/>
    <col min="7" max="7" width="4.140625" style="1" customWidth="1"/>
    <col min="8" max="8" width="20.5703125" style="1" customWidth="1"/>
    <col min="9" max="9" width="52.42578125" style="1" bestFit="1" customWidth="1"/>
    <col min="10" max="10" width="15.85546875" style="1" customWidth="1"/>
    <col min="11" max="11" width="9.28515625" style="1" bestFit="1" customWidth="1"/>
    <col min="12" max="12" width="13.7109375" style="1" bestFit="1" customWidth="1"/>
    <col min="13" max="13" width="141.140625" style="1" bestFit="1" customWidth="1"/>
    <col min="14" max="14" width="13.28515625" bestFit="1" customWidth="1"/>
    <col min="15" max="15" width="18.42578125" customWidth="1"/>
    <col min="16" max="16" width="141.140625" style="1" bestFit="1" customWidth="1"/>
    <col min="17" max="18" width="13.42578125" style="1" bestFit="1" customWidth="1"/>
    <col min="19" max="16369" width="0" style="1" hidden="1" customWidth="1"/>
    <col min="16370" max="16383" width="9.140625" style="1" hidden="1" customWidth="1"/>
    <col min="16384" max="16384" width="9.140625" style="1"/>
  </cols>
  <sheetData>
    <row r="1" spans="2:18 16369:16369" s="356" customFormat="1" ht="15" x14ac:dyDescent="0.25"/>
    <row r="2" spans="2:18 16369:16369" s="356" customFormat="1" ht="15" x14ac:dyDescent="0.25"/>
    <row r="3" spans="2:18 16369:16369" s="356" customFormat="1" ht="15" x14ac:dyDescent="0.25"/>
    <row r="4" spans="2:18 16369:16369" s="356" customFormat="1" ht="15" x14ac:dyDescent="0.25"/>
    <row r="5" spans="2:18 16369:16369" s="356" customFormat="1" ht="15" x14ac:dyDescent="0.25"/>
    <row r="6" spans="2:18 16369:16369" s="356" customFormat="1" ht="15" x14ac:dyDescent="0.25"/>
    <row r="7" spans="2:18 16369:16369" ht="17.25" thickBot="1" x14ac:dyDescent="0.35">
      <c r="C7" s="9"/>
    </row>
    <row r="8" spans="2:18 16369:16369" ht="17.25" thickBot="1" x14ac:dyDescent="0.35">
      <c r="B8" s="365" t="s">
        <v>976</v>
      </c>
      <c r="C8" s="365"/>
      <c r="E8" s="365" t="s">
        <v>970</v>
      </c>
      <c r="F8" s="365"/>
      <c r="H8" s="1161" t="s">
        <v>1918</v>
      </c>
      <c r="I8" s="1162"/>
      <c r="J8" s="1163"/>
      <c r="L8" s="2708" t="s">
        <v>1916</v>
      </c>
      <c r="M8" s="2709"/>
      <c r="N8" s="2710"/>
      <c r="P8" s="1127" t="s">
        <v>1919</v>
      </c>
      <c r="Q8" s="1128"/>
      <c r="R8" s="1147"/>
      <c r="XEO8" s="1" t="s">
        <v>990</v>
      </c>
    </row>
    <row r="9" spans="2:18 16369:16369" ht="17.25" thickBot="1" x14ac:dyDescent="0.35">
      <c r="B9" s="293" t="s">
        <v>829</v>
      </c>
      <c r="C9" s="727" t="s">
        <v>3923</v>
      </c>
      <c r="E9" s="294" t="s">
        <v>971</v>
      </c>
      <c r="F9" s="733" t="s">
        <v>3924</v>
      </c>
      <c r="H9" s="1144" t="s">
        <v>1330</v>
      </c>
      <c r="I9" s="1145" t="s">
        <v>1913</v>
      </c>
      <c r="J9" s="1146" t="s">
        <v>1331</v>
      </c>
      <c r="L9" s="1139" t="s">
        <v>1915</v>
      </c>
      <c r="M9" s="1139" t="s">
        <v>20</v>
      </c>
      <c r="N9" s="1139" t="s">
        <v>1331</v>
      </c>
      <c r="P9" s="1148" t="s">
        <v>20</v>
      </c>
      <c r="Q9" s="1149" t="s">
        <v>1331</v>
      </c>
      <c r="XEO9" s="1" t="s">
        <v>840</v>
      </c>
    </row>
    <row r="10" spans="2:18 16369:16369" x14ac:dyDescent="0.3">
      <c r="B10" s="294" t="s">
        <v>830</v>
      </c>
      <c r="C10" s="728">
        <v>1234567890</v>
      </c>
      <c r="E10" s="294" t="s">
        <v>972</v>
      </c>
      <c r="F10" s="734" t="s">
        <v>3924</v>
      </c>
      <c r="H10" s="908" t="s">
        <v>1631</v>
      </c>
      <c r="I10" s="183" t="s">
        <v>1900</v>
      </c>
      <c r="J10" s="1143" t="s">
        <v>840</v>
      </c>
      <c r="L10" s="1131">
        <f>+MID('Add. Regulatory Disc.'!C11,7,2)+0.01</f>
        <v>33.01</v>
      </c>
      <c r="M10" s="1132" t="s">
        <v>863</v>
      </c>
      <c r="N10" s="1140" t="s">
        <v>840</v>
      </c>
      <c r="P10" s="1131" t="s">
        <v>629</v>
      </c>
      <c r="Q10" s="1140" t="s">
        <v>840</v>
      </c>
    </row>
    <row r="11" spans="2:18 16369:16369" x14ac:dyDescent="0.3">
      <c r="B11" s="294" t="s">
        <v>991</v>
      </c>
      <c r="C11" s="728" t="s">
        <v>836</v>
      </c>
      <c r="E11" s="735" t="s">
        <v>974</v>
      </c>
      <c r="F11" s="734" t="s">
        <v>837</v>
      </c>
      <c r="H11" s="908" t="s">
        <v>1632</v>
      </c>
      <c r="I11" s="183" t="s">
        <v>1901</v>
      </c>
      <c r="J11" s="1143" t="s">
        <v>840</v>
      </c>
      <c r="L11" s="908">
        <f>+IF(N11="Yes",L10+0.01,L10)</f>
        <v>33.01</v>
      </c>
      <c r="M11" s="183" t="s">
        <v>1920</v>
      </c>
      <c r="N11" s="1141" t="s">
        <v>840</v>
      </c>
      <c r="P11" s="908" t="s">
        <v>6</v>
      </c>
      <c r="Q11" s="1141" t="s">
        <v>840</v>
      </c>
    </row>
    <row r="12" spans="2:18 16369:16369" x14ac:dyDescent="0.3">
      <c r="B12" s="294" t="s">
        <v>831</v>
      </c>
      <c r="C12" s="728" t="s">
        <v>837</v>
      </c>
      <c r="E12" s="735" t="s">
        <v>973</v>
      </c>
      <c r="F12" s="736"/>
      <c r="H12" s="908" t="s">
        <v>1633</v>
      </c>
      <c r="I12" s="183" t="s">
        <v>1902</v>
      </c>
      <c r="J12" s="1143" t="s">
        <v>840</v>
      </c>
      <c r="L12" s="908">
        <f>+IF(N12="Yes",L11+0.01,L11)</f>
        <v>33.01</v>
      </c>
      <c r="M12" s="183" t="s">
        <v>942</v>
      </c>
      <c r="N12" s="1141" t="s">
        <v>840</v>
      </c>
      <c r="O12" s="1"/>
      <c r="P12" s="908" t="s">
        <v>240</v>
      </c>
      <c r="Q12" s="1141" t="s">
        <v>990</v>
      </c>
    </row>
    <row r="13" spans="2:18 16369:16369" x14ac:dyDescent="0.3">
      <c r="B13" s="294" t="s">
        <v>832</v>
      </c>
      <c r="C13" s="728">
        <v>411002</v>
      </c>
      <c r="E13" s="737" t="s">
        <v>1697</v>
      </c>
      <c r="F13" s="738"/>
      <c r="H13" s="908" t="s">
        <v>1634</v>
      </c>
      <c r="I13" s="183" t="s">
        <v>1903</v>
      </c>
      <c r="J13" s="1143" t="s">
        <v>990</v>
      </c>
      <c r="L13" s="908">
        <f>+IF(N13="Yes",L12+0.01,L12)</f>
        <v>33.01</v>
      </c>
      <c r="M13" s="183" t="s">
        <v>943</v>
      </c>
      <c r="N13" s="1141" t="s">
        <v>840</v>
      </c>
      <c r="O13" s="1"/>
      <c r="P13" s="908" t="s">
        <v>590</v>
      </c>
      <c r="Q13" s="1141" t="s">
        <v>840</v>
      </c>
    </row>
    <row r="14" spans="2:18 16369:16369" x14ac:dyDescent="0.3">
      <c r="B14" s="294" t="s">
        <v>833</v>
      </c>
      <c r="C14" s="728" t="s">
        <v>838</v>
      </c>
      <c r="E14" s="739" t="s">
        <v>975</v>
      </c>
      <c r="F14" s="739"/>
      <c r="H14" s="908" t="s">
        <v>1635</v>
      </c>
      <c r="I14" s="183" t="s">
        <v>1904</v>
      </c>
      <c r="J14" s="1143" t="s">
        <v>840</v>
      </c>
      <c r="L14" s="1133" t="s">
        <v>202</v>
      </c>
      <c r="M14" s="183" t="s">
        <v>888</v>
      </c>
      <c r="N14" s="1141" t="s">
        <v>840</v>
      </c>
      <c r="O14" s="1"/>
      <c r="P14" s="908" t="s">
        <v>459</v>
      </c>
      <c r="Q14" s="1141" t="s">
        <v>990</v>
      </c>
    </row>
    <row r="15" spans="2:18 16369:16369" x14ac:dyDescent="0.3">
      <c r="B15" s="294" t="s">
        <v>834</v>
      </c>
      <c r="C15" s="728" t="s">
        <v>839</v>
      </c>
      <c r="E15" s="294"/>
      <c r="F15" s="367"/>
      <c r="H15" s="908" t="s">
        <v>1636</v>
      </c>
      <c r="I15" s="183" t="s">
        <v>1905</v>
      </c>
      <c r="J15" s="1143" t="s">
        <v>990</v>
      </c>
      <c r="L15" s="1133" t="b">
        <f>+IF(N15="Yes",IF(N14="Yes","(b)","(a)"))</f>
        <v>0</v>
      </c>
      <c r="M15" s="183" t="s">
        <v>945</v>
      </c>
      <c r="N15" s="1141" t="s">
        <v>840</v>
      </c>
      <c r="P15" s="2604" t="s">
        <v>648</v>
      </c>
      <c r="Q15" s="1141" t="s">
        <v>990</v>
      </c>
    </row>
    <row r="16" spans="2:18 16369:16369" x14ac:dyDescent="0.3">
      <c r="B16" s="295" t="s">
        <v>835</v>
      </c>
      <c r="C16" s="729" t="s">
        <v>1334</v>
      </c>
      <c r="E16" s="365" t="s">
        <v>1116</v>
      </c>
      <c r="F16" s="365"/>
      <c r="H16" s="908" t="s">
        <v>1637</v>
      </c>
      <c r="I16" s="183" t="s">
        <v>1906</v>
      </c>
      <c r="J16" s="1143" t="s">
        <v>990</v>
      </c>
      <c r="L16" s="908">
        <f>+IF(N16="Yes",L13+0.01,L13)</f>
        <v>33.01</v>
      </c>
      <c r="M16" s="183" t="s">
        <v>902</v>
      </c>
      <c r="N16" s="1141" t="s">
        <v>840</v>
      </c>
      <c r="O16" s="1"/>
      <c r="P16" s="908" t="s">
        <v>1732</v>
      </c>
      <c r="Q16" s="1141" t="s">
        <v>840</v>
      </c>
    </row>
    <row r="17" spans="2:24" x14ac:dyDescent="0.3">
      <c r="E17" s="294" t="s">
        <v>971</v>
      </c>
      <c r="F17" s="733" t="s">
        <v>3925</v>
      </c>
      <c r="H17" s="908" t="s">
        <v>1638</v>
      </c>
      <c r="I17" s="183" t="s">
        <v>108</v>
      </c>
      <c r="J17" s="1143" t="s">
        <v>990</v>
      </c>
      <c r="L17" s="1133" t="s">
        <v>202</v>
      </c>
      <c r="M17" s="183" t="s">
        <v>903</v>
      </c>
      <c r="N17" s="1141" t="s">
        <v>840</v>
      </c>
      <c r="P17" s="908" t="s">
        <v>1731</v>
      </c>
      <c r="Q17" s="1141" t="s">
        <v>990</v>
      </c>
    </row>
    <row r="18" spans="2:24" x14ac:dyDescent="0.3">
      <c r="B18"/>
      <c r="C18"/>
      <c r="E18" s="294" t="s">
        <v>1118</v>
      </c>
      <c r="F18" s="734" t="s">
        <v>1699</v>
      </c>
      <c r="H18" s="908" t="s">
        <v>1639</v>
      </c>
      <c r="I18" s="183" t="s">
        <v>1907</v>
      </c>
      <c r="J18" s="1143" t="s">
        <v>990</v>
      </c>
      <c r="L18" s="1133" t="b">
        <f>+IF(N18="Yes",IF(N17="Yes","(b)","(a)"))</f>
        <v>0</v>
      </c>
      <c r="M18" s="183" t="s">
        <v>944</v>
      </c>
      <c r="N18" s="1141" t="s">
        <v>840</v>
      </c>
      <c r="P18" s="908" t="s">
        <v>1734</v>
      </c>
      <c r="Q18" s="1141" t="s">
        <v>840</v>
      </c>
    </row>
    <row r="19" spans="2:24" x14ac:dyDescent="0.3">
      <c r="B19" s="1" t="s">
        <v>1069</v>
      </c>
      <c r="C19" s="730">
        <v>2025</v>
      </c>
      <c r="E19" s="294" t="s">
        <v>977</v>
      </c>
      <c r="F19" s="734" t="s">
        <v>3925</v>
      </c>
      <c r="H19" s="908" t="s">
        <v>1866</v>
      </c>
      <c r="I19" s="183" t="s">
        <v>1908</v>
      </c>
      <c r="J19" s="1143" t="s">
        <v>990</v>
      </c>
      <c r="L19" s="908">
        <f>+IF(N19="Yes",L16+0.01,L16)</f>
        <v>33.01</v>
      </c>
      <c r="M19" s="183" t="s">
        <v>906</v>
      </c>
      <c r="N19" s="1141" t="s">
        <v>840</v>
      </c>
      <c r="P19" s="908" t="s">
        <v>1735</v>
      </c>
      <c r="Q19" s="1141" t="s">
        <v>990</v>
      </c>
    </row>
    <row r="20" spans="2:24" ht="17.25" thickBot="1" x14ac:dyDescent="0.35">
      <c r="B20" s="1" t="s">
        <v>1068</v>
      </c>
      <c r="C20" s="185">
        <f>C19-1</f>
        <v>2024</v>
      </c>
      <c r="E20" s="735" t="s">
        <v>974</v>
      </c>
      <c r="F20" s="734" t="s">
        <v>3793</v>
      </c>
      <c r="H20" s="908" t="s">
        <v>1640</v>
      </c>
      <c r="I20" s="183" t="s">
        <v>1909</v>
      </c>
      <c r="J20" s="1143" t="s">
        <v>840</v>
      </c>
      <c r="L20" s="908">
        <f t="shared" ref="L20:L31" si="0">+IF(N20="Yes",L19+0.01,L19)</f>
        <v>33.01</v>
      </c>
      <c r="M20" s="183" t="s">
        <v>946</v>
      </c>
      <c r="N20" s="1141" t="s">
        <v>840</v>
      </c>
      <c r="P20" s="911" t="s">
        <v>1733</v>
      </c>
      <c r="Q20" s="1141" t="s">
        <v>840</v>
      </c>
    </row>
    <row r="21" spans="2:24" x14ac:dyDescent="0.3">
      <c r="B21" s="10"/>
      <c r="C21" s="731" t="str">
        <f>C19-1&amp;"-"&amp;RIGHT(C19,2)</f>
        <v>2024-25</v>
      </c>
      <c r="D21" s="11"/>
      <c r="E21" s="740" t="s">
        <v>973</v>
      </c>
      <c r="F21" s="741"/>
      <c r="H21" s="908" t="s">
        <v>1641</v>
      </c>
      <c r="I21" s="183" t="s">
        <v>1910</v>
      </c>
      <c r="J21" s="1143" t="s">
        <v>840</v>
      </c>
      <c r="L21" s="908">
        <f t="shared" si="0"/>
        <v>33.01</v>
      </c>
      <c r="M21" s="183" t="s">
        <v>947</v>
      </c>
      <c r="N21" s="1141" t="s">
        <v>840</v>
      </c>
    </row>
    <row r="22" spans="2:24" x14ac:dyDescent="0.3">
      <c r="B22" s="10"/>
      <c r="C22" s="731" t="str">
        <f>C20-1&amp;"-"&amp;RIGHT(C20,2)</f>
        <v>2023-24</v>
      </c>
      <c r="D22" s="11"/>
      <c r="E22" s="366" t="s">
        <v>1117</v>
      </c>
      <c r="F22" s="368"/>
      <c r="H22" s="908" t="s">
        <v>1642</v>
      </c>
      <c r="I22" s="183" t="s">
        <v>1911</v>
      </c>
      <c r="J22" s="1143" t="s">
        <v>840</v>
      </c>
      <c r="L22" s="908">
        <f t="shared" si="0"/>
        <v>33.01</v>
      </c>
      <c r="M22" s="183" t="s">
        <v>948</v>
      </c>
      <c r="N22" s="1141" t="s">
        <v>840</v>
      </c>
    </row>
    <row r="23" spans="2:24" x14ac:dyDescent="0.3">
      <c r="B23" s="10"/>
      <c r="C23" s="185"/>
      <c r="D23" s="11"/>
      <c r="E23" s="294" t="s">
        <v>971</v>
      </c>
      <c r="F23" s="733" t="s">
        <v>3925</v>
      </c>
      <c r="H23" s="908" t="s">
        <v>1332</v>
      </c>
      <c r="I23" s="183" t="s">
        <v>1912</v>
      </c>
      <c r="J23" s="1143" t="s">
        <v>990</v>
      </c>
      <c r="L23" s="908">
        <f t="shared" si="0"/>
        <v>33.01</v>
      </c>
      <c r="M23" s="183" t="s">
        <v>949</v>
      </c>
      <c r="N23" s="1141" t="s">
        <v>840</v>
      </c>
    </row>
    <row r="24" spans="2:24" ht="17.25" thickBot="1" x14ac:dyDescent="0.35">
      <c r="B24" s="10" t="s">
        <v>1333</v>
      </c>
      <c r="C24" s="730"/>
      <c r="D24" s="11"/>
      <c r="E24" s="294" t="s">
        <v>1118</v>
      </c>
      <c r="F24" s="734" t="s">
        <v>1699</v>
      </c>
      <c r="H24" s="911" t="s">
        <v>1867</v>
      </c>
      <c r="I24" s="912" t="s">
        <v>1914</v>
      </c>
      <c r="J24" s="1753" t="s">
        <v>840</v>
      </c>
      <c r="L24" s="908">
        <f t="shared" si="0"/>
        <v>33.01</v>
      </c>
      <c r="M24" s="183" t="s">
        <v>950</v>
      </c>
      <c r="N24" s="1141" t="s">
        <v>840</v>
      </c>
    </row>
    <row r="25" spans="2:24" x14ac:dyDescent="0.3">
      <c r="B25" s="355" t="s">
        <v>828</v>
      </c>
      <c r="C25" s="732">
        <v>100</v>
      </c>
      <c r="E25" s="294" t="s">
        <v>977</v>
      </c>
      <c r="F25" s="734" t="s">
        <v>3925</v>
      </c>
      <c r="L25" s="1712">
        <f t="shared" si="0"/>
        <v>33.019999999999996</v>
      </c>
      <c r="M25" s="1713" t="s">
        <v>951</v>
      </c>
      <c r="N25" s="1711" t="s">
        <v>990</v>
      </c>
    </row>
    <row r="26" spans="2:24" x14ac:dyDescent="0.3">
      <c r="B26" s="1" t="s">
        <v>1345</v>
      </c>
      <c r="C26" s="355" t="str">
        <f>VLOOKUP(C25,'Backup Data'!$B$3:$C$8,2,FALSE)</f>
        <v>Amount in Rs '00.</v>
      </c>
      <c r="D26" s="11"/>
      <c r="E26" s="735" t="s">
        <v>974</v>
      </c>
      <c r="F26" s="734" t="s">
        <v>3794</v>
      </c>
      <c r="G26" s="12"/>
      <c r="L26" s="908">
        <f t="shared" si="0"/>
        <v>33.019999999999996</v>
      </c>
      <c r="M26" s="183" t="s">
        <v>954</v>
      </c>
      <c r="N26" s="1141" t="s">
        <v>840</v>
      </c>
    </row>
    <row r="27" spans="2:24" x14ac:dyDescent="0.3">
      <c r="D27" s="11"/>
      <c r="E27" s="740" t="s">
        <v>973</v>
      </c>
      <c r="F27" s="741"/>
      <c r="G27" s="12"/>
      <c r="L27" s="908">
        <f t="shared" si="0"/>
        <v>33.019999999999996</v>
      </c>
      <c r="M27" s="183" t="s">
        <v>955</v>
      </c>
      <c r="N27" s="1141" t="s">
        <v>840</v>
      </c>
    </row>
    <row r="28" spans="2:24" x14ac:dyDescent="0.3">
      <c r="D28" s="11"/>
      <c r="E28" s="366" t="s">
        <v>1700</v>
      </c>
      <c r="F28" s="368"/>
      <c r="G28" s="12"/>
      <c r="L28" s="908">
        <f t="shared" si="0"/>
        <v>33.019999999999996</v>
      </c>
      <c r="M28" s="183" t="s">
        <v>956</v>
      </c>
      <c r="N28" s="1141" t="s">
        <v>840</v>
      </c>
    </row>
    <row r="29" spans="2:24" x14ac:dyDescent="0.3">
      <c r="D29" s="11"/>
      <c r="E29" s="294" t="s">
        <v>971</v>
      </c>
      <c r="F29" s="733"/>
      <c r="G29" s="12"/>
      <c r="L29" s="908">
        <f t="shared" si="0"/>
        <v>33.019999999999996</v>
      </c>
      <c r="M29" s="183" t="s">
        <v>957</v>
      </c>
      <c r="N29" s="1141" t="s">
        <v>840</v>
      </c>
    </row>
    <row r="30" spans="2:24" x14ac:dyDescent="0.3">
      <c r="D30" s="11"/>
      <c r="E30" s="294" t="s">
        <v>1118</v>
      </c>
      <c r="F30" s="734"/>
      <c r="G30" s="12"/>
      <c r="L30" s="908">
        <f t="shared" si="0"/>
        <v>33.019999999999996</v>
      </c>
      <c r="M30" s="183" t="s">
        <v>958</v>
      </c>
      <c r="N30" s="1141" t="s">
        <v>840</v>
      </c>
      <c r="W30" s="1124"/>
    </row>
    <row r="31" spans="2:24" ht="17.25" thickBot="1" x14ac:dyDescent="0.35">
      <c r="D31" s="11"/>
      <c r="E31" s="294" t="s">
        <v>977</v>
      </c>
      <c r="F31" s="734"/>
      <c r="G31" s="12"/>
      <c r="L31" s="911">
        <f t="shared" si="0"/>
        <v>33.019999999999996</v>
      </c>
      <c r="M31" s="912" t="s">
        <v>1917</v>
      </c>
      <c r="N31" s="1142" t="s">
        <v>840</v>
      </c>
      <c r="W31" s="1124"/>
    </row>
    <row r="32" spans="2:24" x14ac:dyDescent="0.3">
      <c r="D32" s="11"/>
      <c r="E32" s="735" t="s">
        <v>974</v>
      </c>
      <c r="F32" s="734"/>
      <c r="G32" s="12"/>
      <c r="X32" s="1124"/>
    </row>
    <row r="33" spans="2:24" x14ac:dyDescent="0.3">
      <c r="D33" s="11"/>
      <c r="E33" s="740" t="s">
        <v>973</v>
      </c>
      <c r="F33" s="741"/>
      <c r="G33" s="12"/>
      <c r="X33" s="1124"/>
    </row>
    <row r="34" spans="2:24" x14ac:dyDescent="0.3">
      <c r="D34" s="11"/>
      <c r="E34" s="12"/>
      <c r="F34" s="12"/>
      <c r="G34" s="12"/>
      <c r="X34" s="1124"/>
    </row>
    <row r="35" spans="2:24" x14ac:dyDescent="0.3">
      <c r="D35" s="11"/>
      <c r="E35" s="12"/>
      <c r="F35" s="12"/>
      <c r="G35" s="12"/>
      <c r="X35" s="1124"/>
    </row>
    <row r="36" spans="2:24" x14ac:dyDescent="0.3">
      <c r="D36" s="11"/>
      <c r="G36" s="12"/>
      <c r="X36" s="1124"/>
    </row>
    <row r="37" spans="2:24" hidden="1" x14ac:dyDescent="0.3">
      <c r="D37" s="11"/>
      <c r="G37" s="12"/>
      <c r="X37" s="1124"/>
    </row>
    <row r="38" spans="2:24" hidden="1" x14ac:dyDescent="0.3">
      <c r="D38" s="11"/>
      <c r="G38" s="12"/>
      <c r="X38" s="1124"/>
    </row>
    <row r="39" spans="2:24" hidden="1" x14ac:dyDescent="0.3">
      <c r="D39" s="11"/>
      <c r="X39" s="1124"/>
    </row>
    <row r="40" spans="2:24" hidden="1" x14ac:dyDescent="0.3">
      <c r="D40" s="11"/>
      <c r="X40" s="1124"/>
    </row>
    <row r="41" spans="2:24" hidden="1" x14ac:dyDescent="0.3">
      <c r="X41" s="1124"/>
    </row>
    <row r="42" spans="2:24" hidden="1" x14ac:dyDescent="0.3">
      <c r="D42" s="14"/>
      <c r="X42" s="1124"/>
    </row>
    <row r="43" spans="2:24" hidden="1" x14ac:dyDescent="0.3">
      <c r="B43" s="10"/>
      <c r="C43" s="185"/>
      <c r="D43" s="14"/>
      <c r="X43" s="1124"/>
    </row>
    <row r="44" spans="2:24" hidden="1" x14ac:dyDescent="0.3">
      <c r="B44" s="10"/>
      <c r="C44" s="185"/>
      <c r="D44" s="14"/>
      <c r="X44"/>
    </row>
    <row r="45" spans="2:24" hidden="1" x14ac:dyDescent="0.3">
      <c r="B45" s="10"/>
      <c r="C45" s="185"/>
      <c r="D45" s="14"/>
      <c r="X45" t="s">
        <v>1899</v>
      </c>
    </row>
    <row r="46" spans="2:24" hidden="1" x14ac:dyDescent="0.3">
      <c r="B46" s="10"/>
      <c r="C46" s="185"/>
      <c r="D46" s="14"/>
    </row>
    <row r="47" spans="2:24" hidden="1" x14ac:dyDescent="0.3">
      <c r="B47" s="10"/>
      <c r="C47" s="185"/>
      <c r="D47" s="14"/>
    </row>
    <row r="48" spans="2:24" hidden="1" x14ac:dyDescent="0.3">
      <c r="D48" s="14"/>
    </row>
    <row r="49" spans="2:11" hidden="1" x14ac:dyDescent="0.3">
      <c r="B49" s="1727"/>
      <c r="C49" s="10"/>
      <c r="D49" s="14"/>
    </row>
    <row r="50" spans="2:11" hidden="1" x14ac:dyDescent="0.3">
      <c r="B50" s="1727"/>
      <c r="C50" s="10"/>
      <c r="D50" s="14"/>
    </row>
    <row r="51" spans="2:11" hidden="1" x14ac:dyDescent="0.3">
      <c r="B51" s="1727"/>
      <c r="C51" s="10"/>
      <c r="D51" s="14"/>
    </row>
    <row r="52" spans="2:11" hidden="1" x14ac:dyDescent="0.3">
      <c r="B52" s="1727"/>
      <c r="D52" s="14"/>
    </row>
    <row r="53" spans="2:11" hidden="1" x14ac:dyDescent="0.3">
      <c r="B53" s="1727"/>
      <c r="D53" s="14"/>
    </row>
    <row r="54" spans="2:11" hidden="1" x14ac:dyDescent="0.3">
      <c r="D54" s="14"/>
      <c r="G54" s="16"/>
    </row>
    <row r="55" spans="2:11" hidden="1" x14ac:dyDescent="0.3">
      <c r="D55" s="14"/>
      <c r="K55" s="1728"/>
    </row>
    <row r="56" spans="2:11" hidden="1" x14ac:dyDescent="0.3">
      <c r="B56" s="15"/>
      <c r="D56" s="14"/>
      <c r="F56" s="16"/>
      <c r="H56" s="1728"/>
      <c r="I56" s="1728"/>
    </row>
    <row r="57" spans="2:11" hidden="1" x14ac:dyDescent="0.3">
      <c r="C57" s="226"/>
      <c r="D57" s="14"/>
    </row>
    <row r="58" spans="2:11" hidden="1" x14ac:dyDescent="0.3">
      <c r="D58" s="14"/>
      <c r="G58" s="1147"/>
      <c r="K58" s="226"/>
    </row>
    <row r="59" spans="2:11" hidden="1" x14ac:dyDescent="0.3">
      <c r="D59" s="14"/>
      <c r="H59" s="1147"/>
      <c r="I59" s="1147"/>
      <c r="J59" s="1147"/>
    </row>
    <row r="60" spans="2:11" hidden="1" x14ac:dyDescent="0.3">
      <c r="B60" s="15"/>
      <c r="D60" s="14"/>
      <c r="E60" s="16"/>
      <c r="F60" s="1147"/>
      <c r="J60" s="1728"/>
    </row>
    <row r="61" spans="2:11" hidden="1" x14ac:dyDescent="0.3">
      <c r="C61" s="226"/>
      <c r="D61" s="14"/>
      <c r="J61" s="1728"/>
      <c r="K61" s="226"/>
    </row>
    <row r="62" spans="2:11" hidden="1" x14ac:dyDescent="0.3">
      <c r="D62" s="14"/>
      <c r="J62" s="1729"/>
      <c r="K62" s="226"/>
    </row>
    <row r="63" spans="2:11" hidden="1" x14ac:dyDescent="0.3">
      <c r="D63" s="14"/>
      <c r="J63" s="1729"/>
      <c r="K63" s="226"/>
    </row>
    <row r="64" spans="2:11" hidden="1" x14ac:dyDescent="0.3">
      <c r="D64" s="1730"/>
      <c r="E64" s="1147"/>
      <c r="J64" s="1729"/>
      <c r="K64" s="226"/>
    </row>
    <row r="65" spans="3:9" hidden="1" x14ac:dyDescent="0.3">
      <c r="D65" s="14"/>
    </row>
    <row r="66" spans="3:9" hidden="1" x14ac:dyDescent="0.3">
      <c r="D66" s="14"/>
    </row>
    <row r="67" spans="3:9" hidden="1" x14ac:dyDescent="0.3">
      <c r="C67" s="226"/>
      <c r="D67" s="14"/>
    </row>
    <row r="68" spans="3:9" hidden="1" x14ac:dyDescent="0.3">
      <c r="D68" s="14"/>
      <c r="H68" s="226"/>
      <c r="I68" s="226"/>
    </row>
    <row r="69" spans="3:9" hidden="1" x14ac:dyDescent="0.3">
      <c r="D69" s="14"/>
      <c r="H69" s="226"/>
      <c r="I69" s="226"/>
    </row>
    <row r="70" spans="3:9" hidden="1" x14ac:dyDescent="0.3">
      <c r="D70" s="14"/>
    </row>
  </sheetData>
  <sortState ref="H11:H23">
    <sortCondition ref="H11:H23"/>
  </sortState>
  <mergeCells count="1">
    <mergeCell ref="L8:N8"/>
  </mergeCells>
  <dataValidations count="2">
    <dataValidation type="list" allowBlank="1" showInputMessage="1" showErrorMessage="1" sqref="C49:C51 C56 C60 C66">
      <formula1>"Yes, No"</formula1>
    </dataValidation>
    <dataValidation type="list" allowBlank="1" showInputMessage="1" showErrorMessage="1" sqref="N10:N31 J10:J24 Q10:Q20">
      <formula1>$XEO$8:$XEO$9</formula1>
    </dataValidation>
  </dataValidations>
  <pageMargins left="0.7" right="0.7" top="0.75" bottom="0.75" header="0.3" footer="0.3"/>
  <pageSetup paperSize="9" scale="14"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'Backup Data'!$B$4:$B$8</xm:f>
          </x14:formula1>
          <xm:sqref>C7</xm:sqref>
        </x14:dataValidation>
        <x14:dataValidation type="list" allowBlank="1" showInputMessage="1" showErrorMessage="1">
          <x14:formula1>
            <xm:f>'Backup Data'!$B$3:$B$8</xm:f>
          </x14:formula1>
          <xm:sqref>C25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4:W7220"/>
  <sheetViews>
    <sheetView topLeftCell="A1042" workbookViewId="0">
      <selection activeCell="D1062" sqref="D1062"/>
    </sheetView>
  </sheetViews>
  <sheetFormatPr defaultRowHeight="15" x14ac:dyDescent="0.25"/>
  <cols>
    <col min="1" max="1" width="24" bestFit="1" customWidth="1"/>
    <col min="2" max="2" width="40.140625" bestFit="1" customWidth="1"/>
    <col min="3" max="3" width="75.7109375" bestFit="1" customWidth="1"/>
    <col min="4" max="4" width="18.28515625" bestFit="1" customWidth="1"/>
    <col min="5" max="5" width="17.140625" bestFit="1" customWidth="1"/>
    <col min="6" max="6" width="17.42578125" bestFit="1" customWidth="1"/>
    <col min="7" max="7" width="24" bestFit="1" customWidth="1"/>
    <col min="8" max="8" width="30" bestFit="1" customWidth="1"/>
    <col min="9" max="9" width="53.140625" bestFit="1" customWidth="1"/>
    <col min="10" max="10" width="18.28515625" bestFit="1" customWidth="1"/>
    <col min="11" max="11" width="17.140625" bestFit="1" customWidth="1"/>
    <col min="12" max="12" width="37.140625" bestFit="1" customWidth="1"/>
    <col min="13" max="13" width="17.85546875" bestFit="1" customWidth="1"/>
    <col min="14" max="14" width="30" bestFit="1" customWidth="1"/>
    <col min="15" max="15" width="51.85546875" bestFit="1" customWidth="1"/>
    <col min="16" max="16" width="18.28515625" bestFit="1" customWidth="1"/>
    <col min="17" max="17" width="17.140625" bestFit="1" customWidth="1"/>
    <col min="18" max="18" width="9.7109375" bestFit="1" customWidth="1"/>
    <col min="19" max="19" width="9.28515625" bestFit="1" customWidth="1"/>
    <col min="20" max="20" width="17.42578125" bestFit="1" customWidth="1"/>
    <col min="21" max="21" width="16.28515625" bestFit="1" customWidth="1"/>
    <col min="22" max="22" width="25.7109375" bestFit="1" customWidth="1"/>
    <col min="23" max="23" width="24.7109375" bestFit="1" customWidth="1"/>
    <col min="24" max="24" width="17.42578125" bestFit="1" customWidth="1"/>
    <col min="25" max="25" width="15.5703125" bestFit="1" customWidth="1"/>
    <col min="26" max="26" width="9.28515625" bestFit="1" customWidth="1"/>
    <col min="27" max="27" width="10.7109375" bestFit="1" customWidth="1"/>
    <col min="28" max="28" width="25.7109375" bestFit="1" customWidth="1"/>
    <col min="29" max="29" width="24.7109375" bestFit="1" customWidth="1"/>
    <col min="30" max="30" width="25.7109375" bestFit="1" customWidth="1"/>
    <col min="31" max="31" width="24.7109375" bestFit="1" customWidth="1"/>
    <col min="32" max="32" width="30.28515625" bestFit="1" customWidth="1"/>
    <col min="33" max="33" width="29.28515625" bestFit="1" customWidth="1"/>
    <col min="34" max="34" width="37.140625" bestFit="1" customWidth="1"/>
    <col min="35" max="35" width="53" bestFit="1" customWidth="1"/>
    <col min="36" max="36" width="17.42578125" bestFit="1" customWidth="1"/>
    <col min="37" max="37" width="16.28515625" bestFit="1" customWidth="1"/>
  </cols>
  <sheetData>
    <row r="4" spans="1:23" x14ac:dyDescent="0.25">
      <c r="A4" s="389" t="s">
        <v>1126</v>
      </c>
      <c r="B4" s="389"/>
      <c r="C4" s="389"/>
      <c r="D4" s="389"/>
      <c r="E4" s="389"/>
    </row>
    <row r="5" spans="1:23" x14ac:dyDescent="0.25">
      <c r="A5" t="s">
        <v>1121</v>
      </c>
      <c r="B5" t="s">
        <v>1122</v>
      </c>
      <c r="C5" t="s">
        <v>1123</v>
      </c>
      <c r="D5" t="s">
        <v>1124</v>
      </c>
      <c r="E5" t="s">
        <v>1008</v>
      </c>
      <c r="G5" t="s">
        <v>1121</v>
      </c>
      <c r="H5" t="s">
        <v>1122</v>
      </c>
      <c r="I5" t="s">
        <v>1123</v>
      </c>
      <c r="J5" t="s">
        <v>1124</v>
      </c>
      <c r="K5" t="s">
        <v>1008</v>
      </c>
      <c r="M5" t="s">
        <v>1121</v>
      </c>
      <c r="N5" t="s">
        <v>1122</v>
      </c>
      <c r="O5" t="s">
        <v>1123</v>
      </c>
      <c r="P5" t="s">
        <v>1124</v>
      </c>
      <c r="Q5" t="s">
        <v>1008</v>
      </c>
      <c r="S5" t="s">
        <v>999</v>
      </c>
      <c r="T5" t="s">
        <v>1000</v>
      </c>
      <c r="U5" t="s">
        <v>727</v>
      </c>
      <c r="V5" t="s">
        <v>1127</v>
      </c>
      <c r="W5" t="s">
        <v>1128</v>
      </c>
    </row>
    <row r="6" spans="1:23" x14ac:dyDescent="0.25">
      <c r="A6" t="s">
        <v>2045</v>
      </c>
      <c r="B6" t="s">
        <v>2046</v>
      </c>
      <c r="C6" t="s">
        <v>2047</v>
      </c>
      <c r="D6" s="388">
        <v>0</v>
      </c>
      <c r="E6" s="388">
        <v>0</v>
      </c>
      <c r="M6" t="s">
        <v>1012</v>
      </c>
      <c r="N6" t="s">
        <v>1012</v>
      </c>
      <c r="O6" t="s">
        <v>2062</v>
      </c>
      <c r="P6">
        <v>0</v>
      </c>
      <c r="Q6">
        <v>1196.7</v>
      </c>
    </row>
    <row r="7" spans="1:23" x14ac:dyDescent="0.25">
      <c r="A7" t="s">
        <v>2045</v>
      </c>
      <c r="B7" t="s">
        <v>2046</v>
      </c>
      <c r="C7" t="s">
        <v>2048</v>
      </c>
      <c r="D7" s="388">
        <v>0</v>
      </c>
      <c r="E7" s="388">
        <v>0</v>
      </c>
      <c r="M7" t="s">
        <v>2045</v>
      </c>
      <c r="N7" t="s">
        <v>2045</v>
      </c>
      <c r="O7" t="s">
        <v>3041</v>
      </c>
      <c r="P7">
        <v>0</v>
      </c>
      <c r="Q7">
        <v>7700000</v>
      </c>
    </row>
    <row r="8" spans="1:23" x14ac:dyDescent="0.25">
      <c r="A8" t="s">
        <v>2045</v>
      </c>
      <c r="B8" t="s">
        <v>2046</v>
      </c>
      <c r="C8" t="s">
        <v>2049</v>
      </c>
      <c r="D8" s="388">
        <v>0</v>
      </c>
      <c r="E8" s="388">
        <v>0</v>
      </c>
      <c r="M8" t="s">
        <v>1012</v>
      </c>
      <c r="N8" t="s">
        <v>1012</v>
      </c>
      <c r="O8" t="s">
        <v>3042</v>
      </c>
      <c r="P8">
        <v>0</v>
      </c>
      <c r="Q8">
        <v>0.08</v>
      </c>
    </row>
    <row r="9" spans="1:23" x14ac:dyDescent="0.25">
      <c r="A9" t="s">
        <v>2045</v>
      </c>
      <c r="B9" t="s">
        <v>2046</v>
      </c>
      <c r="C9" t="s">
        <v>2050</v>
      </c>
      <c r="D9" s="388">
        <v>0</v>
      </c>
      <c r="E9" s="388">
        <v>0</v>
      </c>
      <c r="M9" t="s">
        <v>2066</v>
      </c>
      <c r="N9" t="s">
        <v>2066</v>
      </c>
      <c r="O9" t="s">
        <v>3725</v>
      </c>
      <c r="P9">
        <v>0</v>
      </c>
      <c r="Q9">
        <v>356810.55</v>
      </c>
    </row>
    <row r="10" spans="1:23" x14ac:dyDescent="0.25">
      <c r="A10" t="s">
        <v>2045</v>
      </c>
      <c r="B10" t="s">
        <v>2046</v>
      </c>
      <c r="C10" t="s">
        <v>2051</v>
      </c>
      <c r="D10" s="388">
        <v>0</v>
      </c>
      <c r="E10" s="388">
        <v>0</v>
      </c>
      <c r="M10" t="s">
        <v>2066</v>
      </c>
      <c r="N10" t="s">
        <v>2066</v>
      </c>
      <c r="O10" t="s">
        <v>3045</v>
      </c>
      <c r="P10">
        <v>0</v>
      </c>
      <c r="Q10">
        <v>6217.86</v>
      </c>
    </row>
    <row r="11" spans="1:23" x14ac:dyDescent="0.25">
      <c r="A11" t="s">
        <v>2045</v>
      </c>
      <c r="B11" t="s">
        <v>2046</v>
      </c>
      <c r="C11" t="s">
        <v>2052</v>
      </c>
      <c r="D11" s="388">
        <v>0</v>
      </c>
      <c r="E11" s="388">
        <v>0</v>
      </c>
      <c r="M11" t="s">
        <v>2066</v>
      </c>
      <c r="N11" t="s">
        <v>2067</v>
      </c>
      <c r="O11" t="s">
        <v>3047</v>
      </c>
      <c r="P11">
        <v>0</v>
      </c>
      <c r="Q11">
        <v>-0.41</v>
      </c>
    </row>
    <row r="12" spans="1:23" x14ac:dyDescent="0.25">
      <c r="A12" t="s">
        <v>2045</v>
      </c>
      <c r="B12" t="s">
        <v>2046</v>
      </c>
      <c r="C12" t="s">
        <v>2053</v>
      </c>
      <c r="D12" s="388">
        <v>0</v>
      </c>
      <c r="E12" s="388">
        <v>0</v>
      </c>
      <c r="M12" t="s">
        <v>2045</v>
      </c>
      <c r="N12" t="s">
        <v>3726</v>
      </c>
      <c r="O12" t="s">
        <v>3051</v>
      </c>
      <c r="P12">
        <v>0</v>
      </c>
      <c r="Q12">
        <v>1005116.92</v>
      </c>
    </row>
    <row r="13" spans="1:23" x14ac:dyDescent="0.25">
      <c r="A13" t="s">
        <v>2045</v>
      </c>
      <c r="B13" t="s">
        <v>2046</v>
      </c>
      <c r="C13" t="s">
        <v>2054</v>
      </c>
      <c r="D13" s="388">
        <v>0</v>
      </c>
      <c r="E13" s="388">
        <v>0</v>
      </c>
      <c r="M13" t="s">
        <v>2066</v>
      </c>
      <c r="N13" t="s">
        <v>2066</v>
      </c>
      <c r="O13" t="s">
        <v>2213</v>
      </c>
      <c r="P13">
        <v>0</v>
      </c>
      <c r="Q13">
        <v>11511.35</v>
      </c>
    </row>
    <row r="14" spans="1:23" x14ac:dyDescent="0.25">
      <c r="A14" t="s">
        <v>2045</v>
      </c>
      <c r="B14" t="s">
        <v>2046</v>
      </c>
      <c r="C14" t="s">
        <v>2055</v>
      </c>
      <c r="D14" s="388">
        <v>0</v>
      </c>
      <c r="E14" s="388">
        <v>0</v>
      </c>
      <c r="M14" t="s">
        <v>1012</v>
      </c>
      <c r="N14" t="s">
        <v>2218</v>
      </c>
      <c r="O14" t="s">
        <v>3052</v>
      </c>
      <c r="P14">
        <v>-157736.71</v>
      </c>
      <c r="Q14">
        <v>-4223881.53</v>
      </c>
    </row>
    <row r="15" spans="1:23" x14ac:dyDescent="0.25">
      <c r="A15" t="s">
        <v>2045</v>
      </c>
      <c r="B15" t="s">
        <v>2046</v>
      </c>
      <c r="C15" t="s">
        <v>2056</v>
      </c>
      <c r="D15" s="388">
        <v>0</v>
      </c>
      <c r="E15" s="388">
        <v>0</v>
      </c>
      <c r="M15" t="s">
        <v>1012</v>
      </c>
      <c r="N15" t="s">
        <v>2218</v>
      </c>
      <c r="O15" t="s">
        <v>3053</v>
      </c>
      <c r="P15">
        <v>-109946.8</v>
      </c>
      <c r="Q15">
        <v>0</v>
      </c>
    </row>
    <row r="16" spans="1:23" x14ac:dyDescent="0.25">
      <c r="A16" t="s">
        <v>2045</v>
      </c>
      <c r="B16" t="s">
        <v>2046</v>
      </c>
      <c r="C16" t="s">
        <v>2057</v>
      </c>
      <c r="D16" s="388">
        <v>0</v>
      </c>
      <c r="E16" s="388">
        <v>0</v>
      </c>
      <c r="M16" t="s">
        <v>1012</v>
      </c>
      <c r="N16" t="s">
        <v>1012</v>
      </c>
      <c r="O16" t="s">
        <v>2227</v>
      </c>
      <c r="P16">
        <v>0</v>
      </c>
      <c r="Q16">
        <v>-0.16</v>
      </c>
    </row>
    <row r="17" spans="1:17" x14ac:dyDescent="0.25">
      <c r="A17" t="s">
        <v>2045</v>
      </c>
      <c r="B17" t="s">
        <v>2058</v>
      </c>
      <c r="C17" t="s">
        <v>2059</v>
      </c>
      <c r="D17" s="388">
        <v>0</v>
      </c>
      <c r="E17" s="388">
        <v>0</v>
      </c>
      <c r="M17" t="s">
        <v>2128</v>
      </c>
      <c r="N17" t="s">
        <v>2257</v>
      </c>
      <c r="O17" t="s">
        <v>3054</v>
      </c>
      <c r="P17">
        <v>0</v>
      </c>
      <c r="Q17">
        <v>48864</v>
      </c>
    </row>
    <row r="18" spans="1:17" x14ac:dyDescent="0.25">
      <c r="A18" t="s">
        <v>2045</v>
      </c>
      <c r="B18" t="s">
        <v>2046</v>
      </c>
      <c r="C18" t="s">
        <v>2060</v>
      </c>
      <c r="D18" s="388">
        <v>0</v>
      </c>
      <c r="E18" s="388">
        <v>0</v>
      </c>
      <c r="M18" t="s">
        <v>1013</v>
      </c>
      <c r="N18" t="s">
        <v>3727</v>
      </c>
      <c r="O18" t="s">
        <v>3728</v>
      </c>
      <c r="P18">
        <v>0</v>
      </c>
      <c r="Q18">
        <v>15783541.9</v>
      </c>
    </row>
    <row r="19" spans="1:17" x14ac:dyDescent="0.25">
      <c r="A19" t="s">
        <v>2045</v>
      </c>
      <c r="B19" t="s">
        <v>2046</v>
      </c>
      <c r="C19" t="s">
        <v>2061</v>
      </c>
      <c r="D19" s="388">
        <v>0</v>
      </c>
      <c r="E19" s="388">
        <v>0</v>
      </c>
      <c r="M19" t="s">
        <v>1013</v>
      </c>
      <c r="N19" t="s">
        <v>3727</v>
      </c>
      <c r="O19" t="s">
        <v>3729</v>
      </c>
      <c r="P19">
        <v>0</v>
      </c>
      <c r="Q19">
        <v>472443.85</v>
      </c>
    </row>
    <row r="20" spans="1:17" x14ac:dyDescent="0.25">
      <c r="A20" t="s">
        <v>1012</v>
      </c>
      <c r="B20" t="s">
        <v>1012</v>
      </c>
      <c r="C20" t="s">
        <v>2062</v>
      </c>
      <c r="D20" s="388">
        <v>0</v>
      </c>
      <c r="E20" s="388">
        <v>1196.7</v>
      </c>
      <c r="M20" t="s">
        <v>1013</v>
      </c>
      <c r="N20" t="s">
        <v>3727</v>
      </c>
      <c r="O20" t="s">
        <v>3730</v>
      </c>
      <c r="P20">
        <v>0</v>
      </c>
      <c r="Q20">
        <v>295724.71999999997</v>
      </c>
    </row>
    <row r="21" spans="1:17" x14ac:dyDescent="0.25">
      <c r="A21" t="s">
        <v>1012</v>
      </c>
      <c r="B21" t="s">
        <v>1012</v>
      </c>
      <c r="C21" t="s">
        <v>2063</v>
      </c>
      <c r="D21" s="388">
        <v>0</v>
      </c>
      <c r="E21" s="388">
        <v>0</v>
      </c>
      <c r="M21" t="s">
        <v>953</v>
      </c>
      <c r="N21" t="s">
        <v>3731</v>
      </c>
      <c r="O21" t="s">
        <v>3732</v>
      </c>
      <c r="P21">
        <v>0</v>
      </c>
      <c r="Q21">
        <v>-16524819.84</v>
      </c>
    </row>
    <row r="22" spans="1:17" x14ac:dyDescent="0.25">
      <c r="A22" t="s">
        <v>953</v>
      </c>
      <c r="B22" t="s">
        <v>2064</v>
      </c>
      <c r="C22" t="s">
        <v>2065</v>
      </c>
      <c r="D22" s="388">
        <v>0</v>
      </c>
      <c r="E22" s="388">
        <v>0</v>
      </c>
      <c r="M22" t="s">
        <v>953</v>
      </c>
      <c r="N22" t="s">
        <v>3731</v>
      </c>
      <c r="O22" t="s">
        <v>3733</v>
      </c>
      <c r="P22">
        <v>0</v>
      </c>
      <c r="Q22">
        <v>-543288.98</v>
      </c>
    </row>
    <row r="23" spans="1:17" x14ac:dyDescent="0.25">
      <c r="A23" t="s">
        <v>2066</v>
      </c>
      <c r="B23" t="s">
        <v>2067</v>
      </c>
      <c r="C23" t="s">
        <v>2068</v>
      </c>
      <c r="D23" s="388">
        <v>0</v>
      </c>
      <c r="E23" s="388">
        <v>0</v>
      </c>
      <c r="M23" t="s">
        <v>953</v>
      </c>
      <c r="N23" t="s">
        <v>3731</v>
      </c>
      <c r="O23" t="s">
        <v>3734</v>
      </c>
      <c r="P23">
        <v>0</v>
      </c>
      <c r="Q23">
        <v>-346189.94</v>
      </c>
    </row>
    <row r="24" spans="1:17" x14ac:dyDescent="0.25">
      <c r="A24" t="s">
        <v>2066</v>
      </c>
      <c r="B24" t="s">
        <v>2069</v>
      </c>
      <c r="C24" t="s">
        <v>2070</v>
      </c>
      <c r="D24" s="388">
        <v>0</v>
      </c>
      <c r="E24" s="388">
        <v>0</v>
      </c>
      <c r="M24" t="s">
        <v>1013</v>
      </c>
      <c r="N24" t="s">
        <v>3735</v>
      </c>
      <c r="O24" t="s">
        <v>3736</v>
      </c>
      <c r="P24">
        <v>0</v>
      </c>
      <c r="Q24">
        <v>264829.94</v>
      </c>
    </row>
    <row r="25" spans="1:17" x14ac:dyDescent="0.25">
      <c r="A25" t="s">
        <v>2066</v>
      </c>
      <c r="B25" t="s">
        <v>2071</v>
      </c>
      <c r="C25" t="s">
        <v>2072</v>
      </c>
      <c r="D25" s="388">
        <v>0</v>
      </c>
      <c r="E25" s="388">
        <v>0</v>
      </c>
      <c r="M25" t="s">
        <v>1013</v>
      </c>
      <c r="N25" t="s">
        <v>3735</v>
      </c>
      <c r="O25" t="s">
        <v>3737</v>
      </c>
      <c r="P25">
        <v>0</v>
      </c>
      <c r="Q25">
        <v>293.18</v>
      </c>
    </row>
    <row r="26" spans="1:17" x14ac:dyDescent="0.25">
      <c r="A26" t="s">
        <v>953</v>
      </c>
      <c r="B26" t="s">
        <v>2064</v>
      </c>
      <c r="C26" t="s">
        <v>2073</v>
      </c>
      <c r="D26" s="388">
        <v>0</v>
      </c>
      <c r="E26" s="388">
        <v>0</v>
      </c>
      <c r="M26" t="s">
        <v>2169</v>
      </c>
      <c r="N26" t="s">
        <v>2169</v>
      </c>
      <c r="O26" t="s">
        <v>3738</v>
      </c>
      <c r="P26">
        <v>0</v>
      </c>
      <c r="Q26">
        <v>-126084</v>
      </c>
    </row>
    <row r="27" spans="1:17" x14ac:dyDescent="0.25">
      <c r="A27" t="s">
        <v>2066</v>
      </c>
      <c r="B27" t="s">
        <v>2067</v>
      </c>
      <c r="C27" t="s">
        <v>2074</v>
      </c>
      <c r="D27" s="388">
        <v>0</v>
      </c>
      <c r="E27" s="388">
        <v>0</v>
      </c>
      <c r="M27" t="s">
        <v>2427</v>
      </c>
      <c r="N27" t="s">
        <v>2427</v>
      </c>
      <c r="O27" t="s">
        <v>3055</v>
      </c>
      <c r="P27">
        <v>0</v>
      </c>
      <c r="Q27">
        <v>-12702.41</v>
      </c>
    </row>
    <row r="28" spans="1:17" x14ac:dyDescent="0.25">
      <c r="A28" t="s">
        <v>2066</v>
      </c>
      <c r="B28" t="s">
        <v>2069</v>
      </c>
      <c r="C28" t="s">
        <v>2075</v>
      </c>
      <c r="D28" s="388">
        <v>0</v>
      </c>
      <c r="E28" s="388">
        <v>0</v>
      </c>
      <c r="M28" t="s">
        <v>2080</v>
      </c>
      <c r="N28" t="s">
        <v>2080</v>
      </c>
      <c r="O28" t="s">
        <v>3056</v>
      </c>
      <c r="P28">
        <v>0</v>
      </c>
      <c r="Q28">
        <v>17505.349999999999</v>
      </c>
    </row>
    <row r="29" spans="1:17" x14ac:dyDescent="0.25">
      <c r="A29" t="s">
        <v>2066</v>
      </c>
      <c r="B29" t="s">
        <v>2071</v>
      </c>
      <c r="C29" t="s">
        <v>2076</v>
      </c>
      <c r="D29" s="388">
        <v>0</v>
      </c>
      <c r="E29" s="388">
        <v>0</v>
      </c>
      <c r="M29" t="s">
        <v>1012</v>
      </c>
      <c r="N29" t="s">
        <v>1012</v>
      </c>
      <c r="O29" t="s">
        <v>3057</v>
      </c>
      <c r="P29">
        <v>0</v>
      </c>
      <c r="Q29">
        <v>-659968.44999999995</v>
      </c>
    </row>
    <row r="30" spans="1:17" x14ac:dyDescent="0.25">
      <c r="A30" t="s">
        <v>953</v>
      </c>
      <c r="B30" t="s">
        <v>2064</v>
      </c>
      <c r="C30" t="s">
        <v>2077</v>
      </c>
      <c r="D30" s="388">
        <v>0</v>
      </c>
      <c r="E30" s="388">
        <v>0</v>
      </c>
      <c r="M30" t="s">
        <v>2169</v>
      </c>
      <c r="N30" t="s">
        <v>2169</v>
      </c>
      <c r="O30" t="s">
        <v>3058</v>
      </c>
      <c r="P30">
        <v>0</v>
      </c>
      <c r="Q30">
        <v>-19306.740000000002</v>
      </c>
    </row>
    <row r="31" spans="1:17" x14ac:dyDescent="0.25">
      <c r="A31" t="s">
        <v>2066</v>
      </c>
      <c r="B31" t="s">
        <v>2067</v>
      </c>
      <c r="C31" t="s">
        <v>2078</v>
      </c>
      <c r="D31" s="388">
        <v>0</v>
      </c>
      <c r="E31" s="388">
        <v>0</v>
      </c>
      <c r="M31" t="s">
        <v>2080</v>
      </c>
      <c r="N31" t="s">
        <v>2273</v>
      </c>
      <c r="O31" t="s">
        <v>3059</v>
      </c>
      <c r="P31">
        <v>-6947999.1699999999</v>
      </c>
      <c r="Q31">
        <v>0</v>
      </c>
    </row>
    <row r="32" spans="1:17" x14ac:dyDescent="0.25">
      <c r="A32" t="s">
        <v>2066</v>
      </c>
      <c r="B32" t="s">
        <v>2069</v>
      </c>
      <c r="C32" t="s">
        <v>2079</v>
      </c>
      <c r="D32" s="388">
        <v>0</v>
      </c>
      <c r="E32" s="388">
        <v>0</v>
      </c>
      <c r="M32" t="s">
        <v>2066</v>
      </c>
      <c r="N32" t="s">
        <v>2066</v>
      </c>
      <c r="O32" t="s">
        <v>3061</v>
      </c>
      <c r="P32">
        <v>0</v>
      </c>
      <c r="Q32">
        <v>70004.78</v>
      </c>
    </row>
    <row r="33" spans="1:17" x14ac:dyDescent="0.25">
      <c r="A33" t="s">
        <v>2080</v>
      </c>
      <c r="B33" t="s">
        <v>2080</v>
      </c>
      <c r="C33" t="s">
        <v>2081</v>
      </c>
      <c r="D33" s="388">
        <v>0</v>
      </c>
      <c r="E33" s="388">
        <v>0</v>
      </c>
      <c r="M33" t="s">
        <v>2066</v>
      </c>
      <c r="N33" t="s">
        <v>2066</v>
      </c>
      <c r="O33" t="s">
        <v>2290</v>
      </c>
      <c r="P33">
        <v>0</v>
      </c>
      <c r="Q33">
        <v>3557</v>
      </c>
    </row>
    <row r="34" spans="1:17" x14ac:dyDescent="0.25">
      <c r="A34" t="s">
        <v>2080</v>
      </c>
      <c r="B34" t="s">
        <v>2080</v>
      </c>
      <c r="C34" t="s">
        <v>2082</v>
      </c>
      <c r="D34" s="388">
        <v>0</v>
      </c>
      <c r="E34" s="388">
        <v>0</v>
      </c>
      <c r="M34" t="s">
        <v>2128</v>
      </c>
      <c r="N34" t="s">
        <v>2131</v>
      </c>
      <c r="O34" t="s">
        <v>3062</v>
      </c>
      <c r="P34">
        <v>0</v>
      </c>
      <c r="Q34">
        <v>48579.1</v>
      </c>
    </row>
    <row r="35" spans="1:17" x14ac:dyDescent="0.25">
      <c r="A35" t="s">
        <v>953</v>
      </c>
      <c r="B35" t="s">
        <v>2064</v>
      </c>
      <c r="C35" t="s">
        <v>2083</v>
      </c>
      <c r="D35" s="388">
        <v>0</v>
      </c>
      <c r="E35" s="388">
        <v>0</v>
      </c>
      <c r="M35" t="s">
        <v>2080</v>
      </c>
      <c r="N35" t="s">
        <v>2080</v>
      </c>
      <c r="O35" t="s">
        <v>2320</v>
      </c>
      <c r="P35">
        <v>0</v>
      </c>
      <c r="Q35">
        <v>0.08</v>
      </c>
    </row>
    <row r="36" spans="1:17" x14ac:dyDescent="0.25">
      <c r="A36" t="s">
        <v>2066</v>
      </c>
      <c r="B36" t="s">
        <v>2067</v>
      </c>
      <c r="C36" t="s">
        <v>2084</v>
      </c>
      <c r="D36" s="388">
        <v>0</v>
      </c>
      <c r="E36" s="388">
        <v>0</v>
      </c>
      <c r="M36" t="s">
        <v>2066</v>
      </c>
      <c r="N36" t="s">
        <v>2066</v>
      </c>
      <c r="O36" t="s">
        <v>3063</v>
      </c>
      <c r="P36">
        <v>0</v>
      </c>
      <c r="Q36">
        <v>1187246.79</v>
      </c>
    </row>
    <row r="37" spans="1:17" x14ac:dyDescent="0.25">
      <c r="A37" t="s">
        <v>2066</v>
      </c>
      <c r="B37" t="s">
        <v>2069</v>
      </c>
      <c r="C37" t="s">
        <v>2085</v>
      </c>
      <c r="D37" s="388">
        <v>0</v>
      </c>
      <c r="E37" s="388">
        <v>0</v>
      </c>
      <c r="M37" t="s">
        <v>2045</v>
      </c>
      <c r="N37" t="s">
        <v>3726</v>
      </c>
      <c r="O37" t="s">
        <v>3064</v>
      </c>
      <c r="P37">
        <v>0</v>
      </c>
      <c r="Q37">
        <v>-389722.92</v>
      </c>
    </row>
    <row r="38" spans="1:17" x14ac:dyDescent="0.25">
      <c r="A38" t="s">
        <v>953</v>
      </c>
      <c r="B38" t="s">
        <v>2064</v>
      </c>
      <c r="C38" t="s">
        <v>2086</v>
      </c>
      <c r="D38" s="388">
        <v>0</v>
      </c>
      <c r="E38" s="388">
        <v>0</v>
      </c>
      <c r="M38" t="s">
        <v>1012</v>
      </c>
      <c r="N38" t="s">
        <v>1012</v>
      </c>
      <c r="O38" t="s">
        <v>3065</v>
      </c>
      <c r="P38">
        <v>0</v>
      </c>
      <c r="Q38">
        <v>-3347.82</v>
      </c>
    </row>
    <row r="39" spans="1:17" x14ac:dyDescent="0.25">
      <c r="A39" t="s">
        <v>2066</v>
      </c>
      <c r="B39" t="s">
        <v>2067</v>
      </c>
      <c r="C39" t="s">
        <v>2087</v>
      </c>
      <c r="D39" s="388">
        <v>0</v>
      </c>
      <c r="E39" s="388">
        <v>0</v>
      </c>
      <c r="M39" t="s">
        <v>2045</v>
      </c>
      <c r="N39" t="s">
        <v>3726</v>
      </c>
      <c r="O39" t="s">
        <v>3066</v>
      </c>
      <c r="P39">
        <v>0</v>
      </c>
      <c r="Q39">
        <v>-677690</v>
      </c>
    </row>
    <row r="40" spans="1:17" x14ac:dyDescent="0.25">
      <c r="A40" t="s">
        <v>2066</v>
      </c>
      <c r="B40" t="s">
        <v>2069</v>
      </c>
      <c r="C40" t="s">
        <v>2088</v>
      </c>
      <c r="D40" s="388">
        <v>0</v>
      </c>
      <c r="E40" s="388">
        <v>0</v>
      </c>
      <c r="M40" t="s">
        <v>2066</v>
      </c>
      <c r="N40" t="s">
        <v>234</v>
      </c>
      <c r="O40" t="s">
        <v>2386</v>
      </c>
      <c r="P40">
        <v>0</v>
      </c>
      <c r="Q40">
        <v>8180</v>
      </c>
    </row>
    <row r="41" spans="1:17" x14ac:dyDescent="0.25">
      <c r="A41" t="s">
        <v>953</v>
      </c>
      <c r="B41" t="s">
        <v>2064</v>
      </c>
      <c r="C41" t="s">
        <v>2089</v>
      </c>
      <c r="D41" s="388">
        <v>0</v>
      </c>
      <c r="E41" s="388">
        <v>0</v>
      </c>
      <c r="M41" t="s">
        <v>2045</v>
      </c>
      <c r="N41" t="s">
        <v>3726</v>
      </c>
      <c r="O41" t="s">
        <v>3581</v>
      </c>
      <c r="P41">
        <v>0</v>
      </c>
      <c r="Q41">
        <v>92067.16</v>
      </c>
    </row>
    <row r="42" spans="1:17" x14ac:dyDescent="0.25">
      <c r="A42" t="s">
        <v>2066</v>
      </c>
      <c r="B42" t="s">
        <v>2067</v>
      </c>
      <c r="C42" t="s">
        <v>2090</v>
      </c>
      <c r="D42" s="388">
        <v>0</v>
      </c>
      <c r="E42" s="388">
        <v>0</v>
      </c>
      <c r="M42" t="s">
        <v>2045</v>
      </c>
      <c r="N42" t="s">
        <v>3726</v>
      </c>
      <c r="O42" t="s">
        <v>3070</v>
      </c>
      <c r="P42">
        <v>0</v>
      </c>
      <c r="Q42">
        <v>202401.4</v>
      </c>
    </row>
    <row r="43" spans="1:17" x14ac:dyDescent="0.25">
      <c r="A43" t="s">
        <v>2066</v>
      </c>
      <c r="B43" t="s">
        <v>2069</v>
      </c>
      <c r="C43" t="s">
        <v>2091</v>
      </c>
      <c r="D43" s="388">
        <v>0</v>
      </c>
      <c r="E43" s="388">
        <v>0</v>
      </c>
      <c r="M43" t="s">
        <v>2281</v>
      </c>
      <c r="N43" t="s">
        <v>2282</v>
      </c>
      <c r="O43" t="s">
        <v>3071</v>
      </c>
      <c r="P43">
        <v>0</v>
      </c>
      <c r="Q43">
        <v>-453997</v>
      </c>
    </row>
    <row r="44" spans="1:17" x14ac:dyDescent="0.25">
      <c r="A44" t="s">
        <v>953</v>
      </c>
      <c r="B44" t="s">
        <v>2064</v>
      </c>
      <c r="C44" t="s">
        <v>2092</v>
      </c>
      <c r="D44" s="388">
        <v>0</v>
      </c>
      <c r="E44" s="388">
        <v>0</v>
      </c>
      <c r="M44" t="s">
        <v>2281</v>
      </c>
      <c r="N44" t="s">
        <v>2573</v>
      </c>
      <c r="O44" t="s">
        <v>3072</v>
      </c>
      <c r="P44">
        <v>0</v>
      </c>
      <c r="Q44">
        <v>453997</v>
      </c>
    </row>
    <row r="45" spans="1:17" x14ac:dyDescent="0.25">
      <c r="A45" t="s">
        <v>2066</v>
      </c>
      <c r="B45" t="s">
        <v>2067</v>
      </c>
      <c r="C45" t="s">
        <v>2093</v>
      </c>
      <c r="D45" s="388">
        <v>0</v>
      </c>
      <c r="E45" s="388">
        <v>0</v>
      </c>
      <c r="M45" t="s">
        <v>2066</v>
      </c>
      <c r="N45" t="s">
        <v>2066</v>
      </c>
      <c r="O45" t="s">
        <v>2408</v>
      </c>
      <c r="P45">
        <v>0</v>
      </c>
      <c r="Q45">
        <v>-20864.91</v>
      </c>
    </row>
    <row r="46" spans="1:17" x14ac:dyDescent="0.25">
      <c r="A46" t="s">
        <v>2066</v>
      </c>
      <c r="B46" t="s">
        <v>2069</v>
      </c>
      <c r="C46" t="s">
        <v>2094</v>
      </c>
      <c r="D46" s="388">
        <v>0</v>
      </c>
      <c r="E46" s="388">
        <v>0</v>
      </c>
      <c r="M46" t="s">
        <v>2066</v>
      </c>
      <c r="N46" t="s">
        <v>2066</v>
      </c>
      <c r="O46" t="s">
        <v>3073</v>
      </c>
      <c r="P46">
        <v>0</v>
      </c>
      <c r="Q46">
        <v>10710237.35</v>
      </c>
    </row>
    <row r="47" spans="1:17" x14ac:dyDescent="0.25">
      <c r="A47" t="s">
        <v>2066</v>
      </c>
      <c r="B47" t="s">
        <v>2071</v>
      </c>
      <c r="C47" t="s">
        <v>2095</v>
      </c>
      <c r="D47" s="388">
        <v>0</v>
      </c>
      <c r="E47" s="388">
        <v>0</v>
      </c>
      <c r="M47" t="s">
        <v>2281</v>
      </c>
      <c r="N47" t="s">
        <v>2282</v>
      </c>
      <c r="O47" t="s">
        <v>234</v>
      </c>
      <c r="P47">
        <v>0</v>
      </c>
      <c r="Q47">
        <v>0.74</v>
      </c>
    </row>
    <row r="48" spans="1:17" x14ac:dyDescent="0.25">
      <c r="A48" t="s">
        <v>1012</v>
      </c>
      <c r="B48" t="s">
        <v>1012</v>
      </c>
      <c r="C48" t="s">
        <v>2096</v>
      </c>
      <c r="D48" s="388">
        <v>0</v>
      </c>
      <c r="E48" s="388">
        <v>0</v>
      </c>
      <c r="M48" t="s">
        <v>2066</v>
      </c>
      <c r="N48" t="s">
        <v>2066</v>
      </c>
      <c r="O48" t="s">
        <v>3075</v>
      </c>
      <c r="P48">
        <v>0</v>
      </c>
      <c r="Q48">
        <v>705075</v>
      </c>
    </row>
    <row r="49" spans="1:17" x14ac:dyDescent="0.25">
      <c r="A49" t="s">
        <v>953</v>
      </c>
      <c r="B49" t="s">
        <v>2064</v>
      </c>
      <c r="C49" t="s">
        <v>2097</v>
      </c>
      <c r="D49" s="388">
        <v>0</v>
      </c>
      <c r="E49" s="388">
        <v>0</v>
      </c>
      <c r="M49" t="s">
        <v>2080</v>
      </c>
      <c r="N49" t="s">
        <v>2080</v>
      </c>
      <c r="O49" t="s">
        <v>2426</v>
      </c>
      <c r="P49">
        <v>0</v>
      </c>
      <c r="Q49">
        <v>0.5</v>
      </c>
    </row>
    <row r="50" spans="1:17" x14ac:dyDescent="0.25">
      <c r="A50" t="s">
        <v>2066</v>
      </c>
      <c r="B50" t="s">
        <v>2069</v>
      </c>
      <c r="C50" t="s">
        <v>2098</v>
      </c>
      <c r="D50" s="388">
        <v>0</v>
      </c>
      <c r="E50" s="388">
        <v>0</v>
      </c>
      <c r="M50" t="s">
        <v>1012</v>
      </c>
      <c r="N50" t="s">
        <v>1012</v>
      </c>
      <c r="O50" t="s">
        <v>2467</v>
      </c>
      <c r="P50">
        <v>0</v>
      </c>
      <c r="Q50">
        <v>-270.32</v>
      </c>
    </row>
    <row r="51" spans="1:17" x14ac:dyDescent="0.25">
      <c r="A51" t="s">
        <v>2066</v>
      </c>
      <c r="B51" t="s">
        <v>2067</v>
      </c>
      <c r="C51" t="s">
        <v>2099</v>
      </c>
      <c r="D51" s="388">
        <v>0</v>
      </c>
      <c r="E51" s="388">
        <v>0</v>
      </c>
      <c r="M51" t="s">
        <v>2128</v>
      </c>
      <c r="N51" t="s">
        <v>2257</v>
      </c>
      <c r="O51" t="s">
        <v>3076</v>
      </c>
      <c r="P51">
        <v>0</v>
      </c>
      <c r="Q51">
        <v>82969</v>
      </c>
    </row>
    <row r="52" spans="1:17" x14ac:dyDescent="0.25">
      <c r="A52" t="s">
        <v>953</v>
      </c>
      <c r="B52" t="s">
        <v>2064</v>
      </c>
      <c r="C52" t="s">
        <v>2100</v>
      </c>
      <c r="D52" s="388">
        <v>0</v>
      </c>
      <c r="E52" s="388">
        <v>0</v>
      </c>
      <c r="M52" t="s">
        <v>2066</v>
      </c>
      <c r="N52" t="s">
        <v>2066</v>
      </c>
      <c r="O52" t="s">
        <v>3077</v>
      </c>
      <c r="P52">
        <v>0</v>
      </c>
      <c r="Q52">
        <v>8400</v>
      </c>
    </row>
    <row r="53" spans="1:17" x14ac:dyDescent="0.25">
      <c r="A53" t="s">
        <v>2066</v>
      </c>
      <c r="B53" t="s">
        <v>2067</v>
      </c>
      <c r="C53" t="s">
        <v>2101</v>
      </c>
      <c r="D53" s="388">
        <v>0</v>
      </c>
      <c r="E53" s="388">
        <v>0</v>
      </c>
      <c r="M53" t="s">
        <v>2066</v>
      </c>
      <c r="N53" t="s">
        <v>2066</v>
      </c>
      <c r="O53" t="s">
        <v>3078</v>
      </c>
      <c r="P53">
        <v>0</v>
      </c>
      <c r="Q53">
        <v>1506</v>
      </c>
    </row>
    <row r="54" spans="1:17" x14ac:dyDescent="0.25">
      <c r="A54" t="s">
        <v>2066</v>
      </c>
      <c r="B54" t="s">
        <v>2069</v>
      </c>
      <c r="C54" t="s">
        <v>2102</v>
      </c>
      <c r="D54" s="388">
        <v>0</v>
      </c>
      <c r="E54" s="388">
        <v>0</v>
      </c>
      <c r="M54" t="s">
        <v>2066</v>
      </c>
      <c r="N54" t="s">
        <v>3079</v>
      </c>
      <c r="O54" t="s">
        <v>3080</v>
      </c>
      <c r="P54">
        <v>0</v>
      </c>
      <c r="Q54">
        <v>235470.11</v>
      </c>
    </row>
    <row r="55" spans="1:17" x14ac:dyDescent="0.25">
      <c r="A55" t="s">
        <v>2066</v>
      </c>
      <c r="B55" t="s">
        <v>2071</v>
      </c>
      <c r="C55" t="s">
        <v>2103</v>
      </c>
      <c r="D55" s="388">
        <v>0</v>
      </c>
      <c r="E55" s="388">
        <v>0</v>
      </c>
      <c r="M55" t="s">
        <v>2066</v>
      </c>
      <c r="N55" t="s">
        <v>3079</v>
      </c>
      <c r="O55" t="s">
        <v>3081</v>
      </c>
      <c r="P55">
        <v>0</v>
      </c>
      <c r="Q55">
        <v>235470.1</v>
      </c>
    </row>
    <row r="56" spans="1:17" x14ac:dyDescent="0.25">
      <c r="A56" t="s">
        <v>953</v>
      </c>
      <c r="B56" t="s">
        <v>2064</v>
      </c>
      <c r="C56" t="s">
        <v>2104</v>
      </c>
      <c r="D56" s="388">
        <v>0</v>
      </c>
      <c r="E56" s="388">
        <v>0</v>
      </c>
      <c r="M56" t="s">
        <v>2066</v>
      </c>
      <c r="N56" t="s">
        <v>3079</v>
      </c>
      <c r="O56" t="s">
        <v>3082</v>
      </c>
      <c r="P56">
        <v>0</v>
      </c>
      <c r="Q56">
        <v>2933405.65</v>
      </c>
    </row>
    <row r="57" spans="1:17" x14ac:dyDescent="0.25">
      <c r="A57" t="s">
        <v>2066</v>
      </c>
      <c r="B57" t="s">
        <v>2067</v>
      </c>
      <c r="C57" t="s">
        <v>2105</v>
      </c>
      <c r="D57" s="388">
        <v>0</v>
      </c>
      <c r="E57" s="388">
        <v>0</v>
      </c>
      <c r="M57" t="s">
        <v>2080</v>
      </c>
      <c r="N57" t="s">
        <v>2080</v>
      </c>
      <c r="O57" t="s">
        <v>2524</v>
      </c>
      <c r="P57">
        <v>0</v>
      </c>
      <c r="Q57">
        <v>2377905.7999999998</v>
      </c>
    </row>
    <row r="58" spans="1:17" x14ac:dyDescent="0.25">
      <c r="A58" t="s">
        <v>2066</v>
      </c>
      <c r="B58" t="s">
        <v>2069</v>
      </c>
      <c r="C58" t="s">
        <v>2106</v>
      </c>
      <c r="D58" s="388">
        <v>0</v>
      </c>
      <c r="E58" s="388">
        <v>0</v>
      </c>
      <c r="M58" t="s">
        <v>1012</v>
      </c>
      <c r="N58" t="s">
        <v>1012</v>
      </c>
      <c r="O58" t="s">
        <v>3084</v>
      </c>
      <c r="P58">
        <v>0</v>
      </c>
      <c r="Q58">
        <v>-0.23</v>
      </c>
    </row>
    <row r="59" spans="1:17" x14ac:dyDescent="0.25">
      <c r="A59" t="s">
        <v>1012</v>
      </c>
      <c r="B59" t="s">
        <v>1012</v>
      </c>
      <c r="C59" t="s">
        <v>2107</v>
      </c>
      <c r="D59" s="388">
        <v>0</v>
      </c>
      <c r="E59" s="388">
        <v>0</v>
      </c>
      <c r="M59" t="s">
        <v>2080</v>
      </c>
      <c r="N59" t="s">
        <v>2177</v>
      </c>
      <c r="O59" t="s">
        <v>3085</v>
      </c>
      <c r="P59">
        <v>13484.35</v>
      </c>
      <c r="Q59">
        <v>0.46</v>
      </c>
    </row>
    <row r="60" spans="1:17" x14ac:dyDescent="0.25">
      <c r="A60" t="s">
        <v>1012</v>
      </c>
      <c r="B60" t="s">
        <v>1012</v>
      </c>
      <c r="C60" t="s">
        <v>2108</v>
      </c>
      <c r="D60" s="388">
        <v>0</v>
      </c>
      <c r="E60" s="388">
        <v>0</v>
      </c>
      <c r="M60" t="s">
        <v>1012</v>
      </c>
      <c r="N60" t="s">
        <v>2216</v>
      </c>
      <c r="O60" t="s">
        <v>2533</v>
      </c>
      <c r="P60">
        <v>0</v>
      </c>
      <c r="Q60">
        <v>-5896299.4699999997</v>
      </c>
    </row>
    <row r="61" spans="1:17" x14ac:dyDescent="0.25">
      <c r="A61" t="s">
        <v>1012</v>
      </c>
      <c r="B61" t="s">
        <v>1012</v>
      </c>
      <c r="C61" t="s">
        <v>2109</v>
      </c>
      <c r="D61" s="388">
        <v>0</v>
      </c>
      <c r="E61" s="388">
        <v>0</v>
      </c>
      <c r="M61" t="s">
        <v>2080</v>
      </c>
      <c r="N61" t="s">
        <v>2080</v>
      </c>
      <c r="O61" t="s">
        <v>2535</v>
      </c>
      <c r="P61">
        <v>0</v>
      </c>
      <c r="Q61">
        <v>700614</v>
      </c>
    </row>
    <row r="62" spans="1:17" x14ac:dyDescent="0.25">
      <c r="A62" t="s">
        <v>1012</v>
      </c>
      <c r="B62" t="s">
        <v>1012</v>
      </c>
      <c r="C62" t="s">
        <v>2110</v>
      </c>
      <c r="D62" s="388">
        <v>0</v>
      </c>
      <c r="E62" s="388">
        <v>0</v>
      </c>
      <c r="M62" t="s">
        <v>2169</v>
      </c>
      <c r="N62" t="s">
        <v>2169</v>
      </c>
      <c r="O62" t="s">
        <v>3086</v>
      </c>
      <c r="P62">
        <v>0</v>
      </c>
      <c r="Q62">
        <v>-466809.04</v>
      </c>
    </row>
    <row r="63" spans="1:17" x14ac:dyDescent="0.25">
      <c r="A63" t="s">
        <v>953</v>
      </c>
      <c r="B63" t="s">
        <v>2064</v>
      </c>
      <c r="C63" t="s">
        <v>2111</v>
      </c>
      <c r="D63" s="388">
        <v>0</v>
      </c>
      <c r="E63" s="388">
        <v>0</v>
      </c>
      <c r="M63" t="s">
        <v>1012</v>
      </c>
      <c r="N63" t="s">
        <v>1012</v>
      </c>
      <c r="O63" t="s">
        <v>2539</v>
      </c>
      <c r="P63">
        <v>0</v>
      </c>
      <c r="Q63">
        <v>-54000</v>
      </c>
    </row>
    <row r="64" spans="1:17" x14ac:dyDescent="0.25">
      <c r="A64" t="s">
        <v>953</v>
      </c>
      <c r="B64" t="s">
        <v>2112</v>
      </c>
      <c r="C64" t="s">
        <v>2113</v>
      </c>
      <c r="D64" s="388">
        <v>-6919</v>
      </c>
      <c r="E64" s="388">
        <v>0</v>
      </c>
      <c r="M64" t="s">
        <v>1012</v>
      </c>
      <c r="N64" t="s">
        <v>1012</v>
      </c>
      <c r="O64" t="s">
        <v>3087</v>
      </c>
      <c r="P64">
        <v>0</v>
      </c>
      <c r="Q64">
        <v>-24500</v>
      </c>
    </row>
    <row r="65" spans="1:17" x14ac:dyDescent="0.25">
      <c r="A65" t="s">
        <v>2066</v>
      </c>
      <c r="B65" t="s">
        <v>2069</v>
      </c>
      <c r="C65" t="s">
        <v>2114</v>
      </c>
      <c r="D65" s="388">
        <v>0</v>
      </c>
      <c r="E65" s="388">
        <v>0</v>
      </c>
      <c r="M65" t="s">
        <v>2066</v>
      </c>
      <c r="N65" t="s">
        <v>2066</v>
      </c>
      <c r="O65" t="s">
        <v>2598</v>
      </c>
      <c r="P65">
        <v>0</v>
      </c>
      <c r="Q65">
        <v>4157.34</v>
      </c>
    </row>
    <row r="66" spans="1:17" x14ac:dyDescent="0.25">
      <c r="A66" t="s">
        <v>2066</v>
      </c>
      <c r="B66" t="s">
        <v>2071</v>
      </c>
      <c r="C66" t="s">
        <v>2115</v>
      </c>
      <c r="D66" s="388">
        <v>0</v>
      </c>
      <c r="E66" s="388">
        <v>0</v>
      </c>
      <c r="M66" t="s">
        <v>1012</v>
      </c>
      <c r="N66" t="s">
        <v>1012</v>
      </c>
      <c r="O66" t="s">
        <v>3089</v>
      </c>
      <c r="P66">
        <v>0</v>
      </c>
      <c r="Q66">
        <v>-8614</v>
      </c>
    </row>
    <row r="67" spans="1:17" x14ac:dyDescent="0.25">
      <c r="A67" t="s">
        <v>2066</v>
      </c>
      <c r="B67" t="s">
        <v>2067</v>
      </c>
      <c r="C67" t="s">
        <v>2116</v>
      </c>
      <c r="D67" s="388">
        <v>0</v>
      </c>
      <c r="E67" s="388">
        <v>0</v>
      </c>
      <c r="M67" t="s">
        <v>1013</v>
      </c>
      <c r="N67" t="s">
        <v>1013</v>
      </c>
      <c r="O67" t="s">
        <v>2636</v>
      </c>
      <c r="P67">
        <v>0</v>
      </c>
      <c r="Q67">
        <v>28284.92</v>
      </c>
    </row>
    <row r="68" spans="1:17" x14ac:dyDescent="0.25">
      <c r="A68" t="s">
        <v>953</v>
      </c>
      <c r="B68" t="s">
        <v>2112</v>
      </c>
      <c r="C68" t="s">
        <v>3040</v>
      </c>
      <c r="D68" s="388">
        <v>0</v>
      </c>
      <c r="E68" s="388">
        <v>0</v>
      </c>
      <c r="M68" t="s">
        <v>1013</v>
      </c>
      <c r="N68" t="s">
        <v>1013</v>
      </c>
      <c r="O68" t="s">
        <v>3622</v>
      </c>
      <c r="P68">
        <v>0</v>
      </c>
      <c r="Q68">
        <v>1427950.19</v>
      </c>
    </row>
    <row r="69" spans="1:17" x14ac:dyDescent="0.25">
      <c r="A69" t="s">
        <v>953</v>
      </c>
      <c r="B69" t="s">
        <v>2064</v>
      </c>
      <c r="C69" t="s">
        <v>2117</v>
      </c>
      <c r="D69" s="388">
        <v>-180000</v>
      </c>
      <c r="E69" s="388">
        <v>0</v>
      </c>
      <c r="M69" t="s">
        <v>1013</v>
      </c>
      <c r="N69" t="s">
        <v>1013</v>
      </c>
      <c r="O69" t="s">
        <v>3739</v>
      </c>
      <c r="P69">
        <v>0</v>
      </c>
      <c r="Q69">
        <v>693000</v>
      </c>
    </row>
    <row r="70" spans="1:17" x14ac:dyDescent="0.25">
      <c r="A70" t="s">
        <v>953</v>
      </c>
      <c r="B70" t="s">
        <v>2064</v>
      </c>
      <c r="C70" t="s">
        <v>2118</v>
      </c>
      <c r="D70" s="388">
        <v>0</v>
      </c>
      <c r="E70" s="388">
        <v>0</v>
      </c>
      <c r="M70" t="s">
        <v>959</v>
      </c>
      <c r="N70" t="s">
        <v>959</v>
      </c>
      <c r="O70" t="s">
        <v>1336</v>
      </c>
      <c r="P70">
        <v>0</v>
      </c>
      <c r="Q70">
        <v>-188234</v>
      </c>
    </row>
    <row r="71" spans="1:17" x14ac:dyDescent="0.25">
      <c r="A71" t="s">
        <v>100</v>
      </c>
      <c r="B71" t="s">
        <v>100</v>
      </c>
      <c r="C71" t="s">
        <v>2119</v>
      </c>
      <c r="D71" s="388">
        <v>1483740</v>
      </c>
      <c r="E71" s="388">
        <v>764293</v>
      </c>
      <c r="M71" t="s">
        <v>959</v>
      </c>
      <c r="N71" t="s">
        <v>959</v>
      </c>
      <c r="O71" t="s">
        <v>3091</v>
      </c>
      <c r="P71">
        <v>0</v>
      </c>
      <c r="Q71">
        <v>-168600</v>
      </c>
    </row>
    <row r="72" spans="1:17" x14ac:dyDescent="0.25">
      <c r="A72" t="s">
        <v>2045</v>
      </c>
      <c r="B72" t="s">
        <v>2045</v>
      </c>
      <c r="C72" t="s">
        <v>3041</v>
      </c>
      <c r="D72" s="388">
        <v>0</v>
      </c>
      <c r="E72" s="388">
        <v>7700000</v>
      </c>
      <c r="M72" t="s">
        <v>959</v>
      </c>
      <c r="N72" t="s">
        <v>959</v>
      </c>
      <c r="O72" t="s">
        <v>3092</v>
      </c>
      <c r="P72">
        <v>0</v>
      </c>
      <c r="Q72">
        <v>-393400</v>
      </c>
    </row>
    <row r="73" spans="1:17" x14ac:dyDescent="0.25">
      <c r="A73" t="s">
        <v>2120</v>
      </c>
      <c r="B73" t="s">
        <v>2120</v>
      </c>
      <c r="C73" t="s">
        <v>2121</v>
      </c>
      <c r="D73" s="388">
        <v>0</v>
      </c>
      <c r="E73" s="388">
        <v>0</v>
      </c>
      <c r="M73" t="s">
        <v>959</v>
      </c>
      <c r="N73" t="s">
        <v>959</v>
      </c>
      <c r="O73" t="s">
        <v>3093</v>
      </c>
      <c r="P73">
        <v>0</v>
      </c>
      <c r="Q73">
        <v>-3343429</v>
      </c>
    </row>
    <row r="74" spans="1:17" x14ac:dyDescent="0.25">
      <c r="A74" t="s">
        <v>2120</v>
      </c>
      <c r="B74" t="s">
        <v>2120</v>
      </c>
      <c r="C74" t="s">
        <v>2122</v>
      </c>
      <c r="D74" s="388">
        <v>0</v>
      </c>
      <c r="E74" s="388">
        <v>0</v>
      </c>
      <c r="M74" t="s">
        <v>959</v>
      </c>
      <c r="N74" t="s">
        <v>959</v>
      </c>
      <c r="O74" t="s">
        <v>3629</v>
      </c>
      <c r="P74">
        <v>0</v>
      </c>
      <c r="Q74">
        <v>-248909.08</v>
      </c>
    </row>
    <row r="75" spans="1:17" x14ac:dyDescent="0.25">
      <c r="A75" t="s">
        <v>1012</v>
      </c>
      <c r="B75" t="s">
        <v>1012</v>
      </c>
      <c r="C75" t="s">
        <v>2123</v>
      </c>
      <c r="D75" s="388">
        <v>0</v>
      </c>
      <c r="E75" s="388">
        <v>0</v>
      </c>
      <c r="M75" t="s">
        <v>2281</v>
      </c>
      <c r="N75" t="s">
        <v>2573</v>
      </c>
      <c r="O75" t="s">
        <v>3631</v>
      </c>
      <c r="P75">
        <v>0</v>
      </c>
      <c r="Q75">
        <v>4193844.82</v>
      </c>
    </row>
    <row r="76" spans="1:17" x14ac:dyDescent="0.25">
      <c r="A76" t="s">
        <v>1012</v>
      </c>
      <c r="B76" t="s">
        <v>1012</v>
      </c>
      <c r="C76" t="s">
        <v>2124</v>
      </c>
      <c r="D76" s="388">
        <v>0</v>
      </c>
      <c r="E76" s="388">
        <v>0</v>
      </c>
      <c r="M76" t="s">
        <v>2281</v>
      </c>
      <c r="N76" t="s">
        <v>2282</v>
      </c>
      <c r="O76" t="s">
        <v>3630</v>
      </c>
      <c r="P76">
        <v>0</v>
      </c>
      <c r="Q76">
        <v>-4193844.82</v>
      </c>
    </row>
    <row r="77" spans="1:17" x14ac:dyDescent="0.25">
      <c r="A77" t="s">
        <v>2120</v>
      </c>
      <c r="B77" t="s">
        <v>2120</v>
      </c>
      <c r="C77" t="s">
        <v>2125</v>
      </c>
      <c r="D77" s="388">
        <v>29125</v>
      </c>
      <c r="E77" s="388">
        <v>0</v>
      </c>
      <c r="M77" t="s">
        <v>959</v>
      </c>
      <c r="N77" t="s">
        <v>959</v>
      </c>
      <c r="O77" t="s">
        <v>3095</v>
      </c>
      <c r="P77">
        <v>0</v>
      </c>
      <c r="Q77">
        <v>-10710237.35</v>
      </c>
    </row>
    <row r="78" spans="1:17" x14ac:dyDescent="0.25">
      <c r="A78" t="s">
        <v>1012</v>
      </c>
      <c r="B78" t="s">
        <v>1012</v>
      </c>
      <c r="C78" t="s">
        <v>3042</v>
      </c>
      <c r="D78" s="388">
        <v>0</v>
      </c>
      <c r="E78" s="388">
        <v>0.08</v>
      </c>
      <c r="M78" t="s">
        <v>2670</v>
      </c>
      <c r="N78" t="s">
        <v>2670</v>
      </c>
      <c r="O78" t="s">
        <v>2671</v>
      </c>
      <c r="P78">
        <v>0</v>
      </c>
      <c r="Q78">
        <v>-6480</v>
      </c>
    </row>
    <row r="79" spans="1:17" x14ac:dyDescent="0.25">
      <c r="A79" t="s">
        <v>1012</v>
      </c>
      <c r="B79" t="s">
        <v>1012</v>
      </c>
      <c r="C79" t="s">
        <v>2126</v>
      </c>
      <c r="D79" s="388">
        <v>0</v>
      </c>
      <c r="E79" s="388">
        <v>0</v>
      </c>
      <c r="M79" t="s">
        <v>2670</v>
      </c>
      <c r="N79" t="s">
        <v>2670</v>
      </c>
      <c r="O79" t="s">
        <v>2680</v>
      </c>
      <c r="P79">
        <v>0</v>
      </c>
      <c r="Q79">
        <v>2864.25</v>
      </c>
    </row>
    <row r="80" spans="1:17" x14ac:dyDescent="0.25">
      <c r="A80" t="s">
        <v>1012</v>
      </c>
      <c r="B80" t="s">
        <v>1012</v>
      </c>
      <c r="C80" t="s">
        <v>2127</v>
      </c>
      <c r="D80" s="388">
        <v>0</v>
      </c>
      <c r="E80" s="388">
        <v>0</v>
      </c>
      <c r="M80" t="s">
        <v>2670</v>
      </c>
      <c r="N80" t="s">
        <v>2673</v>
      </c>
      <c r="O80" t="s">
        <v>2683</v>
      </c>
      <c r="P80">
        <v>0</v>
      </c>
      <c r="Q80">
        <v>180550</v>
      </c>
    </row>
    <row r="81" spans="1:17" x14ac:dyDescent="0.25">
      <c r="A81" t="s">
        <v>2128</v>
      </c>
      <c r="B81" t="s">
        <v>2129</v>
      </c>
      <c r="C81" t="s">
        <v>2130</v>
      </c>
      <c r="D81" s="388">
        <v>0</v>
      </c>
      <c r="E81" s="388">
        <v>0</v>
      </c>
      <c r="M81" t="s">
        <v>1012</v>
      </c>
      <c r="N81" t="s">
        <v>1012</v>
      </c>
      <c r="O81" t="s">
        <v>2705</v>
      </c>
      <c r="P81">
        <v>0</v>
      </c>
      <c r="Q81">
        <v>-58112.9</v>
      </c>
    </row>
    <row r="82" spans="1:17" x14ac:dyDescent="0.25">
      <c r="A82" t="s">
        <v>2128</v>
      </c>
      <c r="B82" t="s">
        <v>2131</v>
      </c>
      <c r="C82" t="s">
        <v>2132</v>
      </c>
      <c r="D82" s="388">
        <v>792</v>
      </c>
      <c r="E82" s="388">
        <v>437</v>
      </c>
      <c r="M82" t="s">
        <v>2080</v>
      </c>
      <c r="N82" t="s">
        <v>2080</v>
      </c>
      <c r="O82" t="s">
        <v>2706</v>
      </c>
      <c r="P82">
        <v>0</v>
      </c>
      <c r="Q82">
        <v>-1.06</v>
      </c>
    </row>
    <row r="83" spans="1:17" x14ac:dyDescent="0.25">
      <c r="A83" t="s">
        <v>2128</v>
      </c>
      <c r="B83" t="s">
        <v>2131</v>
      </c>
      <c r="C83" t="s">
        <v>2133</v>
      </c>
      <c r="D83" s="388">
        <v>5302.94</v>
      </c>
      <c r="E83" s="388">
        <v>2912.94</v>
      </c>
      <c r="M83" t="s">
        <v>2080</v>
      </c>
      <c r="N83" t="s">
        <v>2080</v>
      </c>
      <c r="O83" t="s">
        <v>3096</v>
      </c>
      <c r="P83">
        <v>12744</v>
      </c>
      <c r="Q83">
        <v>0.53</v>
      </c>
    </row>
    <row r="84" spans="1:17" x14ac:dyDescent="0.25">
      <c r="A84" t="s">
        <v>1012</v>
      </c>
      <c r="B84" t="s">
        <v>1012</v>
      </c>
      <c r="C84" t="s">
        <v>2134</v>
      </c>
      <c r="D84" s="388">
        <v>0</v>
      </c>
      <c r="E84" s="388">
        <v>0</v>
      </c>
      <c r="M84" t="s">
        <v>1012</v>
      </c>
      <c r="N84" t="s">
        <v>1012</v>
      </c>
      <c r="O84" t="s">
        <v>2718</v>
      </c>
      <c r="P84">
        <v>0</v>
      </c>
      <c r="Q84">
        <v>39340</v>
      </c>
    </row>
    <row r="85" spans="1:17" x14ac:dyDescent="0.25">
      <c r="A85" t="s">
        <v>1013</v>
      </c>
      <c r="B85" t="s">
        <v>1013</v>
      </c>
      <c r="C85" t="s">
        <v>3741</v>
      </c>
      <c r="D85" s="388">
        <v>0</v>
      </c>
      <c r="E85" s="388">
        <v>0</v>
      </c>
      <c r="M85" t="s">
        <v>1012</v>
      </c>
      <c r="N85" t="s">
        <v>1012</v>
      </c>
      <c r="O85" t="s">
        <v>2719</v>
      </c>
      <c r="P85">
        <v>0</v>
      </c>
      <c r="Q85">
        <v>-4740</v>
      </c>
    </row>
    <row r="86" spans="1:17" x14ac:dyDescent="0.25">
      <c r="A86" t="s">
        <v>2066</v>
      </c>
      <c r="B86" t="s">
        <v>2066</v>
      </c>
      <c r="C86" t="s">
        <v>3043</v>
      </c>
      <c r="D86" s="388">
        <v>0</v>
      </c>
      <c r="E86" s="388">
        <v>0</v>
      </c>
      <c r="M86" t="s">
        <v>953</v>
      </c>
      <c r="N86" t="s">
        <v>953</v>
      </c>
      <c r="O86" t="s">
        <v>3172</v>
      </c>
      <c r="P86">
        <v>0</v>
      </c>
      <c r="Q86">
        <v>-294331.58</v>
      </c>
    </row>
    <row r="87" spans="1:17" x14ac:dyDescent="0.25">
      <c r="A87" t="s">
        <v>2080</v>
      </c>
      <c r="B87" t="s">
        <v>2080</v>
      </c>
      <c r="C87" t="s">
        <v>2136</v>
      </c>
      <c r="D87" s="388">
        <v>0</v>
      </c>
      <c r="E87" s="388">
        <v>0</v>
      </c>
      <c r="M87" t="s">
        <v>2080</v>
      </c>
      <c r="N87" t="s">
        <v>2080</v>
      </c>
      <c r="O87" t="s">
        <v>3097</v>
      </c>
      <c r="P87">
        <v>0</v>
      </c>
      <c r="Q87">
        <v>0.01</v>
      </c>
    </row>
    <row r="88" spans="1:17" x14ac:dyDescent="0.25">
      <c r="A88" t="s">
        <v>953</v>
      </c>
      <c r="B88" t="s">
        <v>2064</v>
      </c>
      <c r="C88" t="s">
        <v>2137</v>
      </c>
      <c r="D88" s="388">
        <v>0</v>
      </c>
      <c r="E88" s="388">
        <v>0</v>
      </c>
      <c r="M88" t="s">
        <v>2045</v>
      </c>
      <c r="N88" t="s">
        <v>3726</v>
      </c>
      <c r="O88" t="s">
        <v>3596</v>
      </c>
      <c r="P88">
        <v>0</v>
      </c>
      <c r="Q88">
        <v>3503634.75</v>
      </c>
    </row>
    <row r="89" spans="1:17" x14ac:dyDescent="0.25">
      <c r="A89" t="s">
        <v>2066</v>
      </c>
      <c r="B89" t="s">
        <v>2067</v>
      </c>
      <c r="C89" t="s">
        <v>2138</v>
      </c>
      <c r="D89" s="388">
        <v>0</v>
      </c>
      <c r="E89" s="388">
        <v>0</v>
      </c>
      <c r="M89" t="s">
        <v>953</v>
      </c>
      <c r="N89" t="s">
        <v>2064</v>
      </c>
      <c r="O89" t="s">
        <v>3101</v>
      </c>
      <c r="P89">
        <v>0</v>
      </c>
      <c r="Q89">
        <v>-275008</v>
      </c>
    </row>
    <row r="90" spans="1:17" x14ac:dyDescent="0.25">
      <c r="A90" t="s">
        <v>2066</v>
      </c>
      <c r="B90" t="s">
        <v>2069</v>
      </c>
      <c r="C90" t="s">
        <v>2139</v>
      </c>
      <c r="D90" s="388">
        <v>0</v>
      </c>
      <c r="E90" s="388">
        <v>0</v>
      </c>
      <c r="M90" t="s">
        <v>2298</v>
      </c>
      <c r="N90" t="s">
        <v>2300</v>
      </c>
      <c r="O90" t="s">
        <v>2843</v>
      </c>
      <c r="P90">
        <v>0</v>
      </c>
      <c r="Q90">
        <v>-195327.52</v>
      </c>
    </row>
    <row r="91" spans="1:17" x14ac:dyDescent="0.25">
      <c r="A91" t="s">
        <v>2066</v>
      </c>
      <c r="B91" t="s">
        <v>2071</v>
      </c>
      <c r="C91" t="s">
        <v>2140</v>
      </c>
      <c r="D91" s="388">
        <v>0</v>
      </c>
      <c r="E91" s="388">
        <v>0</v>
      </c>
      <c r="M91" t="s">
        <v>2066</v>
      </c>
      <c r="N91" t="s">
        <v>2066</v>
      </c>
      <c r="O91" t="s">
        <v>2881</v>
      </c>
      <c r="P91">
        <v>0</v>
      </c>
      <c r="Q91">
        <v>2500</v>
      </c>
    </row>
    <row r="92" spans="1:17" x14ac:dyDescent="0.25">
      <c r="A92" t="s">
        <v>953</v>
      </c>
      <c r="B92" t="s">
        <v>2064</v>
      </c>
      <c r="C92" t="s">
        <v>2141</v>
      </c>
      <c r="D92" s="388">
        <v>0</v>
      </c>
      <c r="E92" s="388">
        <v>0</v>
      </c>
      <c r="M92" t="s">
        <v>1012</v>
      </c>
      <c r="N92" t="s">
        <v>1012</v>
      </c>
      <c r="O92" t="s">
        <v>3153</v>
      </c>
      <c r="P92">
        <v>0</v>
      </c>
      <c r="Q92">
        <v>-117</v>
      </c>
    </row>
    <row r="93" spans="1:17" x14ac:dyDescent="0.25">
      <c r="A93" t="s">
        <v>2066</v>
      </c>
      <c r="B93" t="s">
        <v>2067</v>
      </c>
      <c r="C93" t="s">
        <v>2142</v>
      </c>
      <c r="D93" s="388">
        <v>0</v>
      </c>
      <c r="E93" s="388">
        <v>0</v>
      </c>
      <c r="M93" t="s">
        <v>2045</v>
      </c>
      <c r="N93" t="s">
        <v>3740</v>
      </c>
      <c r="O93" t="s">
        <v>3597</v>
      </c>
      <c r="P93">
        <v>0</v>
      </c>
      <c r="Q93">
        <v>-81710.7</v>
      </c>
    </row>
    <row r="94" spans="1:17" x14ac:dyDescent="0.25">
      <c r="A94" t="s">
        <v>2066</v>
      </c>
      <c r="B94" t="s">
        <v>2069</v>
      </c>
      <c r="C94" t="s">
        <v>2143</v>
      </c>
      <c r="D94" s="388">
        <v>0</v>
      </c>
      <c r="E94" s="388">
        <v>0</v>
      </c>
      <c r="M94" t="s">
        <v>1013</v>
      </c>
      <c r="N94" t="s">
        <v>3107</v>
      </c>
      <c r="O94" t="s">
        <v>3154</v>
      </c>
      <c r="P94">
        <v>0</v>
      </c>
      <c r="Q94">
        <v>2322128.04</v>
      </c>
    </row>
    <row r="95" spans="1:17" x14ac:dyDescent="0.25">
      <c r="A95" t="s">
        <v>2066</v>
      </c>
      <c r="B95" t="s">
        <v>2071</v>
      </c>
      <c r="C95" t="s">
        <v>2144</v>
      </c>
      <c r="D95" s="388">
        <v>0</v>
      </c>
      <c r="E95" s="388">
        <v>0</v>
      </c>
      <c r="M95" t="s">
        <v>2045</v>
      </c>
      <c r="N95" t="s">
        <v>3740</v>
      </c>
      <c r="O95" t="s">
        <v>3102</v>
      </c>
      <c r="P95">
        <v>0</v>
      </c>
      <c r="Q95">
        <v>-3742.84</v>
      </c>
    </row>
    <row r="96" spans="1:17" x14ac:dyDescent="0.25">
      <c r="A96" t="s">
        <v>953</v>
      </c>
      <c r="B96" t="s">
        <v>2112</v>
      </c>
      <c r="C96" t="s">
        <v>3044</v>
      </c>
      <c r="D96" s="388">
        <v>0</v>
      </c>
      <c r="E96" s="388">
        <v>0</v>
      </c>
      <c r="M96" t="s">
        <v>2045</v>
      </c>
      <c r="N96" t="s">
        <v>3740</v>
      </c>
      <c r="O96" t="s">
        <v>3103</v>
      </c>
      <c r="P96">
        <v>0</v>
      </c>
      <c r="Q96">
        <v>-26237.97</v>
      </c>
    </row>
    <row r="97" spans="1:17" x14ac:dyDescent="0.25">
      <c r="A97" t="s">
        <v>953</v>
      </c>
      <c r="B97" t="s">
        <v>2064</v>
      </c>
      <c r="C97" t="s">
        <v>2145</v>
      </c>
      <c r="D97" s="388">
        <v>0</v>
      </c>
      <c r="E97" s="388">
        <v>0</v>
      </c>
      <c r="M97" t="s">
        <v>2045</v>
      </c>
      <c r="N97" t="s">
        <v>3740</v>
      </c>
      <c r="O97" t="s">
        <v>3104</v>
      </c>
      <c r="P97">
        <v>0</v>
      </c>
      <c r="Q97">
        <v>-0.15</v>
      </c>
    </row>
    <row r="98" spans="1:17" x14ac:dyDescent="0.25">
      <c r="A98" t="s">
        <v>2066</v>
      </c>
      <c r="B98" t="s">
        <v>2067</v>
      </c>
      <c r="C98" t="s">
        <v>2146</v>
      </c>
      <c r="D98" s="388">
        <v>0</v>
      </c>
      <c r="E98" s="388">
        <v>0</v>
      </c>
      <c r="M98" t="s">
        <v>2045</v>
      </c>
      <c r="N98" t="s">
        <v>3740</v>
      </c>
      <c r="O98" t="s">
        <v>3106</v>
      </c>
      <c r="P98">
        <v>0</v>
      </c>
      <c r="Q98">
        <v>-72925</v>
      </c>
    </row>
    <row r="99" spans="1:17" x14ac:dyDescent="0.25">
      <c r="A99" t="s">
        <v>2066</v>
      </c>
      <c r="B99" t="s">
        <v>2069</v>
      </c>
      <c r="C99" t="s">
        <v>2147</v>
      </c>
      <c r="D99" s="388">
        <v>0</v>
      </c>
      <c r="E99" s="388">
        <v>0</v>
      </c>
      <c r="M99" t="s">
        <v>1013</v>
      </c>
      <c r="N99" t="s">
        <v>3107</v>
      </c>
      <c r="O99" t="s">
        <v>3108</v>
      </c>
      <c r="P99">
        <v>0</v>
      </c>
      <c r="Q99">
        <v>17.16</v>
      </c>
    </row>
    <row r="100" spans="1:17" x14ac:dyDescent="0.25">
      <c r="A100" t="s">
        <v>953</v>
      </c>
      <c r="B100" t="s">
        <v>2064</v>
      </c>
      <c r="C100" t="s">
        <v>2148</v>
      </c>
      <c r="D100" s="388">
        <v>0</v>
      </c>
      <c r="E100" s="388">
        <v>0</v>
      </c>
      <c r="M100" t="s">
        <v>2045</v>
      </c>
      <c r="N100" t="s">
        <v>3740</v>
      </c>
      <c r="O100" t="s">
        <v>3109</v>
      </c>
      <c r="P100">
        <v>0</v>
      </c>
      <c r="Q100">
        <v>-3497.61</v>
      </c>
    </row>
    <row r="101" spans="1:17" x14ac:dyDescent="0.25">
      <c r="A101" t="s">
        <v>2066</v>
      </c>
      <c r="B101" t="s">
        <v>2067</v>
      </c>
      <c r="C101" t="s">
        <v>2149</v>
      </c>
      <c r="D101" s="388">
        <v>0</v>
      </c>
      <c r="E101" s="388">
        <v>0</v>
      </c>
      <c r="M101" t="s">
        <v>2045</v>
      </c>
      <c r="N101" t="s">
        <v>3740</v>
      </c>
      <c r="O101" t="s">
        <v>3111</v>
      </c>
      <c r="P101">
        <v>0</v>
      </c>
      <c r="Q101">
        <v>-1781311</v>
      </c>
    </row>
    <row r="102" spans="1:17" x14ac:dyDescent="0.25">
      <c r="A102" t="s">
        <v>2066</v>
      </c>
      <c r="B102" t="s">
        <v>2069</v>
      </c>
      <c r="C102" t="s">
        <v>2150</v>
      </c>
      <c r="D102" s="388">
        <v>0</v>
      </c>
      <c r="E102" s="388">
        <v>0</v>
      </c>
      <c r="M102" t="s">
        <v>1012</v>
      </c>
      <c r="N102" t="s">
        <v>1012</v>
      </c>
      <c r="O102" t="s">
        <v>3112</v>
      </c>
      <c r="P102">
        <v>0</v>
      </c>
      <c r="Q102">
        <v>-4753251.7</v>
      </c>
    </row>
    <row r="103" spans="1:17" x14ac:dyDescent="0.25">
      <c r="A103" t="s">
        <v>2080</v>
      </c>
      <c r="B103" t="s">
        <v>2080</v>
      </c>
      <c r="C103" t="s">
        <v>2151</v>
      </c>
      <c r="D103" s="388">
        <v>0</v>
      </c>
      <c r="E103" s="388">
        <v>0</v>
      </c>
      <c r="M103" t="s">
        <v>2066</v>
      </c>
      <c r="N103" t="s">
        <v>2066</v>
      </c>
      <c r="O103" t="s">
        <v>2971</v>
      </c>
      <c r="P103">
        <v>0</v>
      </c>
      <c r="Q103">
        <v>41386.51</v>
      </c>
    </row>
    <row r="104" spans="1:17" x14ac:dyDescent="0.25">
      <c r="A104" t="s">
        <v>2080</v>
      </c>
      <c r="B104" t="s">
        <v>2080</v>
      </c>
      <c r="C104" t="s">
        <v>2152</v>
      </c>
      <c r="D104" s="388">
        <v>0</v>
      </c>
      <c r="E104" s="388">
        <v>1206061.06</v>
      </c>
      <c r="M104" t="s">
        <v>1013</v>
      </c>
      <c r="N104" t="s">
        <v>1013</v>
      </c>
      <c r="O104" t="s">
        <v>3618</v>
      </c>
      <c r="P104">
        <v>0</v>
      </c>
      <c r="Q104">
        <v>-2916207.33</v>
      </c>
    </row>
    <row r="105" spans="1:17" x14ac:dyDescent="0.25">
      <c r="A105" t="s">
        <v>953</v>
      </c>
      <c r="B105" t="s">
        <v>2064</v>
      </c>
      <c r="C105" t="s">
        <v>2153</v>
      </c>
      <c r="D105" s="388">
        <v>0</v>
      </c>
      <c r="E105" s="388">
        <v>0</v>
      </c>
      <c r="M105" t="s">
        <v>953</v>
      </c>
      <c r="N105" t="s">
        <v>2112</v>
      </c>
      <c r="O105" t="s">
        <v>3114</v>
      </c>
      <c r="P105">
        <v>0</v>
      </c>
      <c r="Q105">
        <v>-8334</v>
      </c>
    </row>
    <row r="106" spans="1:17" x14ac:dyDescent="0.25">
      <c r="A106" t="s">
        <v>2066</v>
      </c>
      <c r="B106" t="s">
        <v>2067</v>
      </c>
      <c r="C106" t="s">
        <v>2154</v>
      </c>
      <c r="D106" s="388">
        <v>0</v>
      </c>
      <c r="E106" s="388">
        <v>0</v>
      </c>
    </row>
    <row r="107" spans="1:17" x14ac:dyDescent="0.25">
      <c r="A107" t="s">
        <v>2066</v>
      </c>
      <c r="B107" t="s">
        <v>2069</v>
      </c>
      <c r="C107" t="s">
        <v>2155</v>
      </c>
      <c r="D107" s="388">
        <v>0</v>
      </c>
      <c r="E107" s="388">
        <v>0</v>
      </c>
    </row>
    <row r="108" spans="1:17" x14ac:dyDescent="0.25">
      <c r="A108" t="s">
        <v>953</v>
      </c>
      <c r="B108" t="s">
        <v>2064</v>
      </c>
      <c r="C108" t="s">
        <v>3115</v>
      </c>
      <c r="D108" s="388">
        <v>0</v>
      </c>
      <c r="E108" s="388">
        <v>0</v>
      </c>
    </row>
    <row r="109" spans="1:17" x14ac:dyDescent="0.25">
      <c r="A109" t="s">
        <v>2066</v>
      </c>
      <c r="B109" t="s">
        <v>2069</v>
      </c>
      <c r="C109" t="s">
        <v>3116</v>
      </c>
      <c r="D109" s="388">
        <v>0</v>
      </c>
      <c r="E109" s="388">
        <v>0</v>
      </c>
    </row>
    <row r="110" spans="1:17" x14ac:dyDescent="0.25">
      <c r="A110" t="s">
        <v>953</v>
      </c>
      <c r="B110" t="s">
        <v>2064</v>
      </c>
      <c r="C110" t="s">
        <v>2156</v>
      </c>
      <c r="D110" s="388">
        <v>0</v>
      </c>
      <c r="E110" s="388">
        <v>0</v>
      </c>
    </row>
    <row r="111" spans="1:17" x14ac:dyDescent="0.25">
      <c r="A111" t="s">
        <v>2066</v>
      </c>
      <c r="B111" t="s">
        <v>2067</v>
      </c>
      <c r="C111" t="s">
        <v>2157</v>
      </c>
      <c r="D111" s="388">
        <v>0</v>
      </c>
      <c r="E111" s="388">
        <v>0</v>
      </c>
    </row>
    <row r="112" spans="1:17" x14ac:dyDescent="0.25">
      <c r="A112" t="s">
        <v>2066</v>
      </c>
      <c r="B112" t="s">
        <v>2069</v>
      </c>
      <c r="C112" t="s">
        <v>2158</v>
      </c>
      <c r="D112" s="388">
        <v>0</v>
      </c>
      <c r="E112" s="388">
        <v>0</v>
      </c>
    </row>
    <row r="113" spans="1:5" x14ac:dyDescent="0.25">
      <c r="A113" t="s">
        <v>2066</v>
      </c>
      <c r="B113" t="s">
        <v>2071</v>
      </c>
      <c r="C113" t="s">
        <v>2159</v>
      </c>
      <c r="D113" s="388">
        <v>0</v>
      </c>
      <c r="E113" s="388">
        <v>0</v>
      </c>
    </row>
    <row r="114" spans="1:5" x14ac:dyDescent="0.25">
      <c r="A114" t="s">
        <v>953</v>
      </c>
      <c r="B114" t="s">
        <v>2064</v>
      </c>
      <c r="C114" t="s">
        <v>2160</v>
      </c>
      <c r="D114" s="388">
        <v>0</v>
      </c>
      <c r="E114" s="388">
        <v>0</v>
      </c>
    </row>
    <row r="115" spans="1:5" x14ac:dyDescent="0.25">
      <c r="A115" t="s">
        <v>2066</v>
      </c>
      <c r="B115" t="s">
        <v>2067</v>
      </c>
      <c r="C115" t="s">
        <v>2161</v>
      </c>
      <c r="D115" s="388">
        <v>0</v>
      </c>
      <c r="E115" s="388">
        <v>0</v>
      </c>
    </row>
    <row r="116" spans="1:5" x14ac:dyDescent="0.25">
      <c r="A116" t="s">
        <v>2066</v>
      </c>
      <c r="B116" t="s">
        <v>2069</v>
      </c>
      <c r="C116" t="s">
        <v>2162</v>
      </c>
      <c r="D116" s="388">
        <v>0</v>
      </c>
      <c r="E116" s="388">
        <v>0</v>
      </c>
    </row>
    <row r="117" spans="1:5" x14ac:dyDescent="0.25">
      <c r="A117" t="s">
        <v>953</v>
      </c>
      <c r="B117" t="s">
        <v>2064</v>
      </c>
      <c r="C117" t="s">
        <v>2163</v>
      </c>
      <c r="D117" s="388">
        <v>0</v>
      </c>
      <c r="E117" s="388">
        <v>0</v>
      </c>
    </row>
    <row r="118" spans="1:5" x14ac:dyDescent="0.25">
      <c r="A118" t="s">
        <v>2066</v>
      </c>
      <c r="B118" t="s">
        <v>2067</v>
      </c>
      <c r="C118" t="s">
        <v>2164</v>
      </c>
      <c r="D118" s="388">
        <v>0</v>
      </c>
      <c r="E118" s="388">
        <v>0</v>
      </c>
    </row>
    <row r="119" spans="1:5" x14ac:dyDescent="0.25">
      <c r="A119" t="s">
        <v>2066</v>
      </c>
      <c r="B119" t="s">
        <v>2069</v>
      </c>
      <c r="C119" t="s">
        <v>2165</v>
      </c>
      <c r="D119" s="388">
        <v>0</v>
      </c>
      <c r="E119" s="388">
        <v>0</v>
      </c>
    </row>
    <row r="120" spans="1:5" x14ac:dyDescent="0.25">
      <c r="A120" t="s">
        <v>2066</v>
      </c>
      <c r="B120" t="s">
        <v>2071</v>
      </c>
      <c r="C120" t="s">
        <v>2166</v>
      </c>
      <c r="D120" s="388">
        <v>0</v>
      </c>
      <c r="E120" s="388">
        <v>0</v>
      </c>
    </row>
    <row r="121" spans="1:5" x14ac:dyDescent="0.25">
      <c r="A121" t="s">
        <v>2066</v>
      </c>
      <c r="B121" t="s">
        <v>2066</v>
      </c>
      <c r="C121" t="s">
        <v>3742</v>
      </c>
      <c r="D121" s="388">
        <v>0</v>
      </c>
      <c r="E121" s="388">
        <v>0</v>
      </c>
    </row>
    <row r="122" spans="1:5" x14ac:dyDescent="0.25">
      <c r="A122" t="s">
        <v>1012</v>
      </c>
      <c r="B122" t="s">
        <v>1012</v>
      </c>
      <c r="C122" t="s">
        <v>2167</v>
      </c>
      <c r="D122" s="388">
        <v>0</v>
      </c>
      <c r="E122" s="388">
        <v>0</v>
      </c>
    </row>
    <row r="123" spans="1:5" x14ac:dyDescent="0.25">
      <c r="A123" t="s">
        <v>2066</v>
      </c>
      <c r="B123" t="s">
        <v>2066</v>
      </c>
      <c r="C123" t="s">
        <v>3725</v>
      </c>
      <c r="D123" s="388">
        <v>0</v>
      </c>
      <c r="E123" s="388">
        <v>356810.55</v>
      </c>
    </row>
    <row r="124" spans="1:5" x14ac:dyDescent="0.25">
      <c r="A124" t="s">
        <v>2169</v>
      </c>
      <c r="B124" t="s">
        <v>2169</v>
      </c>
      <c r="C124" t="s">
        <v>2170</v>
      </c>
      <c r="D124" s="388">
        <v>0</v>
      </c>
      <c r="E124" s="388">
        <v>-48166.99</v>
      </c>
    </row>
    <row r="125" spans="1:5" x14ac:dyDescent="0.25">
      <c r="A125" t="s">
        <v>2080</v>
      </c>
      <c r="B125" t="s">
        <v>2080</v>
      </c>
      <c r="C125" t="s">
        <v>2171</v>
      </c>
      <c r="D125" s="388">
        <v>0</v>
      </c>
      <c r="E125" s="388">
        <v>0</v>
      </c>
    </row>
    <row r="126" spans="1:5" x14ac:dyDescent="0.25">
      <c r="A126" t="s">
        <v>2066</v>
      </c>
      <c r="B126" t="s">
        <v>2066</v>
      </c>
      <c r="C126" t="s">
        <v>2172</v>
      </c>
      <c r="D126" s="388">
        <v>0</v>
      </c>
      <c r="E126" s="388">
        <v>138167.45000000001</v>
      </c>
    </row>
    <row r="127" spans="1:5" x14ac:dyDescent="0.25">
      <c r="A127" t="s">
        <v>2066</v>
      </c>
      <c r="B127" t="s">
        <v>2066</v>
      </c>
      <c r="C127" t="s">
        <v>3045</v>
      </c>
      <c r="D127" s="388">
        <v>0</v>
      </c>
      <c r="E127" s="388">
        <v>6217.86</v>
      </c>
    </row>
    <row r="128" spans="1:5" x14ac:dyDescent="0.25">
      <c r="A128" t="s">
        <v>1012</v>
      </c>
      <c r="B128" t="s">
        <v>1012</v>
      </c>
      <c r="C128" t="s">
        <v>2173</v>
      </c>
      <c r="D128" s="388">
        <v>0</v>
      </c>
      <c r="E128" s="388">
        <v>0</v>
      </c>
    </row>
    <row r="129" spans="1:5" x14ac:dyDescent="0.25">
      <c r="A129" t="s">
        <v>1012</v>
      </c>
      <c r="B129" t="s">
        <v>1012</v>
      </c>
      <c r="C129" t="s">
        <v>2174</v>
      </c>
      <c r="D129" s="388">
        <v>-106443.94</v>
      </c>
      <c r="E129" s="388">
        <v>-21929.77</v>
      </c>
    </row>
    <row r="130" spans="1:5" x14ac:dyDescent="0.25">
      <c r="A130" t="s">
        <v>1012</v>
      </c>
      <c r="B130" t="s">
        <v>1012</v>
      </c>
      <c r="C130" t="s">
        <v>2175</v>
      </c>
      <c r="D130" s="388">
        <v>-638661.64</v>
      </c>
      <c r="E130" s="388">
        <v>-4358173.55</v>
      </c>
    </row>
    <row r="131" spans="1:5" x14ac:dyDescent="0.25">
      <c r="A131" t="s">
        <v>1012</v>
      </c>
      <c r="B131" t="s">
        <v>1012</v>
      </c>
      <c r="C131" t="s">
        <v>2176</v>
      </c>
      <c r="D131" s="388">
        <v>-106443.94</v>
      </c>
      <c r="E131" s="388">
        <v>0</v>
      </c>
    </row>
    <row r="132" spans="1:5" x14ac:dyDescent="0.25">
      <c r="A132" t="s">
        <v>2080</v>
      </c>
      <c r="B132" t="s">
        <v>2177</v>
      </c>
      <c r="C132" t="s">
        <v>2178</v>
      </c>
      <c r="D132" s="388">
        <v>0</v>
      </c>
      <c r="E132" s="388">
        <v>0</v>
      </c>
    </row>
    <row r="133" spans="1:5" x14ac:dyDescent="0.25">
      <c r="A133" t="s">
        <v>953</v>
      </c>
      <c r="B133" t="s">
        <v>2112</v>
      </c>
      <c r="C133" t="s">
        <v>3046</v>
      </c>
      <c r="D133" s="388">
        <v>0</v>
      </c>
      <c r="E133" s="388">
        <v>0</v>
      </c>
    </row>
    <row r="134" spans="1:5" x14ac:dyDescent="0.25">
      <c r="A134" t="s">
        <v>1012</v>
      </c>
      <c r="B134" t="s">
        <v>1012</v>
      </c>
      <c r="C134" t="s">
        <v>2179</v>
      </c>
      <c r="D134" s="388">
        <v>0</v>
      </c>
      <c r="E134" s="388">
        <v>0</v>
      </c>
    </row>
    <row r="135" spans="1:5" x14ac:dyDescent="0.25">
      <c r="A135" t="s">
        <v>2066</v>
      </c>
      <c r="B135" t="s">
        <v>2067</v>
      </c>
      <c r="C135" t="s">
        <v>3047</v>
      </c>
      <c r="D135" s="388">
        <v>0</v>
      </c>
      <c r="E135" s="388">
        <v>-0.41</v>
      </c>
    </row>
    <row r="136" spans="1:5" x14ac:dyDescent="0.25">
      <c r="A136" t="s">
        <v>2080</v>
      </c>
      <c r="B136" t="s">
        <v>2080</v>
      </c>
      <c r="C136" t="s">
        <v>2180</v>
      </c>
      <c r="D136" s="388">
        <v>0</v>
      </c>
      <c r="E136" s="388">
        <v>0</v>
      </c>
    </row>
    <row r="137" spans="1:5" x14ac:dyDescent="0.25">
      <c r="A137" t="s">
        <v>2066</v>
      </c>
      <c r="B137" t="s">
        <v>2066</v>
      </c>
      <c r="C137" t="s">
        <v>2181</v>
      </c>
      <c r="D137" s="388">
        <v>0</v>
      </c>
      <c r="E137" s="388">
        <v>377000</v>
      </c>
    </row>
    <row r="138" spans="1:5" x14ac:dyDescent="0.25">
      <c r="A138" t="s">
        <v>2080</v>
      </c>
      <c r="B138" t="s">
        <v>2080</v>
      </c>
      <c r="C138" t="s">
        <v>2182</v>
      </c>
      <c r="D138" s="388">
        <v>0</v>
      </c>
      <c r="E138" s="388">
        <v>0</v>
      </c>
    </row>
    <row r="139" spans="1:5" x14ac:dyDescent="0.25">
      <c r="A139" t="s">
        <v>2045</v>
      </c>
      <c r="B139" t="s">
        <v>2183</v>
      </c>
      <c r="C139" t="s">
        <v>2184</v>
      </c>
      <c r="D139" s="388">
        <v>0</v>
      </c>
      <c r="E139" s="388">
        <v>0</v>
      </c>
    </row>
    <row r="140" spans="1:5" x14ac:dyDescent="0.25">
      <c r="A140" t="s">
        <v>2045</v>
      </c>
      <c r="B140" t="s">
        <v>3743</v>
      </c>
      <c r="C140" t="s">
        <v>3744</v>
      </c>
      <c r="D140" s="388">
        <v>0</v>
      </c>
      <c r="E140" s="388">
        <v>0</v>
      </c>
    </row>
    <row r="141" spans="1:5" x14ac:dyDescent="0.25">
      <c r="A141" t="s">
        <v>2045</v>
      </c>
      <c r="B141" t="s">
        <v>3743</v>
      </c>
      <c r="C141" t="s">
        <v>3745</v>
      </c>
      <c r="D141" s="388">
        <v>0</v>
      </c>
      <c r="E141" s="388">
        <v>0</v>
      </c>
    </row>
    <row r="142" spans="1:5" x14ac:dyDescent="0.25">
      <c r="A142" t="s">
        <v>2045</v>
      </c>
      <c r="B142" t="s">
        <v>2046</v>
      </c>
      <c r="C142" t="s">
        <v>2185</v>
      </c>
      <c r="D142" s="388">
        <v>0</v>
      </c>
      <c r="E142" s="388">
        <v>0</v>
      </c>
    </row>
    <row r="143" spans="1:5" x14ac:dyDescent="0.25">
      <c r="A143" t="s">
        <v>2045</v>
      </c>
      <c r="B143" t="s">
        <v>3726</v>
      </c>
      <c r="C143" t="s">
        <v>3049</v>
      </c>
      <c r="D143" s="388">
        <v>0</v>
      </c>
      <c r="E143" s="388">
        <v>0</v>
      </c>
    </row>
    <row r="144" spans="1:5" x14ac:dyDescent="0.25">
      <c r="A144" t="s">
        <v>2045</v>
      </c>
      <c r="B144" t="s">
        <v>2058</v>
      </c>
      <c r="C144" t="s">
        <v>2186</v>
      </c>
      <c r="D144" s="388">
        <v>0</v>
      </c>
      <c r="E144" s="388">
        <v>0</v>
      </c>
    </row>
    <row r="145" spans="1:5" x14ac:dyDescent="0.25">
      <c r="A145" t="s">
        <v>2045</v>
      </c>
      <c r="B145" t="s">
        <v>2187</v>
      </c>
      <c r="C145" t="s">
        <v>2188</v>
      </c>
      <c r="D145" s="388">
        <v>0</v>
      </c>
      <c r="E145" s="388">
        <v>0</v>
      </c>
    </row>
    <row r="146" spans="1:5" x14ac:dyDescent="0.25">
      <c r="A146" t="s">
        <v>2045</v>
      </c>
      <c r="B146" t="s">
        <v>2046</v>
      </c>
      <c r="C146" t="s">
        <v>2189</v>
      </c>
      <c r="D146" s="388">
        <v>0</v>
      </c>
      <c r="E146" s="388">
        <v>0</v>
      </c>
    </row>
    <row r="147" spans="1:5" x14ac:dyDescent="0.25">
      <c r="A147" t="s">
        <v>2045</v>
      </c>
      <c r="B147" t="s">
        <v>2058</v>
      </c>
      <c r="C147" t="s">
        <v>2190</v>
      </c>
      <c r="D147" s="388">
        <v>0</v>
      </c>
      <c r="E147" s="388">
        <v>0</v>
      </c>
    </row>
    <row r="148" spans="1:5" x14ac:dyDescent="0.25">
      <c r="A148" t="s">
        <v>2045</v>
      </c>
      <c r="B148" t="s">
        <v>2046</v>
      </c>
      <c r="C148" t="s">
        <v>2191</v>
      </c>
      <c r="D148" s="388">
        <v>0</v>
      </c>
      <c r="E148" s="388">
        <v>0</v>
      </c>
    </row>
    <row r="149" spans="1:5" x14ac:dyDescent="0.25">
      <c r="A149" t="s">
        <v>2045</v>
      </c>
      <c r="B149" t="s">
        <v>2058</v>
      </c>
      <c r="C149" t="s">
        <v>2192</v>
      </c>
      <c r="D149" s="388">
        <v>0</v>
      </c>
      <c r="E149" s="388">
        <v>0</v>
      </c>
    </row>
    <row r="150" spans="1:5" x14ac:dyDescent="0.25">
      <c r="A150" t="s">
        <v>2045</v>
      </c>
      <c r="B150" t="s">
        <v>2187</v>
      </c>
      <c r="C150" t="s">
        <v>2193</v>
      </c>
      <c r="D150" s="388">
        <v>735958.65</v>
      </c>
      <c r="E150" s="388">
        <v>0</v>
      </c>
    </row>
    <row r="151" spans="1:5" x14ac:dyDescent="0.25">
      <c r="A151" t="s">
        <v>2045</v>
      </c>
      <c r="B151" t="s">
        <v>3726</v>
      </c>
      <c r="C151" t="s">
        <v>3051</v>
      </c>
      <c r="D151" s="388">
        <v>0</v>
      </c>
      <c r="E151" s="388">
        <v>1005116.92</v>
      </c>
    </row>
    <row r="152" spans="1:5" x14ac:dyDescent="0.25">
      <c r="A152" t="s">
        <v>2045</v>
      </c>
      <c r="B152" t="s">
        <v>3743</v>
      </c>
      <c r="C152" t="s">
        <v>3117</v>
      </c>
      <c r="D152" s="388">
        <v>0</v>
      </c>
      <c r="E152" s="388">
        <v>0</v>
      </c>
    </row>
    <row r="153" spans="1:5" x14ac:dyDescent="0.25">
      <c r="A153" t="s">
        <v>2045</v>
      </c>
      <c r="B153" t="s">
        <v>3743</v>
      </c>
      <c r="C153" t="s">
        <v>3118</v>
      </c>
      <c r="D153" s="388">
        <v>0</v>
      </c>
      <c r="E153" s="388">
        <v>0</v>
      </c>
    </row>
    <row r="154" spans="1:5" x14ac:dyDescent="0.25">
      <c r="A154" t="s">
        <v>953</v>
      </c>
      <c r="B154" t="s">
        <v>2064</v>
      </c>
      <c r="C154" t="s">
        <v>2194</v>
      </c>
      <c r="D154" s="388">
        <v>0</v>
      </c>
      <c r="E154" s="388">
        <v>0</v>
      </c>
    </row>
    <row r="155" spans="1:5" x14ac:dyDescent="0.25">
      <c r="A155" t="s">
        <v>2066</v>
      </c>
      <c r="B155" t="s">
        <v>2067</v>
      </c>
      <c r="C155" t="s">
        <v>2195</v>
      </c>
      <c r="D155" s="388">
        <v>0</v>
      </c>
      <c r="E155" s="388">
        <v>0</v>
      </c>
    </row>
    <row r="156" spans="1:5" x14ac:dyDescent="0.25">
      <c r="A156" t="s">
        <v>2066</v>
      </c>
      <c r="B156" t="s">
        <v>2069</v>
      </c>
      <c r="C156" t="s">
        <v>2196</v>
      </c>
      <c r="D156" s="388">
        <v>0</v>
      </c>
      <c r="E156" s="388">
        <v>0</v>
      </c>
    </row>
    <row r="157" spans="1:5" x14ac:dyDescent="0.25">
      <c r="A157" t="s">
        <v>2080</v>
      </c>
      <c r="B157" t="s">
        <v>2080</v>
      </c>
      <c r="C157" t="s">
        <v>2197</v>
      </c>
      <c r="D157" s="388">
        <v>466556.32</v>
      </c>
      <c r="E157" s="388">
        <v>0</v>
      </c>
    </row>
    <row r="158" spans="1:5" x14ac:dyDescent="0.25">
      <c r="A158" t="s">
        <v>2080</v>
      </c>
      <c r="B158" t="s">
        <v>2080</v>
      </c>
      <c r="C158" t="s">
        <v>2198</v>
      </c>
      <c r="D158" s="388">
        <v>0</v>
      </c>
      <c r="E158" s="388">
        <v>0</v>
      </c>
    </row>
    <row r="159" spans="1:5" x14ac:dyDescent="0.25">
      <c r="A159" t="s">
        <v>2080</v>
      </c>
      <c r="B159" t="s">
        <v>2080</v>
      </c>
      <c r="C159" t="s">
        <v>2199</v>
      </c>
      <c r="D159" s="388">
        <v>0</v>
      </c>
      <c r="E159" s="388">
        <v>0</v>
      </c>
    </row>
    <row r="160" spans="1:5" x14ac:dyDescent="0.25">
      <c r="A160" t="s">
        <v>1754</v>
      </c>
      <c r="B160" t="s">
        <v>1754</v>
      </c>
      <c r="C160" t="s">
        <v>1130</v>
      </c>
      <c r="D160" s="388">
        <v>0</v>
      </c>
      <c r="E160" s="388">
        <v>0</v>
      </c>
    </row>
    <row r="161" spans="1:5" x14ac:dyDescent="0.25">
      <c r="A161" t="s">
        <v>2045</v>
      </c>
      <c r="B161" t="s">
        <v>2200</v>
      </c>
      <c r="C161" t="s">
        <v>2201</v>
      </c>
      <c r="D161" s="388">
        <v>0</v>
      </c>
      <c r="E161" s="388">
        <v>0</v>
      </c>
    </row>
    <row r="162" spans="1:5" x14ac:dyDescent="0.25">
      <c r="A162" t="s">
        <v>2045</v>
      </c>
      <c r="B162" t="s">
        <v>2200</v>
      </c>
      <c r="C162" t="s">
        <v>2202</v>
      </c>
      <c r="D162" s="388">
        <v>0</v>
      </c>
      <c r="E162" s="388">
        <v>0</v>
      </c>
    </row>
    <row r="163" spans="1:5" x14ac:dyDescent="0.25">
      <c r="A163" t="s">
        <v>1012</v>
      </c>
      <c r="B163" t="s">
        <v>1012</v>
      </c>
      <c r="C163" t="s">
        <v>2203</v>
      </c>
      <c r="D163" s="388">
        <v>-792</v>
      </c>
      <c r="E163" s="388">
        <v>0</v>
      </c>
    </row>
    <row r="164" spans="1:5" x14ac:dyDescent="0.25">
      <c r="A164" t="s">
        <v>2080</v>
      </c>
      <c r="B164" t="s">
        <v>2080</v>
      </c>
      <c r="C164" t="s">
        <v>2204</v>
      </c>
      <c r="D164" s="388">
        <v>0</v>
      </c>
      <c r="E164" s="388">
        <v>0</v>
      </c>
    </row>
    <row r="165" spans="1:5" x14ac:dyDescent="0.25">
      <c r="A165" t="s">
        <v>2045</v>
      </c>
      <c r="B165" t="s">
        <v>2045</v>
      </c>
      <c r="C165" t="s">
        <v>2205</v>
      </c>
      <c r="D165" s="388">
        <v>0</v>
      </c>
      <c r="E165" s="388">
        <v>0</v>
      </c>
    </row>
    <row r="166" spans="1:5" x14ac:dyDescent="0.25">
      <c r="A166" t="s">
        <v>2080</v>
      </c>
      <c r="B166" t="s">
        <v>2080</v>
      </c>
      <c r="C166" t="s">
        <v>2206</v>
      </c>
      <c r="D166" s="388">
        <v>0</v>
      </c>
      <c r="E166" s="388">
        <v>0</v>
      </c>
    </row>
    <row r="167" spans="1:5" x14ac:dyDescent="0.25">
      <c r="A167" t="s">
        <v>2066</v>
      </c>
      <c r="B167" t="s">
        <v>2066</v>
      </c>
      <c r="C167" t="s">
        <v>2207</v>
      </c>
      <c r="D167" s="388">
        <v>0</v>
      </c>
      <c r="E167" s="388">
        <v>0</v>
      </c>
    </row>
    <row r="168" spans="1:5" x14ac:dyDescent="0.25">
      <c r="A168" t="s">
        <v>2066</v>
      </c>
      <c r="B168" t="s">
        <v>2066</v>
      </c>
      <c r="C168" t="s">
        <v>2208</v>
      </c>
      <c r="D168" s="388">
        <v>0</v>
      </c>
      <c r="E168" s="388">
        <v>0</v>
      </c>
    </row>
    <row r="169" spans="1:5" x14ac:dyDescent="0.25">
      <c r="A169" t="s">
        <v>2066</v>
      </c>
      <c r="B169" t="s">
        <v>2066</v>
      </c>
      <c r="C169" t="s">
        <v>2209</v>
      </c>
      <c r="D169" s="388">
        <v>0</v>
      </c>
      <c r="E169" s="388">
        <v>11208189.470000001</v>
      </c>
    </row>
    <row r="170" spans="1:5" x14ac:dyDescent="0.25">
      <c r="A170" t="s">
        <v>953</v>
      </c>
      <c r="B170" t="s">
        <v>2064</v>
      </c>
      <c r="C170" t="s">
        <v>2210</v>
      </c>
      <c r="D170" s="388">
        <v>-277059.64</v>
      </c>
      <c r="E170" s="388">
        <v>-472696.5</v>
      </c>
    </row>
    <row r="171" spans="1:5" x14ac:dyDescent="0.25">
      <c r="A171" t="s">
        <v>2066</v>
      </c>
      <c r="B171" t="s">
        <v>2066</v>
      </c>
      <c r="C171" t="s">
        <v>2211</v>
      </c>
      <c r="D171" s="388">
        <v>0</v>
      </c>
      <c r="E171" s="388">
        <v>0</v>
      </c>
    </row>
    <row r="172" spans="1:5" x14ac:dyDescent="0.25">
      <c r="A172" t="s">
        <v>1012</v>
      </c>
      <c r="B172" t="s">
        <v>1012</v>
      </c>
      <c r="C172" t="s">
        <v>2212</v>
      </c>
      <c r="D172" s="388">
        <v>0</v>
      </c>
      <c r="E172" s="388">
        <v>0</v>
      </c>
    </row>
    <row r="173" spans="1:5" x14ac:dyDescent="0.25">
      <c r="A173" t="s">
        <v>2066</v>
      </c>
      <c r="B173" t="s">
        <v>2066</v>
      </c>
      <c r="C173" t="s">
        <v>2213</v>
      </c>
      <c r="D173" s="388">
        <v>0</v>
      </c>
      <c r="E173" s="388">
        <v>11511.35</v>
      </c>
    </row>
    <row r="174" spans="1:5" x14ac:dyDescent="0.25">
      <c r="A174" t="s">
        <v>2128</v>
      </c>
      <c r="B174" t="s">
        <v>2214</v>
      </c>
      <c r="C174" t="s">
        <v>2215</v>
      </c>
      <c r="D174" s="388">
        <v>8844.35</v>
      </c>
      <c r="E174" s="388">
        <v>0</v>
      </c>
    </row>
    <row r="175" spans="1:5" x14ac:dyDescent="0.25">
      <c r="A175" t="s">
        <v>1012</v>
      </c>
      <c r="B175" t="s">
        <v>2216</v>
      </c>
      <c r="C175" t="s">
        <v>2217</v>
      </c>
      <c r="D175" s="388">
        <v>-690521.39</v>
      </c>
      <c r="E175" s="388">
        <v>0</v>
      </c>
    </row>
    <row r="176" spans="1:5" x14ac:dyDescent="0.25">
      <c r="A176" t="s">
        <v>2080</v>
      </c>
      <c r="B176" t="s">
        <v>2177</v>
      </c>
      <c r="C176" t="s">
        <v>3119</v>
      </c>
      <c r="D176" s="388">
        <v>0</v>
      </c>
      <c r="E176" s="388">
        <v>0</v>
      </c>
    </row>
    <row r="177" spans="1:5" x14ac:dyDescent="0.25">
      <c r="A177" t="s">
        <v>2080</v>
      </c>
      <c r="B177" t="s">
        <v>2080</v>
      </c>
      <c r="C177" t="s">
        <v>2220</v>
      </c>
      <c r="D177" s="388">
        <v>0</v>
      </c>
      <c r="E177" s="388">
        <v>0</v>
      </c>
    </row>
    <row r="178" spans="1:5" x14ac:dyDescent="0.25">
      <c r="A178" t="s">
        <v>1012</v>
      </c>
      <c r="B178" t="s">
        <v>1012</v>
      </c>
      <c r="C178" t="s">
        <v>2221</v>
      </c>
      <c r="D178" s="388">
        <v>0</v>
      </c>
      <c r="E178" s="388">
        <v>0</v>
      </c>
    </row>
    <row r="179" spans="1:5" x14ac:dyDescent="0.25">
      <c r="A179" t="s">
        <v>2066</v>
      </c>
      <c r="B179" t="s">
        <v>234</v>
      </c>
      <c r="C179" t="s">
        <v>3120</v>
      </c>
      <c r="D179" s="388">
        <v>0</v>
      </c>
      <c r="E179" s="388">
        <v>0</v>
      </c>
    </row>
    <row r="180" spans="1:5" x14ac:dyDescent="0.25">
      <c r="A180" t="s">
        <v>1012</v>
      </c>
      <c r="B180" t="s">
        <v>1012</v>
      </c>
      <c r="C180" t="s">
        <v>3121</v>
      </c>
      <c r="D180" s="388">
        <v>0</v>
      </c>
      <c r="E180" s="388">
        <v>0</v>
      </c>
    </row>
    <row r="181" spans="1:5" x14ac:dyDescent="0.25">
      <c r="A181" t="s">
        <v>953</v>
      </c>
      <c r="B181" t="s">
        <v>2064</v>
      </c>
      <c r="C181" t="s">
        <v>2222</v>
      </c>
      <c r="D181" s="388">
        <v>-4227.04</v>
      </c>
      <c r="E181" s="388">
        <v>0</v>
      </c>
    </row>
    <row r="182" spans="1:5" x14ac:dyDescent="0.25">
      <c r="A182" t="s">
        <v>2066</v>
      </c>
      <c r="B182" t="s">
        <v>2066</v>
      </c>
      <c r="C182" t="s">
        <v>2223</v>
      </c>
      <c r="D182" s="388">
        <v>0</v>
      </c>
      <c r="E182" s="388">
        <v>315963</v>
      </c>
    </row>
    <row r="183" spans="1:5" x14ac:dyDescent="0.25">
      <c r="A183" t="s">
        <v>2080</v>
      </c>
      <c r="B183" t="s">
        <v>2080</v>
      </c>
      <c r="C183" t="s">
        <v>2224</v>
      </c>
      <c r="D183" s="388">
        <v>0</v>
      </c>
      <c r="E183" s="388">
        <v>0</v>
      </c>
    </row>
    <row r="184" spans="1:5" x14ac:dyDescent="0.25">
      <c r="A184" t="s">
        <v>2080</v>
      </c>
      <c r="B184" t="s">
        <v>2080</v>
      </c>
      <c r="C184" t="s">
        <v>2225</v>
      </c>
      <c r="D184" s="388">
        <v>0</v>
      </c>
      <c r="E184" s="388">
        <v>0</v>
      </c>
    </row>
    <row r="185" spans="1:5" x14ac:dyDescent="0.25">
      <c r="A185" t="s">
        <v>1012</v>
      </c>
      <c r="B185" t="s">
        <v>2218</v>
      </c>
      <c r="C185" t="s">
        <v>3052</v>
      </c>
      <c r="D185" s="388">
        <v>-157736.71</v>
      </c>
      <c r="E185" s="388">
        <v>-4223881.53</v>
      </c>
    </row>
    <row r="186" spans="1:5" x14ac:dyDescent="0.25">
      <c r="A186" t="s">
        <v>1012</v>
      </c>
      <c r="B186" t="s">
        <v>2218</v>
      </c>
      <c r="C186" t="s">
        <v>2226</v>
      </c>
      <c r="D186" s="388">
        <v>0</v>
      </c>
      <c r="E186" s="388">
        <v>0</v>
      </c>
    </row>
    <row r="187" spans="1:5" x14ac:dyDescent="0.25">
      <c r="A187" t="s">
        <v>1012</v>
      </c>
      <c r="B187" t="s">
        <v>2218</v>
      </c>
      <c r="C187" t="s">
        <v>3053</v>
      </c>
      <c r="D187" s="388">
        <v>-109946.8</v>
      </c>
      <c r="E187" s="388">
        <v>0</v>
      </c>
    </row>
    <row r="188" spans="1:5" x14ac:dyDescent="0.25">
      <c r="A188" t="s">
        <v>1012</v>
      </c>
      <c r="B188" t="s">
        <v>2218</v>
      </c>
      <c r="C188" t="s">
        <v>3122</v>
      </c>
      <c r="D188" s="388">
        <v>0</v>
      </c>
      <c r="E188" s="388">
        <v>0</v>
      </c>
    </row>
    <row r="189" spans="1:5" x14ac:dyDescent="0.25">
      <c r="A189" t="s">
        <v>1012</v>
      </c>
      <c r="B189" t="s">
        <v>1012</v>
      </c>
      <c r="C189" t="s">
        <v>2227</v>
      </c>
      <c r="D189" s="388">
        <v>0</v>
      </c>
      <c r="E189" s="388">
        <v>-0.16</v>
      </c>
    </row>
    <row r="190" spans="1:5" x14ac:dyDescent="0.25">
      <c r="A190" t="s">
        <v>1012</v>
      </c>
      <c r="B190" t="s">
        <v>1012</v>
      </c>
      <c r="C190" t="s">
        <v>3746</v>
      </c>
      <c r="D190" s="388">
        <v>0</v>
      </c>
      <c r="E190" s="388">
        <v>0</v>
      </c>
    </row>
    <row r="191" spans="1:5" x14ac:dyDescent="0.25">
      <c r="A191" t="s">
        <v>953</v>
      </c>
      <c r="B191" t="s">
        <v>2064</v>
      </c>
      <c r="C191" t="s">
        <v>2228</v>
      </c>
      <c r="D191" s="388">
        <v>0</v>
      </c>
      <c r="E191" s="388">
        <v>0</v>
      </c>
    </row>
    <row r="192" spans="1:5" x14ac:dyDescent="0.25">
      <c r="A192" t="s">
        <v>2066</v>
      </c>
      <c r="B192" t="s">
        <v>2067</v>
      </c>
      <c r="C192" t="s">
        <v>2229</v>
      </c>
      <c r="D192" s="388">
        <v>0</v>
      </c>
      <c r="E192" s="388">
        <v>0</v>
      </c>
    </row>
    <row r="193" spans="1:5" x14ac:dyDescent="0.25">
      <c r="A193" t="s">
        <v>2066</v>
      </c>
      <c r="B193" t="s">
        <v>2069</v>
      </c>
      <c r="C193" t="s">
        <v>2230</v>
      </c>
      <c r="D193" s="388">
        <v>0</v>
      </c>
      <c r="E193" s="388">
        <v>0</v>
      </c>
    </row>
    <row r="194" spans="1:5" x14ac:dyDescent="0.25">
      <c r="A194" t="s">
        <v>2066</v>
      </c>
      <c r="B194" t="s">
        <v>2071</v>
      </c>
      <c r="C194" t="s">
        <v>2231</v>
      </c>
      <c r="D194" s="388">
        <v>0</v>
      </c>
      <c r="E194" s="388">
        <v>0</v>
      </c>
    </row>
    <row r="195" spans="1:5" x14ac:dyDescent="0.25">
      <c r="A195" t="s">
        <v>1012</v>
      </c>
      <c r="B195" t="s">
        <v>1012</v>
      </c>
      <c r="C195" t="s">
        <v>2232</v>
      </c>
      <c r="D195" s="388">
        <v>0</v>
      </c>
      <c r="E195" s="388">
        <v>0</v>
      </c>
    </row>
    <row r="196" spans="1:5" x14ac:dyDescent="0.25">
      <c r="A196" t="s">
        <v>1012</v>
      </c>
      <c r="B196" t="s">
        <v>1012</v>
      </c>
      <c r="C196" t="s">
        <v>2233</v>
      </c>
      <c r="D196" s="388">
        <v>0</v>
      </c>
      <c r="E196" s="388">
        <v>0</v>
      </c>
    </row>
    <row r="197" spans="1:5" x14ac:dyDescent="0.25">
      <c r="A197" t="s">
        <v>953</v>
      </c>
      <c r="B197" t="s">
        <v>2064</v>
      </c>
      <c r="C197" t="s">
        <v>2234</v>
      </c>
      <c r="D197" s="388">
        <v>0</v>
      </c>
      <c r="E197" s="388">
        <v>0</v>
      </c>
    </row>
    <row r="198" spans="1:5" x14ac:dyDescent="0.25">
      <c r="A198" t="s">
        <v>2066</v>
      </c>
      <c r="B198" t="s">
        <v>2067</v>
      </c>
      <c r="C198" t="s">
        <v>2235</v>
      </c>
      <c r="D198" s="388">
        <v>0</v>
      </c>
      <c r="E198" s="388">
        <v>0</v>
      </c>
    </row>
    <row r="199" spans="1:5" x14ac:dyDescent="0.25">
      <c r="A199" t="s">
        <v>2066</v>
      </c>
      <c r="B199" t="s">
        <v>2069</v>
      </c>
      <c r="C199" t="s">
        <v>2236</v>
      </c>
      <c r="D199" s="388">
        <v>0</v>
      </c>
      <c r="E199" s="388">
        <v>0</v>
      </c>
    </row>
    <row r="200" spans="1:5" x14ac:dyDescent="0.25">
      <c r="A200" t="s">
        <v>2066</v>
      </c>
      <c r="B200" t="s">
        <v>2071</v>
      </c>
      <c r="C200" t="s">
        <v>2237</v>
      </c>
      <c r="D200" s="388">
        <v>0</v>
      </c>
      <c r="E200" s="388">
        <v>0</v>
      </c>
    </row>
    <row r="201" spans="1:5" x14ac:dyDescent="0.25">
      <c r="A201" t="s">
        <v>1012</v>
      </c>
      <c r="B201" t="s">
        <v>1012</v>
      </c>
      <c r="C201" t="s">
        <v>2238</v>
      </c>
      <c r="D201" s="388">
        <v>0</v>
      </c>
      <c r="E201" s="388">
        <v>0</v>
      </c>
    </row>
    <row r="202" spans="1:5" x14ac:dyDescent="0.25">
      <c r="A202" t="s">
        <v>2128</v>
      </c>
      <c r="B202" t="s">
        <v>2257</v>
      </c>
      <c r="C202" t="s">
        <v>3054</v>
      </c>
      <c r="D202" s="388">
        <v>0</v>
      </c>
      <c r="E202" s="388">
        <v>48864</v>
      </c>
    </row>
    <row r="203" spans="1:5" x14ac:dyDescent="0.25">
      <c r="A203" t="s">
        <v>2128</v>
      </c>
      <c r="B203" t="s">
        <v>2131</v>
      </c>
      <c r="C203" t="s">
        <v>2239</v>
      </c>
      <c r="D203" s="388">
        <v>300</v>
      </c>
      <c r="E203" s="388">
        <v>300</v>
      </c>
    </row>
    <row r="204" spans="1:5" x14ac:dyDescent="0.25">
      <c r="A204" t="s">
        <v>953</v>
      </c>
      <c r="B204" t="s">
        <v>2064</v>
      </c>
      <c r="C204" t="s">
        <v>2240</v>
      </c>
      <c r="D204" s="388">
        <v>0</v>
      </c>
      <c r="E204" s="388">
        <v>0</v>
      </c>
    </row>
    <row r="205" spans="1:5" x14ac:dyDescent="0.25">
      <c r="A205" t="s">
        <v>2066</v>
      </c>
      <c r="B205" t="s">
        <v>2067</v>
      </c>
      <c r="C205" t="s">
        <v>2241</v>
      </c>
      <c r="D205" s="388">
        <v>0</v>
      </c>
      <c r="E205" s="388">
        <v>0</v>
      </c>
    </row>
    <row r="206" spans="1:5" x14ac:dyDescent="0.25">
      <c r="A206" t="s">
        <v>2066</v>
      </c>
      <c r="B206" t="s">
        <v>2069</v>
      </c>
      <c r="C206" t="s">
        <v>2242</v>
      </c>
      <c r="D206" s="388">
        <v>0</v>
      </c>
      <c r="E206" s="388">
        <v>0</v>
      </c>
    </row>
    <row r="207" spans="1:5" x14ac:dyDescent="0.25">
      <c r="A207" t="s">
        <v>953</v>
      </c>
      <c r="B207" t="s">
        <v>2064</v>
      </c>
      <c r="C207" t="s">
        <v>2243</v>
      </c>
      <c r="D207" s="388">
        <v>0</v>
      </c>
      <c r="E207" s="388">
        <v>0</v>
      </c>
    </row>
    <row r="208" spans="1:5" x14ac:dyDescent="0.25">
      <c r="A208" t="s">
        <v>2066</v>
      </c>
      <c r="B208" t="s">
        <v>2067</v>
      </c>
      <c r="C208" t="s">
        <v>2244</v>
      </c>
      <c r="D208" s="388">
        <v>0</v>
      </c>
      <c r="E208" s="388">
        <v>0</v>
      </c>
    </row>
    <row r="209" spans="1:5" x14ac:dyDescent="0.25">
      <c r="A209" t="s">
        <v>2066</v>
      </c>
      <c r="B209" t="s">
        <v>2069</v>
      </c>
      <c r="C209" t="s">
        <v>2245</v>
      </c>
      <c r="D209" s="388">
        <v>0</v>
      </c>
      <c r="E209" s="388">
        <v>0</v>
      </c>
    </row>
    <row r="210" spans="1:5" x14ac:dyDescent="0.25">
      <c r="A210" t="s">
        <v>2066</v>
      </c>
      <c r="B210" t="s">
        <v>2071</v>
      </c>
      <c r="C210" t="s">
        <v>2246</v>
      </c>
      <c r="D210" s="388">
        <v>0</v>
      </c>
      <c r="E210" s="388">
        <v>0</v>
      </c>
    </row>
    <row r="211" spans="1:5" x14ac:dyDescent="0.25">
      <c r="A211" t="s">
        <v>953</v>
      </c>
      <c r="B211" t="s">
        <v>2064</v>
      </c>
      <c r="C211" t="s">
        <v>2247</v>
      </c>
      <c r="D211" s="388">
        <v>0</v>
      </c>
      <c r="E211" s="388">
        <v>0</v>
      </c>
    </row>
    <row r="212" spans="1:5" x14ac:dyDescent="0.25">
      <c r="A212" t="s">
        <v>2066</v>
      </c>
      <c r="B212" t="s">
        <v>2067</v>
      </c>
      <c r="C212" t="s">
        <v>2248</v>
      </c>
      <c r="D212" s="388">
        <v>0</v>
      </c>
      <c r="E212" s="388">
        <v>0</v>
      </c>
    </row>
    <row r="213" spans="1:5" x14ac:dyDescent="0.25">
      <c r="A213" t="s">
        <v>2066</v>
      </c>
      <c r="B213" t="s">
        <v>2069</v>
      </c>
      <c r="C213" t="s">
        <v>2249</v>
      </c>
      <c r="D213" s="388">
        <v>0</v>
      </c>
      <c r="E213" s="388">
        <v>0</v>
      </c>
    </row>
    <row r="214" spans="1:5" x14ac:dyDescent="0.25">
      <c r="A214" t="s">
        <v>2066</v>
      </c>
      <c r="B214" t="s">
        <v>2071</v>
      </c>
      <c r="C214" t="s">
        <v>2250</v>
      </c>
      <c r="D214" s="388">
        <v>0</v>
      </c>
      <c r="E214" s="388">
        <v>0</v>
      </c>
    </row>
    <row r="215" spans="1:5" x14ac:dyDescent="0.25">
      <c r="A215" t="s">
        <v>2080</v>
      </c>
      <c r="B215" t="s">
        <v>2080</v>
      </c>
      <c r="C215" t="s">
        <v>2251</v>
      </c>
      <c r="D215" s="388">
        <v>0</v>
      </c>
      <c r="E215" s="388">
        <v>0</v>
      </c>
    </row>
    <row r="216" spans="1:5" x14ac:dyDescent="0.25">
      <c r="A216" t="s">
        <v>1012</v>
      </c>
      <c r="B216" t="s">
        <v>1012</v>
      </c>
      <c r="C216" t="s">
        <v>2252</v>
      </c>
      <c r="D216" s="388">
        <v>0</v>
      </c>
      <c r="E216" s="388">
        <v>0</v>
      </c>
    </row>
    <row r="217" spans="1:5" x14ac:dyDescent="0.25">
      <c r="A217" t="s">
        <v>1013</v>
      </c>
      <c r="B217" t="s">
        <v>3727</v>
      </c>
      <c r="C217" t="s">
        <v>3728</v>
      </c>
      <c r="D217" s="388">
        <v>0</v>
      </c>
      <c r="E217" s="388">
        <v>15783541.9</v>
      </c>
    </row>
    <row r="218" spans="1:5" x14ac:dyDescent="0.25">
      <c r="A218" t="s">
        <v>1013</v>
      </c>
      <c r="B218" t="s">
        <v>3727</v>
      </c>
      <c r="C218" t="s">
        <v>3729</v>
      </c>
      <c r="D218" s="388">
        <v>0</v>
      </c>
      <c r="E218" s="388">
        <v>472443.85</v>
      </c>
    </row>
    <row r="219" spans="1:5" x14ac:dyDescent="0.25">
      <c r="A219" t="s">
        <v>1013</v>
      </c>
      <c r="B219" t="s">
        <v>3727</v>
      </c>
      <c r="C219" t="s">
        <v>3730</v>
      </c>
      <c r="D219" s="388">
        <v>0</v>
      </c>
      <c r="E219" s="388">
        <v>295724.71999999997</v>
      </c>
    </row>
    <row r="220" spans="1:5" x14ac:dyDescent="0.25">
      <c r="A220" t="s">
        <v>953</v>
      </c>
      <c r="B220" t="s">
        <v>3731</v>
      </c>
      <c r="C220" t="s">
        <v>3732</v>
      </c>
      <c r="D220" s="388">
        <v>0</v>
      </c>
      <c r="E220" s="388">
        <v>-16524819.84</v>
      </c>
    </row>
    <row r="221" spans="1:5" x14ac:dyDescent="0.25">
      <c r="A221" t="s">
        <v>953</v>
      </c>
      <c r="B221" t="s">
        <v>3731</v>
      </c>
      <c r="C221" t="s">
        <v>3733</v>
      </c>
      <c r="D221" s="388">
        <v>0</v>
      </c>
      <c r="E221" s="388">
        <v>-543288.98</v>
      </c>
    </row>
    <row r="222" spans="1:5" x14ac:dyDescent="0.25">
      <c r="A222" t="s">
        <v>953</v>
      </c>
      <c r="B222" t="s">
        <v>3731</v>
      </c>
      <c r="C222" t="s">
        <v>3734</v>
      </c>
      <c r="D222" s="388">
        <v>0</v>
      </c>
      <c r="E222" s="388">
        <v>-346189.94</v>
      </c>
    </row>
    <row r="223" spans="1:5" x14ac:dyDescent="0.25">
      <c r="A223" t="s">
        <v>1013</v>
      </c>
      <c r="B223" t="s">
        <v>3735</v>
      </c>
      <c r="C223" t="s">
        <v>3736</v>
      </c>
      <c r="D223" s="388">
        <v>0</v>
      </c>
      <c r="E223" s="388">
        <v>264829.94</v>
      </c>
    </row>
    <row r="224" spans="1:5" x14ac:dyDescent="0.25">
      <c r="A224" t="s">
        <v>1013</v>
      </c>
      <c r="B224" t="s">
        <v>3735</v>
      </c>
      <c r="C224" t="s">
        <v>3737</v>
      </c>
      <c r="D224" s="388">
        <v>0</v>
      </c>
      <c r="E224" s="388">
        <v>293.18</v>
      </c>
    </row>
    <row r="225" spans="1:5" x14ac:dyDescent="0.25">
      <c r="A225" t="s">
        <v>1013</v>
      </c>
      <c r="B225" t="s">
        <v>1013</v>
      </c>
      <c r="C225" t="s">
        <v>2253</v>
      </c>
      <c r="D225" s="388">
        <v>35941</v>
      </c>
      <c r="E225" s="388">
        <v>162025</v>
      </c>
    </row>
    <row r="226" spans="1:5" x14ac:dyDescent="0.25">
      <c r="A226" t="s">
        <v>2169</v>
      </c>
      <c r="B226" t="s">
        <v>2169</v>
      </c>
      <c r="C226" t="s">
        <v>3738</v>
      </c>
      <c r="D226" s="388">
        <v>0</v>
      </c>
      <c r="E226" s="388">
        <v>-126084</v>
      </c>
    </row>
    <row r="227" spans="1:5" x14ac:dyDescent="0.25">
      <c r="A227" t="s">
        <v>2427</v>
      </c>
      <c r="B227" t="s">
        <v>2427</v>
      </c>
      <c r="C227" t="s">
        <v>3055</v>
      </c>
      <c r="D227" s="388">
        <v>0</v>
      </c>
      <c r="E227" s="388">
        <v>-12702.41</v>
      </c>
    </row>
    <row r="228" spans="1:5" x14ac:dyDescent="0.25">
      <c r="A228" t="s">
        <v>1012</v>
      </c>
      <c r="B228" t="s">
        <v>1012</v>
      </c>
      <c r="C228" t="s">
        <v>2255</v>
      </c>
      <c r="D228" s="388">
        <v>0</v>
      </c>
      <c r="E228" s="388">
        <v>0</v>
      </c>
    </row>
    <row r="229" spans="1:5" x14ac:dyDescent="0.25">
      <c r="A229" t="s">
        <v>2080</v>
      </c>
      <c r="B229" t="s">
        <v>2080</v>
      </c>
      <c r="C229" t="s">
        <v>3056</v>
      </c>
      <c r="D229" s="388">
        <v>0</v>
      </c>
      <c r="E229" s="388">
        <v>17505.349999999999</v>
      </c>
    </row>
    <row r="230" spans="1:5" x14ac:dyDescent="0.25">
      <c r="A230" t="s">
        <v>1012</v>
      </c>
      <c r="B230" t="s">
        <v>1012</v>
      </c>
      <c r="C230" t="s">
        <v>2256</v>
      </c>
      <c r="D230" s="388">
        <v>0</v>
      </c>
      <c r="E230" s="388">
        <v>0</v>
      </c>
    </row>
    <row r="231" spans="1:5" x14ac:dyDescent="0.25">
      <c r="A231" t="s">
        <v>2128</v>
      </c>
      <c r="B231" t="s">
        <v>2257</v>
      </c>
      <c r="C231" t="s">
        <v>2258</v>
      </c>
      <c r="D231" s="388">
        <v>10848</v>
      </c>
      <c r="E231" s="388">
        <v>3996</v>
      </c>
    </row>
    <row r="232" spans="1:5" x14ac:dyDescent="0.25">
      <c r="A232" t="s">
        <v>1012</v>
      </c>
      <c r="B232" t="s">
        <v>1012</v>
      </c>
      <c r="C232" t="s">
        <v>3747</v>
      </c>
      <c r="D232" s="388">
        <v>0</v>
      </c>
      <c r="E232" s="388">
        <v>0</v>
      </c>
    </row>
    <row r="233" spans="1:5" x14ac:dyDescent="0.25">
      <c r="A233" t="s">
        <v>2128</v>
      </c>
      <c r="B233" t="s">
        <v>2131</v>
      </c>
      <c r="C233" t="s">
        <v>2259</v>
      </c>
      <c r="D233" s="388">
        <v>334</v>
      </c>
      <c r="E233" s="388">
        <v>306</v>
      </c>
    </row>
    <row r="234" spans="1:5" x14ac:dyDescent="0.25">
      <c r="A234" t="s">
        <v>2128</v>
      </c>
      <c r="B234" t="s">
        <v>2129</v>
      </c>
      <c r="C234" t="s">
        <v>2260</v>
      </c>
      <c r="D234" s="388">
        <v>15000</v>
      </c>
      <c r="E234" s="388">
        <v>15000</v>
      </c>
    </row>
    <row r="235" spans="1:5" x14ac:dyDescent="0.25">
      <c r="A235" t="s">
        <v>2261</v>
      </c>
      <c r="B235" t="s">
        <v>2261</v>
      </c>
      <c r="C235" t="s">
        <v>2262</v>
      </c>
      <c r="D235" s="388">
        <v>1064000</v>
      </c>
      <c r="E235" s="388">
        <v>1064000</v>
      </c>
    </row>
    <row r="236" spans="1:5" x14ac:dyDescent="0.25">
      <c r="A236" t="s">
        <v>2261</v>
      </c>
      <c r="B236" t="s">
        <v>2261</v>
      </c>
      <c r="C236" t="s">
        <v>2263</v>
      </c>
      <c r="D236" s="388">
        <v>600000</v>
      </c>
      <c r="E236" s="388">
        <v>744600</v>
      </c>
    </row>
    <row r="237" spans="1:5" x14ac:dyDescent="0.25">
      <c r="A237" t="s">
        <v>2066</v>
      </c>
      <c r="B237" t="s">
        <v>2066</v>
      </c>
      <c r="C237" t="s">
        <v>2264</v>
      </c>
      <c r="D237" s="388">
        <v>0</v>
      </c>
      <c r="E237" s="388">
        <v>89083</v>
      </c>
    </row>
    <row r="238" spans="1:5" x14ac:dyDescent="0.25">
      <c r="A238" t="s">
        <v>1012</v>
      </c>
      <c r="B238" t="s">
        <v>1012</v>
      </c>
      <c r="C238" t="s">
        <v>3057</v>
      </c>
      <c r="D238" s="388">
        <v>0</v>
      </c>
      <c r="E238" s="388">
        <v>-659968.44999999995</v>
      </c>
    </row>
    <row r="239" spans="1:5" x14ac:dyDescent="0.25">
      <c r="A239" t="s">
        <v>1012</v>
      </c>
      <c r="B239" t="s">
        <v>1012</v>
      </c>
      <c r="C239" t="s">
        <v>2265</v>
      </c>
      <c r="D239" s="388">
        <v>-10856</v>
      </c>
      <c r="E239" s="388">
        <v>0</v>
      </c>
    </row>
    <row r="240" spans="1:5" x14ac:dyDescent="0.25">
      <c r="A240" t="s">
        <v>2066</v>
      </c>
      <c r="B240" t="s">
        <v>2066</v>
      </c>
      <c r="C240" t="s">
        <v>2266</v>
      </c>
      <c r="D240" s="388">
        <v>0</v>
      </c>
      <c r="E240" s="388">
        <v>0</v>
      </c>
    </row>
    <row r="241" spans="1:5" x14ac:dyDescent="0.25">
      <c r="A241" t="s">
        <v>2169</v>
      </c>
      <c r="B241" t="s">
        <v>2169</v>
      </c>
      <c r="C241" t="s">
        <v>3058</v>
      </c>
      <c r="D241" s="388">
        <v>0</v>
      </c>
      <c r="E241" s="388">
        <v>-19306.740000000002</v>
      </c>
    </row>
    <row r="242" spans="1:5" x14ac:dyDescent="0.25">
      <c r="A242" t="s">
        <v>2080</v>
      </c>
      <c r="B242" t="s">
        <v>2080</v>
      </c>
      <c r="C242" t="s">
        <v>2267</v>
      </c>
      <c r="D242" s="388">
        <v>0</v>
      </c>
      <c r="E242" s="388">
        <v>0</v>
      </c>
    </row>
    <row r="243" spans="1:5" x14ac:dyDescent="0.25">
      <c r="A243" t="s">
        <v>953</v>
      </c>
      <c r="B243" t="s">
        <v>2064</v>
      </c>
      <c r="C243" t="s">
        <v>2268</v>
      </c>
      <c r="D243" s="388">
        <v>0</v>
      </c>
      <c r="E243" s="388">
        <v>0</v>
      </c>
    </row>
    <row r="244" spans="1:5" x14ac:dyDescent="0.25">
      <c r="A244" t="s">
        <v>2066</v>
      </c>
      <c r="B244" t="s">
        <v>2067</v>
      </c>
      <c r="C244" t="s">
        <v>2269</v>
      </c>
      <c r="D244" s="388">
        <v>0</v>
      </c>
      <c r="E244" s="388">
        <v>0</v>
      </c>
    </row>
    <row r="245" spans="1:5" x14ac:dyDescent="0.25">
      <c r="A245" t="s">
        <v>2066</v>
      </c>
      <c r="B245" t="s">
        <v>2069</v>
      </c>
      <c r="C245" t="s">
        <v>2270</v>
      </c>
      <c r="D245" s="388">
        <v>0</v>
      </c>
      <c r="E245" s="388">
        <v>0</v>
      </c>
    </row>
    <row r="246" spans="1:5" x14ac:dyDescent="0.25">
      <c r="A246" t="s">
        <v>1012</v>
      </c>
      <c r="B246" t="s">
        <v>1012</v>
      </c>
      <c r="C246" t="s">
        <v>2271</v>
      </c>
      <c r="D246" s="388">
        <v>0</v>
      </c>
      <c r="E246" s="388">
        <v>0</v>
      </c>
    </row>
    <row r="247" spans="1:5" x14ac:dyDescent="0.25">
      <c r="A247" t="s">
        <v>2080</v>
      </c>
      <c r="B247" t="s">
        <v>2080</v>
      </c>
      <c r="C247" t="s">
        <v>2272</v>
      </c>
      <c r="D247" s="388">
        <v>0</v>
      </c>
      <c r="E247" s="388">
        <v>0</v>
      </c>
    </row>
    <row r="248" spans="1:5" x14ac:dyDescent="0.25">
      <c r="A248" t="s">
        <v>2080</v>
      </c>
      <c r="B248" t="s">
        <v>2273</v>
      </c>
      <c r="C248" t="s">
        <v>2274</v>
      </c>
      <c r="D248" s="388">
        <v>0</v>
      </c>
      <c r="E248" s="388">
        <v>0</v>
      </c>
    </row>
    <row r="249" spans="1:5" x14ac:dyDescent="0.25">
      <c r="A249" t="s">
        <v>2080</v>
      </c>
      <c r="B249" t="s">
        <v>2273</v>
      </c>
      <c r="C249" t="s">
        <v>3059</v>
      </c>
      <c r="D249" s="388">
        <v>-6947999.1699999999</v>
      </c>
      <c r="E249" s="388">
        <v>0</v>
      </c>
    </row>
    <row r="250" spans="1:5" x14ac:dyDescent="0.25">
      <c r="A250" t="s">
        <v>2080</v>
      </c>
      <c r="B250" t="s">
        <v>2273</v>
      </c>
      <c r="C250" t="s">
        <v>2275</v>
      </c>
      <c r="D250" s="388">
        <v>0</v>
      </c>
      <c r="E250" s="388">
        <v>0</v>
      </c>
    </row>
    <row r="251" spans="1:5" x14ac:dyDescent="0.25">
      <c r="A251" t="s">
        <v>2080</v>
      </c>
      <c r="B251" t="s">
        <v>2273</v>
      </c>
      <c r="C251" t="s">
        <v>2276</v>
      </c>
      <c r="D251" s="388">
        <v>0</v>
      </c>
      <c r="E251" s="388">
        <v>0</v>
      </c>
    </row>
    <row r="252" spans="1:5" x14ac:dyDescent="0.25">
      <c r="A252" t="s">
        <v>2080</v>
      </c>
      <c r="B252" t="s">
        <v>2273</v>
      </c>
      <c r="C252" t="s">
        <v>2277</v>
      </c>
      <c r="D252" s="388">
        <v>0</v>
      </c>
      <c r="E252" s="388">
        <v>0</v>
      </c>
    </row>
    <row r="253" spans="1:5" x14ac:dyDescent="0.25">
      <c r="A253" t="s">
        <v>1012</v>
      </c>
      <c r="B253" t="s">
        <v>1012</v>
      </c>
      <c r="C253" t="s">
        <v>2278</v>
      </c>
      <c r="D253" s="388">
        <v>0</v>
      </c>
      <c r="E253" s="388">
        <v>0</v>
      </c>
    </row>
    <row r="254" spans="1:5" x14ac:dyDescent="0.25">
      <c r="A254" t="s">
        <v>2066</v>
      </c>
      <c r="B254" t="s">
        <v>2066</v>
      </c>
      <c r="C254" t="s">
        <v>3748</v>
      </c>
      <c r="D254" s="388">
        <v>0</v>
      </c>
      <c r="E254" s="388">
        <v>0</v>
      </c>
    </row>
    <row r="255" spans="1:5" x14ac:dyDescent="0.25">
      <c r="A255" t="s">
        <v>2080</v>
      </c>
      <c r="B255" t="s">
        <v>2080</v>
      </c>
      <c r="C255" t="s">
        <v>2279</v>
      </c>
      <c r="D255" s="388">
        <v>0</v>
      </c>
      <c r="E255" s="388">
        <v>0</v>
      </c>
    </row>
    <row r="256" spans="1:5" x14ac:dyDescent="0.25">
      <c r="A256" t="s">
        <v>2080</v>
      </c>
      <c r="B256" t="s">
        <v>2080</v>
      </c>
      <c r="C256" t="s">
        <v>2280</v>
      </c>
      <c r="D256" s="388">
        <v>0</v>
      </c>
      <c r="E256" s="388">
        <v>0</v>
      </c>
    </row>
    <row r="257" spans="1:5" x14ac:dyDescent="0.25">
      <c r="A257" t="s">
        <v>2281</v>
      </c>
      <c r="B257" t="s">
        <v>2282</v>
      </c>
      <c r="C257" t="s">
        <v>2283</v>
      </c>
      <c r="D257" s="388">
        <v>0</v>
      </c>
      <c r="E257" s="388">
        <v>0</v>
      </c>
    </row>
    <row r="258" spans="1:5" x14ac:dyDescent="0.25">
      <c r="A258" t="s">
        <v>2281</v>
      </c>
      <c r="B258" t="s">
        <v>2282</v>
      </c>
      <c r="C258" t="s">
        <v>2284</v>
      </c>
      <c r="D258" s="388">
        <v>0</v>
      </c>
      <c r="E258" s="388">
        <v>0</v>
      </c>
    </row>
    <row r="259" spans="1:5" x14ac:dyDescent="0.25">
      <c r="A259" t="s">
        <v>2281</v>
      </c>
      <c r="B259" t="s">
        <v>2282</v>
      </c>
      <c r="C259" t="s">
        <v>2285</v>
      </c>
      <c r="D259" s="388">
        <v>0</v>
      </c>
      <c r="E259" s="388">
        <v>0</v>
      </c>
    </row>
    <row r="260" spans="1:5" x14ac:dyDescent="0.25">
      <c r="A260" t="s">
        <v>2281</v>
      </c>
      <c r="B260" t="s">
        <v>2282</v>
      </c>
      <c r="C260" t="s">
        <v>2286</v>
      </c>
      <c r="D260" s="388">
        <v>0</v>
      </c>
      <c r="E260" s="388">
        <v>0</v>
      </c>
    </row>
    <row r="261" spans="1:5" x14ac:dyDescent="0.25">
      <c r="A261" t="s">
        <v>2066</v>
      </c>
      <c r="B261" t="s">
        <v>2066</v>
      </c>
      <c r="C261" t="s">
        <v>2287</v>
      </c>
      <c r="D261" s="388">
        <v>0</v>
      </c>
      <c r="E261" s="388">
        <v>0</v>
      </c>
    </row>
    <row r="262" spans="1:5" x14ac:dyDescent="0.25">
      <c r="A262" t="s">
        <v>953</v>
      </c>
      <c r="B262" t="s">
        <v>2064</v>
      </c>
      <c r="C262" t="s">
        <v>3060</v>
      </c>
      <c r="D262" s="388">
        <v>0</v>
      </c>
      <c r="E262" s="388">
        <v>0</v>
      </c>
    </row>
    <row r="263" spans="1:5" x14ac:dyDescent="0.25">
      <c r="A263" t="s">
        <v>2080</v>
      </c>
      <c r="B263" t="s">
        <v>2080</v>
      </c>
      <c r="C263" t="s">
        <v>2288</v>
      </c>
      <c r="D263" s="388">
        <v>0</v>
      </c>
      <c r="E263" s="388">
        <v>0</v>
      </c>
    </row>
    <row r="264" spans="1:5" x14ac:dyDescent="0.25">
      <c r="A264" t="s">
        <v>2080</v>
      </c>
      <c r="B264" t="s">
        <v>2080</v>
      </c>
      <c r="C264" t="s">
        <v>2289</v>
      </c>
      <c r="D264" s="388">
        <v>0</v>
      </c>
      <c r="E264" s="388">
        <v>0</v>
      </c>
    </row>
    <row r="265" spans="1:5" x14ac:dyDescent="0.25">
      <c r="A265" t="s">
        <v>2066</v>
      </c>
      <c r="B265" t="s">
        <v>2066</v>
      </c>
      <c r="C265" t="s">
        <v>3061</v>
      </c>
      <c r="D265" s="388">
        <v>0</v>
      </c>
      <c r="E265" s="388">
        <v>70004.78</v>
      </c>
    </row>
    <row r="266" spans="1:5" x14ac:dyDescent="0.25">
      <c r="A266" t="s">
        <v>2066</v>
      </c>
      <c r="B266" t="s">
        <v>2066</v>
      </c>
      <c r="C266" t="s">
        <v>2290</v>
      </c>
      <c r="D266" s="388">
        <v>0</v>
      </c>
      <c r="E266" s="388">
        <v>3557</v>
      </c>
    </row>
    <row r="267" spans="1:5" x14ac:dyDescent="0.25">
      <c r="A267" t="s">
        <v>1960</v>
      </c>
      <c r="B267" t="s">
        <v>1960</v>
      </c>
      <c r="C267" t="s">
        <v>2291</v>
      </c>
      <c r="D267" s="388">
        <v>-15000000</v>
      </c>
      <c r="E267" s="388">
        <v>-15000000</v>
      </c>
    </row>
    <row r="268" spans="1:5" x14ac:dyDescent="0.25">
      <c r="A268" t="s">
        <v>1012</v>
      </c>
      <c r="B268" t="s">
        <v>1012</v>
      </c>
      <c r="C268" t="s">
        <v>2292</v>
      </c>
      <c r="D268" s="388">
        <v>0</v>
      </c>
      <c r="E268" s="388">
        <v>0</v>
      </c>
    </row>
    <row r="269" spans="1:5" x14ac:dyDescent="0.25">
      <c r="A269" t="s">
        <v>953</v>
      </c>
      <c r="B269" t="s">
        <v>953</v>
      </c>
      <c r="C269" t="s">
        <v>2293</v>
      </c>
      <c r="D269" s="388">
        <v>-4765580</v>
      </c>
      <c r="E269" s="388">
        <v>0</v>
      </c>
    </row>
    <row r="270" spans="1:5" x14ac:dyDescent="0.25">
      <c r="A270" t="s">
        <v>1012</v>
      </c>
      <c r="B270" t="s">
        <v>1012</v>
      </c>
      <c r="C270" t="s">
        <v>2295</v>
      </c>
      <c r="D270" s="388">
        <v>-72883.039999999994</v>
      </c>
      <c r="E270" s="388">
        <v>0</v>
      </c>
    </row>
    <row r="271" spans="1:5" x14ac:dyDescent="0.25">
      <c r="A271" t="s">
        <v>953</v>
      </c>
      <c r="B271" t="s">
        <v>953</v>
      </c>
      <c r="C271" t="s">
        <v>2296</v>
      </c>
      <c r="D271" s="388">
        <v>0</v>
      </c>
      <c r="E271" s="388">
        <v>0</v>
      </c>
    </row>
    <row r="272" spans="1:5" x14ac:dyDescent="0.25">
      <c r="A272" t="s">
        <v>953</v>
      </c>
      <c r="B272" t="s">
        <v>953</v>
      </c>
      <c r="C272" t="s">
        <v>2297</v>
      </c>
      <c r="D272" s="388">
        <v>0</v>
      </c>
      <c r="E272" s="388">
        <v>0</v>
      </c>
    </row>
    <row r="273" spans="1:5" x14ac:dyDescent="0.25">
      <c r="A273" t="s">
        <v>2298</v>
      </c>
      <c r="B273" t="s">
        <v>2298</v>
      </c>
      <c r="C273" t="s">
        <v>2299</v>
      </c>
      <c r="D273" s="388">
        <v>0</v>
      </c>
      <c r="E273" s="388">
        <v>0</v>
      </c>
    </row>
    <row r="274" spans="1:5" x14ac:dyDescent="0.25">
      <c r="A274" t="s">
        <v>2298</v>
      </c>
      <c r="B274" t="s">
        <v>2300</v>
      </c>
      <c r="C274" t="s">
        <v>2301</v>
      </c>
      <c r="D274" s="388">
        <v>0</v>
      </c>
      <c r="E274" s="388">
        <v>-42592703.700000003</v>
      </c>
    </row>
    <row r="275" spans="1:5" x14ac:dyDescent="0.25">
      <c r="A275" t="s">
        <v>2298</v>
      </c>
      <c r="B275" t="s">
        <v>2302</v>
      </c>
      <c r="C275" t="s">
        <v>2303</v>
      </c>
      <c r="D275" s="388">
        <v>0</v>
      </c>
      <c r="E275" s="388">
        <v>-253965.23</v>
      </c>
    </row>
    <row r="276" spans="1:5" x14ac:dyDescent="0.25">
      <c r="A276" t="s">
        <v>2298</v>
      </c>
      <c r="B276" t="s">
        <v>2300</v>
      </c>
      <c r="C276" t="s">
        <v>2304</v>
      </c>
      <c r="D276" s="388">
        <v>0</v>
      </c>
      <c r="E276" s="388">
        <v>-729987.1</v>
      </c>
    </row>
    <row r="277" spans="1:5" x14ac:dyDescent="0.25">
      <c r="A277" t="s">
        <v>2298</v>
      </c>
      <c r="B277" t="s">
        <v>2302</v>
      </c>
      <c r="C277" t="s">
        <v>2305</v>
      </c>
      <c r="D277" s="388">
        <v>0</v>
      </c>
      <c r="E277" s="388">
        <v>-4013245</v>
      </c>
    </row>
    <row r="278" spans="1:5" x14ac:dyDescent="0.25">
      <c r="A278" t="s">
        <v>2298</v>
      </c>
      <c r="B278" t="s">
        <v>2302</v>
      </c>
      <c r="C278" t="s">
        <v>2306</v>
      </c>
      <c r="D278" s="388">
        <v>0</v>
      </c>
      <c r="E278" s="388">
        <v>-904622.16</v>
      </c>
    </row>
    <row r="279" spans="1:5" x14ac:dyDescent="0.25">
      <c r="A279" t="s">
        <v>2298</v>
      </c>
      <c r="B279" t="s">
        <v>2298</v>
      </c>
      <c r="C279" t="s">
        <v>2307</v>
      </c>
      <c r="D279" s="388">
        <v>0</v>
      </c>
      <c r="E279" s="388">
        <v>0</v>
      </c>
    </row>
    <row r="280" spans="1:5" x14ac:dyDescent="0.25">
      <c r="A280" t="s">
        <v>2298</v>
      </c>
      <c r="B280" t="s">
        <v>2300</v>
      </c>
      <c r="C280" t="s">
        <v>2308</v>
      </c>
      <c r="D280" s="388">
        <v>0</v>
      </c>
      <c r="E280" s="388">
        <v>0</v>
      </c>
    </row>
    <row r="281" spans="1:5" x14ac:dyDescent="0.25">
      <c r="A281" t="s">
        <v>2298</v>
      </c>
      <c r="B281" t="s">
        <v>2302</v>
      </c>
      <c r="C281" t="s">
        <v>2309</v>
      </c>
      <c r="D281" s="388">
        <v>0</v>
      </c>
      <c r="E281" s="388">
        <v>0</v>
      </c>
    </row>
    <row r="282" spans="1:5" x14ac:dyDescent="0.25">
      <c r="A282" t="s">
        <v>2080</v>
      </c>
      <c r="B282" t="s">
        <v>2080</v>
      </c>
      <c r="C282" t="s">
        <v>2311</v>
      </c>
      <c r="D282" s="388">
        <v>0</v>
      </c>
      <c r="E282" s="388">
        <v>0</v>
      </c>
    </row>
    <row r="283" spans="1:5" x14ac:dyDescent="0.25">
      <c r="A283" t="s">
        <v>100</v>
      </c>
      <c r="B283" t="s">
        <v>100</v>
      </c>
      <c r="C283" t="s">
        <v>2312</v>
      </c>
      <c r="D283" s="388">
        <v>93458728</v>
      </c>
      <c r="E283" s="388">
        <v>122267474</v>
      </c>
    </row>
    <row r="284" spans="1:5" x14ac:dyDescent="0.25">
      <c r="A284" t="s">
        <v>953</v>
      </c>
      <c r="B284" t="s">
        <v>2064</v>
      </c>
      <c r="C284" t="s">
        <v>2313</v>
      </c>
      <c r="D284" s="388">
        <v>0</v>
      </c>
      <c r="E284" s="388">
        <v>0</v>
      </c>
    </row>
    <row r="285" spans="1:5" x14ac:dyDescent="0.25">
      <c r="A285" t="s">
        <v>2066</v>
      </c>
      <c r="B285" t="s">
        <v>2067</v>
      </c>
      <c r="C285" t="s">
        <v>2314</v>
      </c>
      <c r="D285" s="388">
        <v>0</v>
      </c>
      <c r="E285" s="388">
        <v>0</v>
      </c>
    </row>
    <row r="286" spans="1:5" x14ac:dyDescent="0.25">
      <c r="A286" t="s">
        <v>2066</v>
      </c>
      <c r="B286" t="s">
        <v>2069</v>
      </c>
      <c r="C286" t="s">
        <v>2315</v>
      </c>
      <c r="D286" s="388">
        <v>0</v>
      </c>
      <c r="E286" s="388">
        <v>0</v>
      </c>
    </row>
    <row r="287" spans="1:5" x14ac:dyDescent="0.25">
      <c r="A287" t="s">
        <v>2080</v>
      </c>
      <c r="B287" t="s">
        <v>2080</v>
      </c>
      <c r="C287" t="s">
        <v>2316</v>
      </c>
      <c r="D287" s="388">
        <v>0</v>
      </c>
      <c r="E287" s="388">
        <v>0</v>
      </c>
    </row>
    <row r="288" spans="1:5" x14ac:dyDescent="0.25">
      <c r="A288" t="s">
        <v>2128</v>
      </c>
      <c r="B288" t="s">
        <v>2131</v>
      </c>
      <c r="C288" t="s">
        <v>3123</v>
      </c>
      <c r="D288" s="388">
        <v>0</v>
      </c>
      <c r="E288" s="388">
        <v>0</v>
      </c>
    </row>
    <row r="289" spans="1:5" x14ac:dyDescent="0.25">
      <c r="A289" t="s">
        <v>2128</v>
      </c>
      <c r="B289" t="s">
        <v>2131</v>
      </c>
      <c r="C289" t="s">
        <v>3062</v>
      </c>
      <c r="D289" s="388">
        <v>0</v>
      </c>
      <c r="E289" s="388">
        <v>48579.1</v>
      </c>
    </row>
    <row r="290" spans="1:5" x14ac:dyDescent="0.25">
      <c r="A290" t="s">
        <v>2128</v>
      </c>
      <c r="B290" t="s">
        <v>2131</v>
      </c>
      <c r="C290" t="s">
        <v>3124</v>
      </c>
      <c r="D290" s="388">
        <v>0</v>
      </c>
      <c r="E290" s="388">
        <v>0</v>
      </c>
    </row>
    <row r="291" spans="1:5" x14ac:dyDescent="0.25">
      <c r="A291" t="s">
        <v>1012</v>
      </c>
      <c r="B291" t="s">
        <v>1012</v>
      </c>
      <c r="C291" t="s">
        <v>2317</v>
      </c>
      <c r="D291" s="388">
        <v>0.1</v>
      </c>
      <c r="E291" s="388">
        <v>214.7</v>
      </c>
    </row>
    <row r="292" spans="1:5" x14ac:dyDescent="0.25">
      <c r="A292" t="s">
        <v>1012</v>
      </c>
      <c r="B292" t="s">
        <v>1012</v>
      </c>
      <c r="C292" t="s">
        <v>2318</v>
      </c>
      <c r="D292" s="388">
        <v>0</v>
      </c>
      <c r="E292" s="388">
        <v>0</v>
      </c>
    </row>
    <row r="293" spans="1:5" x14ac:dyDescent="0.25">
      <c r="A293" t="s">
        <v>1012</v>
      </c>
      <c r="B293" t="s">
        <v>1012</v>
      </c>
      <c r="C293" t="s">
        <v>2319</v>
      </c>
      <c r="D293" s="388">
        <v>0</v>
      </c>
      <c r="E293" s="388">
        <v>0</v>
      </c>
    </row>
    <row r="294" spans="1:5" x14ac:dyDescent="0.25">
      <c r="A294" t="s">
        <v>2080</v>
      </c>
      <c r="B294" t="s">
        <v>2080</v>
      </c>
      <c r="C294" t="s">
        <v>2320</v>
      </c>
      <c r="D294" s="388">
        <v>0</v>
      </c>
      <c r="E294" s="388">
        <v>0.08</v>
      </c>
    </row>
    <row r="295" spans="1:5" x14ac:dyDescent="0.25">
      <c r="A295" t="s">
        <v>2128</v>
      </c>
      <c r="B295" t="s">
        <v>2214</v>
      </c>
      <c r="C295" t="s">
        <v>2321</v>
      </c>
      <c r="D295" s="388">
        <v>0</v>
      </c>
      <c r="E295" s="388">
        <v>0</v>
      </c>
    </row>
    <row r="296" spans="1:5" x14ac:dyDescent="0.25">
      <c r="A296" t="s">
        <v>2066</v>
      </c>
      <c r="B296" t="s">
        <v>2066</v>
      </c>
      <c r="C296" t="s">
        <v>2322</v>
      </c>
      <c r="D296" s="388">
        <v>0</v>
      </c>
      <c r="E296" s="388">
        <v>810013.89</v>
      </c>
    </row>
    <row r="297" spans="1:5" x14ac:dyDescent="0.25">
      <c r="A297" t="s">
        <v>2323</v>
      </c>
      <c r="B297" t="s">
        <v>2323</v>
      </c>
      <c r="C297" t="s">
        <v>2324</v>
      </c>
      <c r="D297" s="388">
        <v>0</v>
      </c>
      <c r="E297" s="388">
        <v>5197.1499999999996</v>
      </c>
    </row>
    <row r="298" spans="1:5" x14ac:dyDescent="0.25">
      <c r="A298" t="s">
        <v>2323</v>
      </c>
      <c r="B298" t="s">
        <v>2323</v>
      </c>
      <c r="C298" t="s">
        <v>2325</v>
      </c>
      <c r="D298" s="388">
        <v>0</v>
      </c>
      <c r="E298" s="388">
        <v>63969.49</v>
      </c>
    </row>
    <row r="299" spans="1:5" x14ac:dyDescent="0.25">
      <c r="A299" t="s">
        <v>1012</v>
      </c>
      <c r="B299" t="s">
        <v>1012</v>
      </c>
      <c r="C299" t="s">
        <v>2326</v>
      </c>
      <c r="D299" s="388">
        <v>0</v>
      </c>
      <c r="E299" s="388">
        <v>0</v>
      </c>
    </row>
    <row r="300" spans="1:5" x14ac:dyDescent="0.25">
      <c r="A300" t="s">
        <v>953</v>
      </c>
      <c r="B300" t="s">
        <v>2064</v>
      </c>
      <c r="C300" t="s">
        <v>2327</v>
      </c>
      <c r="D300" s="388">
        <v>0</v>
      </c>
      <c r="E300" s="388">
        <v>0</v>
      </c>
    </row>
    <row r="301" spans="1:5" x14ac:dyDescent="0.25">
      <c r="A301" t="s">
        <v>2066</v>
      </c>
      <c r="B301" t="s">
        <v>2067</v>
      </c>
      <c r="C301" t="s">
        <v>2328</v>
      </c>
      <c r="D301" s="388">
        <v>0</v>
      </c>
      <c r="E301" s="388">
        <v>0</v>
      </c>
    </row>
    <row r="302" spans="1:5" x14ac:dyDescent="0.25">
      <c r="A302" t="s">
        <v>2066</v>
      </c>
      <c r="B302" t="s">
        <v>2069</v>
      </c>
      <c r="C302" t="s">
        <v>2329</v>
      </c>
      <c r="D302" s="388">
        <v>0</v>
      </c>
      <c r="E302" s="388">
        <v>0</v>
      </c>
    </row>
    <row r="303" spans="1:5" x14ac:dyDescent="0.25">
      <c r="A303" t="s">
        <v>2066</v>
      </c>
      <c r="B303" t="s">
        <v>2071</v>
      </c>
      <c r="C303" t="s">
        <v>2330</v>
      </c>
      <c r="D303" s="388">
        <v>0</v>
      </c>
      <c r="E303" s="388">
        <v>0</v>
      </c>
    </row>
    <row r="304" spans="1:5" x14ac:dyDescent="0.25">
      <c r="A304" t="s">
        <v>2080</v>
      </c>
      <c r="B304" t="s">
        <v>2080</v>
      </c>
      <c r="C304" t="s">
        <v>2331</v>
      </c>
      <c r="D304" s="388">
        <v>0</v>
      </c>
      <c r="E304" s="388">
        <v>0</v>
      </c>
    </row>
    <row r="305" spans="1:5" x14ac:dyDescent="0.25">
      <c r="A305" t="s">
        <v>1012</v>
      </c>
      <c r="B305" t="s">
        <v>1012</v>
      </c>
      <c r="C305" t="s">
        <v>2332</v>
      </c>
      <c r="D305" s="388">
        <v>0</v>
      </c>
      <c r="E305" s="388">
        <v>0</v>
      </c>
    </row>
    <row r="306" spans="1:5" x14ac:dyDescent="0.25">
      <c r="A306" t="s">
        <v>1012</v>
      </c>
      <c r="B306" t="s">
        <v>1012</v>
      </c>
      <c r="C306" t="s">
        <v>2333</v>
      </c>
      <c r="D306" s="388">
        <v>0</v>
      </c>
      <c r="E306" s="388">
        <v>0</v>
      </c>
    </row>
    <row r="307" spans="1:5" x14ac:dyDescent="0.25">
      <c r="A307" t="s">
        <v>2080</v>
      </c>
      <c r="B307" t="s">
        <v>2080</v>
      </c>
      <c r="C307" t="s">
        <v>2334</v>
      </c>
      <c r="D307" s="388">
        <v>1871535</v>
      </c>
      <c r="E307" s="388">
        <v>1243845</v>
      </c>
    </row>
    <row r="308" spans="1:5" x14ac:dyDescent="0.25">
      <c r="A308" t="s">
        <v>2281</v>
      </c>
      <c r="B308" t="s">
        <v>2282</v>
      </c>
      <c r="C308" t="s">
        <v>3048</v>
      </c>
      <c r="D308" s="388">
        <v>0</v>
      </c>
      <c r="E308" s="388">
        <v>0</v>
      </c>
    </row>
    <row r="309" spans="1:5" x14ac:dyDescent="0.25">
      <c r="A309" t="s">
        <v>2281</v>
      </c>
      <c r="B309" t="s">
        <v>2282</v>
      </c>
      <c r="C309" t="s">
        <v>2335</v>
      </c>
      <c r="D309" s="388">
        <v>0</v>
      </c>
      <c r="E309" s="388">
        <v>0</v>
      </c>
    </row>
    <row r="310" spans="1:5" x14ac:dyDescent="0.25">
      <c r="A310" t="s">
        <v>2281</v>
      </c>
      <c r="B310" t="s">
        <v>2282</v>
      </c>
      <c r="C310" t="s">
        <v>2336</v>
      </c>
      <c r="D310" s="388">
        <v>0</v>
      </c>
      <c r="E310" s="388">
        <v>0</v>
      </c>
    </row>
    <row r="311" spans="1:5" x14ac:dyDescent="0.25">
      <c r="A311" t="s">
        <v>2066</v>
      </c>
      <c r="B311" t="s">
        <v>2066</v>
      </c>
      <c r="C311" t="s">
        <v>3063</v>
      </c>
      <c r="D311" s="388">
        <v>0</v>
      </c>
      <c r="E311" s="388">
        <v>1187246.79</v>
      </c>
    </row>
    <row r="312" spans="1:5" x14ac:dyDescent="0.25">
      <c r="A312" t="s">
        <v>2066</v>
      </c>
      <c r="B312" t="s">
        <v>2066</v>
      </c>
      <c r="C312" t="s">
        <v>2337</v>
      </c>
      <c r="D312" s="388">
        <v>0</v>
      </c>
      <c r="E312" s="388">
        <v>677690</v>
      </c>
    </row>
    <row r="313" spans="1:5" x14ac:dyDescent="0.25">
      <c r="A313" t="s">
        <v>2045</v>
      </c>
      <c r="B313" t="s">
        <v>2183</v>
      </c>
      <c r="C313" t="s">
        <v>2338</v>
      </c>
      <c r="D313" s="388">
        <v>0</v>
      </c>
      <c r="E313" s="388">
        <v>0</v>
      </c>
    </row>
    <row r="314" spans="1:5" x14ac:dyDescent="0.25">
      <c r="A314" t="s">
        <v>2045</v>
      </c>
      <c r="B314" t="s">
        <v>2339</v>
      </c>
      <c r="C314" t="s">
        <v>2340</v>
      </c>
      <c r="D314" s="388">
        <v>0</v>
      </c>
      <c r="E314" s="388">
        <v>0</v>
      </c>
    </row>
    <row r="315" spans="1:5" x14ac:dyDescent="0.25">
      <c r="A315" t="s">
        <v>2045</v>
      </c>
      <c r="B315" t="s">
        <v>2341</v>
      </c>
      <c r="C315" t="s">
        <v>2342</v>
      </c>
      <c r="D315" s="388">
        <v>0</v>
      </c>
      <c r="E315" s="388">
        <v>0</v>
      </c>
    </row>
    <row r="316" spans="1:5" x14ac:dyDescent="0.25">
      <c r="A316" t="s">
        <v>2045</v>
      </c>
      <c r="B316" t="s">
        <v>2341</v>
      </c>
      <c r="C316" t="s">
        <v>2343</v>
      </c>
      <c r="D316" s="388">
        <v>0</v>
      </c>
      <c r="E316" s="388">
        <v>0</v>
      </c>
    </row>
    <row r="317" spans="1:5" x14ac:dyDescent="0.25">
      <c r="A317" t="s">
        <v>2045</v>
      </c>
      <c r="B317" t="s">
        <v>2187</v>
      </c>
      <c r="C317" t="s">
        <v>2344</v>
      </c>
      <c r="D317" s="388">
        <v>11398</v>
      </c>
      <c r="E317" s="388">
        <v>0</v>
      </c>
    </row>
    <row r="318" spans="1:5" x14ac:dyDescent="0.25">
      <c r="A318" t="s">
        <v>2045</v>
      </c>
      <c r="B318" t="s">
        <v>2046</v>
      </c>
      <c r="C318" t="s">
        <v>2345</v>
      </c>
      <c r="D318" s="388">
        <v>0</v>
      </c>
      <c r="E318" s="388">
        <v>0</v>
      </c>
    </row>
    <row r="319" spans="1:5" x14ac:dyDescent="0.25">
      <c r="A319" t="s">
        <v>2045</v>
      </c>
      <c r="B319" t="s">
        <v>2058</v>
      </c>
      <c r="C319" t="s">
        <v>2346</v>
      </c>
      <c r="D319" s="388">
        <v>0</v>
      </c>
      <c r="E319" s="388">
        <v>0</v>
      </c>
    </row>
    <row r="320" spans="1:5" x14ac:dyDescent="0.25">
      <c r="A320" t="s">
        <v>2045</v>
      </c>
      <c r="B320" t="s">
        <v>2046</v>
      </c>
      <c r="C320" t="s">
        <v>2347</v>
      </c>
      <c r="D320" s="388">
        <v>0</v>
      </c>
      <c r="E320" s="388">
        <v>0</v>
      </c>
    </row>
    <row r="321" spans="1:5" x14ac:dyDescent="0.25">
      <c r="A321" t="s">
        <v>2045</v>
      </c>
      <c r="B321" t="s">
        <v>2058</v>
      </c>
      <c r="C321" t="s">
        <v>2348</v>
      </c>
      <c r="D321" s="388">
        <v>0</v>
      </c>
      <c r="E321" s="388">
        <v>0</v>
      </c>
    </row>
    <row r="322" spans="1:5" x14ac:dyDescent="0.25">
      <c r="A322" t="s">
        <v>2045</v>
      </c>
      <c r="B322" t="s">
        <v>2187</v>
      </c>
      <c r="C322" t="s">
        <v>2349</v>
      </c>
      <c r="D322" s="388">
        <v>0</v>
      </c>
      <c r="E322" s="388">
        <v>0</v>
      </c>
    </row>
    <row r="323" spans="1:5" x14ac:dyDescent="0.25">
      <c r="A323" t="s">
        <v>2045</v>
      </c>
      <c r="B323" t="s">
        <v>3726</v>
      </c>
      <c r="C323" t="s">
        <v>3064</v>
      </c>
      <c r="D323" s="388">
        <v>0</v>
      </c>
      <c r="E323" s="388">
        <v>-389722.92</v>
      </c>
    </row>
    <row r="324" spans="1:5" x14ac:dyDescent="0.25">
      <c r="A324" t="s">
        <v>2045</v>
      </c>
      <c r="B324" t="s">
        <v>3743</v>
      </c>
      <c r="C324" t="s">
        <v>3749</v>
      </c>
      <c r="D324" s="388">
        <v>0</v>
      </c>
      <c r="E324" s="388">
        <v>0</v>
      </c>
    </row>
    <row r="325" spans="1:5" x14ac:dyDescent="0.25">
      <c r="A325" t="s">
        <v>2045</v>
      </c>
      <c r="B325" t="s">
        <v>2350</v>
      </c>
      <c r="C325" t="s">
        <v>2351</v>
      </c>
      <c r="D325" s="388">
        <v>0</v>
      </c>
      <c r="E325" s="388">
        <v>0</v>
      </c>
    </row>
    <row r="326" spans="1:5" x14ac:dyDescent="0.25">
      <c r="A326" t="s">
        <v>953</v>
      </c>
      <c r="B326" t="s">
        <v>2064</v>
      </c>
      <c r="C326" t="s">
        <v>2352</v>
      </c>
      <c r="D326" s="388">
        <v>0</v>
      </c>
      <c r="E326" s="388">
        <v>0</v>
      </c>
    </row>
    <row r="327" spans="1:5" x14ac:dyDescent="0.25">
      <c r="A327" t="s">
        <v>2066</v>
      </c>
      <c r="B327" t="s">
        <v>2067</v>
      </c>
      <c r="C327" t="s">
        <v>2353</v>
      </c>
      <c r="D327" s="388">
        <v>0</v>
      </c>
      <c r="E327" s="388">
        <v>0</v>
      </c>
    </row>
    <row r="328" spans="1:5" x14ac:dyDescent="0.25">
      <c r="A328" t="s">
        <v>2066</v>
      </c>
      <c r="B328" t="s">
        <v>2069</v>
      </c>
      <c r="C328" t="s">
        <v>2354</v>
      </c>
      <c r="D328" s="388">
        <v>0</v>
      </c>
      <c r="E328" s="388">
        <v>0</v>
      </c>
    </row>
    <row r="329" spans="1:5" x14ac:dyDescent="0.25">
      <c r="A329" t="s">
        <v>953</v>
      </c>
      <c r="B329" t="s">
        <v>2064</v>
      </c>
      <c r="C329" t="s">
        <v>2355</v>
      </c>
      <c r="D329" s="388">
        <v>0</v>
      </c>
      <c r="E329" s="388">
        <v>0</v>
      </c>
    </row>
    <row r="330" spans="1:5" x14ac:dyDescent="0.25">
      <c r="A330" t="s">
        <v>2066</v>
      </c>
      <c r="B330" t="s">
        <v>2067</v>
      </c>
      <c r="C330" t="s">
        <v>2356</v>
      </c>
      <c r="D330" s="388">
        <v>0</v>
      </c>
      <c r="E330" s="388">
        <v>0</v>
      </c>
    </row>
    <row r="331" spans="1:5" x14ac:dyDescent="0.25">
      <c r="A331" t="s">
        <v>2066</v>
      </c>
      <c r="B331" t="s">
        <v>2069</v>
      </c>
      <c r="C331" t="s">
        <v>2357</v>
      </c>
      <c r="D331" s="388">
        <v>0</v>
      </c>
      <c r="E331" s="388">
        <v>0</v>
      </c>
    </row>
    <row r="332" spans="1:5" x14ac:dyDescent="0.25">
      <c r="A332" t="s">
        <v>2080</v>
      </c>
      <c r="B332" t="s">
        <v>2080</v>
      </c>
      <c r="C332" t="s">
        <v>2358</v>
      </c>
      <c r="D332" s="388">
        <v>27840</v>
      </c>
      <c r="E332" s="388">
        <v>0</v>
      </c>
    </row>
    <row r="333" spans="1:5" x14ac:dyDescent="0.25">
      <c r="A333" t="s">
        <v>1012</v>
      </c>
      <c r="B333" t="s">
        <v>1012</v>
      </c>
      <c r="C333" t="s">
        <v>3065</v>
      </c>
      <c r="D333" s="388">
        <v>0</v>
      </c>
      <c r="E333" s="388">
        <v>-3347.82</v>
      </c>
    </row>
    <row r="334" spans="1:5" x14ac:dyDescent="0.25">
      <c r="A334" t="s">
        <v>2066</v>
      </c>
      <c r="B334" t="s">
        <v>2066</v>
      </c>
      <c r="C334" t="s">
        <v>2359</v>
      </c>
      <c r="D334" s="388">
        <v>0</v>
      </c>
      <c r="E334" s="388">
        <v>0</v>
      </c>
    </row>
    <row r="335" spans="1:5" x14ac:dyDescent="0.25">
      <c r="A335" t="s">
        <v>2080</v>
      </c>
      <c r="B335" t="s">
        <v>2080</v>
      </c>
      <c r="C335" t="s">
        <v>2360</v>
      </c>
      <c r="D335" s="388">
        <v>210866</v>
      </c>
      <c r="E335" s="388">
        <v>213226.1</v>
      </c>
    </row>
    <row r="336" spans="1:5" x14ac:dyDescent="0.25">
      <c r="A336" t="s">
        <v>1012</v>
      </c>
      <c r="B336" t="s">
        <v>1012</v>
      </c>
      <c r="C336" t="s">
        <v>3750</v>
      </c>
      <c r="D336" s="388">
        <v>0</v>
      </c>
      <c r="E336" s="388">
        <v>0</v>
      </c>
    </row>
    <row r="337" spans="1:5" x14ac:dyDescent="0.25">
      <c r="A337" t="s">
        <v>2066</v>
      </c>
      <c r="B337" t="s">
        <v>2066</v>
      </c>
      <c r="C337" t="s">
        <v>2361</v>
      </c>
      <c r="D337" s="388">
        <v>0</v>
      </c>
      <c r="E337" s="388">
        <v>316630</v>
      </c>
    </row>
    <row r="338" spans="1:5" x14ac:dyDescent="0.25">
      <c r="A338" t="s">
        <v>1013</v>
      </c>
      <c r="B338" t="s">
        <v>1013</v>
      </c>
      <c r="C338" t="s">
        <v>2362</v>
      </c>
      <c r="D338" s="388">
        <v>0</v>
      </c>
      <c r="E338" s="388">
        <v>0</v>
      </c>
    </row>
    <row r="339" spans="1:5" x14ac:dyDescent="0.25">
      <c r="A339" t="s">
        <v>953</v>
      </c>
      <c r="B339" t="s">
        <v>953</v>
      </c>
      <c r="C339" t="s">
        <v>3125</v>
      </c>
      <c r="D339" s="388">
        <v>0</v>
      </c>
      <c r="E339" s="388">
        <v>0</v>
      </c>
    </row>
    <row r="340" spans="1:5" x14ac:dyDescent="0.25">
      <c r="A340" t="s">
        <v>2169</v>
      </c>
      <c r="B340" t="s">
        <v>2169</v>
      </c>
      <c r="C340" t="s">
        <v>2364</v>
      </c>
      <c r="D340" s="388">
        <v>0</v>
      </c>
      <c r="E340" s="388">
        <v>0</v>
      </c>
    </row>
    <row r="341" spans="1:5" x14ac:dyDescent="0.25">
      <c r="A341" t="s">
        <v>2045</v>
      </c>
      <c r="B341" t="s">
        <v>2046</v>
      </c>
      <c r="C341" t="s">
        <v>2365</v>
      </c>
      <c r="D341" s="388">
        <v>0</v>
      </c>
      <c r="E341" s="388">
        <v>0</v>
      </c>
    </row>
    <row r="342" spans="1:5" x14ac:dyDescent="0.25">
      <c r="A342" t="s">
        <v>2045</v>
      </c>
      <c r="B342" t="s">
        <v>2058</v>
      </c>
      <c r="C342" t="s">
        <v>2366</v>
      </c>
      <c r="D342" s="388">
        <v>0</v>
      </c>
      <c r="E342" s="388">
        <v>0</v>
      </c>
    </row>
    <row r="343" spans="1:5" x14ac:dyDescent="0.25">
      <c r="A343" t="s">
        <v>2045</v>
      </c>
      <c r="B343" t="s">
        <v>2187</v>
      </c>
      <c r="C343" t="s">
        <v>2367</v>
      </c>
      <c r="D343" s="388">
        <v>-8530.7199999999993</v>
      </c>
      <c r="E343" s="388">
        <v>0</v>
      </c>
    </row>
    <row r="344" spans="1:5" x14ac:dyDescent="0.25">
      <c r="A344" t="s">
        <v>2045</v>
      </c>
      <c r="B344" t="s">
        <v>3726</v>
      </c>
      <c r="C344" t="s">
        <v>3066</v>
      </c>
      <c r="D344" s="388">
        <v>0</v>
      </c>
      <c r="E344" s="388">
        <v>-677690</v>
      </c>
    </row>
    <row r="345" spans="1:5" x14ac:dyDescent="0.25">
      <c r="A345" t="s">
        <v>2045</v>
      </c>
      <c r="B345" t="s">
        <v>2045</v>
      </c>
      <c r="C345" t="s">
        <v>2368</v>
      </c>
      <c r="D345" s="388">
        <v>-39493.25</v>
      </c>
      <c r="E345" s="388">
        <v>0</v>
      </c>
    </row>
    <row r="346" spans="1:5" x14ac:dyDescent="0.25">
      <c r="A346" t="s">
        <v>1012</v>
      </c>
      <c r="B346" t="s">
        <v>1012</v>
      </c>
      <c r="C346" t="s">
        <v>2369</v>
      </c>
      <c r="D346" s="388">
        <v>0</v>
      </c>
      <c r="E346" s="388">
        <v>0</v>
      </c>
    </row>
    <row r="347" spans="1:5" x14ac:dyDescent="0.25">
      <c r="A347" t="s">
        <v>2066</v>
      </c>
      <c r="B347" t="s">
        <v>234</v>
      </c>
      <c r="C347" t="s">
        <v>2370</v>
      </c>
      <c r="D347" s="388">
        <v>0</v>
      </c>
      <c r="E347" s="388">
        <v>0</v>
      </c>
    </row>
    <row r="348" spans="1:5" x14ac:dyDescent="0.25">
      <c r="A348" t="s">
        <v>953</v>
      </c>
      <c r="B348" t="s">
        <v>2064</v>
      </c>
      <c r="C348" t="s">
        <v>2371</v>
      </c>
      <c r="D348" s="388">
        <v>0</v>
      </c>
      <c r="E348" s="388">
        <v>0</v>
      </c>
    </row>
    <row r="349" spans="1:5" x14ac:dyDescent="0.25">
      <c r="A349" t="s">
        <v>2066</v>
      </c>
      <c r="B349" t="s">
        <v>2067</v>
      </c>
      <c r="C349" t="s">
        <v>2372</v>
      </c>
      <c r="D349" s="388">
        <v>0</v>
      </c>
      <c r="E349" s="388">
        <v>0</v>
      </c>
    </row>
    <row r="350" spans="1:5" x14ac:dyDescent="0.25">
      <c r="A350" t="s">
        <v>2066</v>
      </c>
      <c r="B350" t="s">
        <v>2069</v>
      </c>
      <c r="C350" t="s">
        <v>2373</v>
      </c>
      <c r="D350" s="388">
        <v>0</v>
      </c>
      <c r="E350" s="388">
        <v>779573</v>
      </c>
    </row>
    <row r="351" spans="1:5" x14ac:dyDescent="0.25">
      <c r="A351" t="s">
        <v>1012</v>
      </c>
      <c r="B351" t="s">
        <v>1012</v>
      </c>
      <c r="C351" t="s">
        <v>2374</v>
      </c>
      <c r="D351" s="388">
        <v>0</v>
      </c>
      <c r="E351" s="388">
        <v>0</v>
      </c>
    </row>
    <row r="352" spans="1:5" x14ac:dyDescent="0.25">
      <c r="A352" t="s">
        <v>953</v>
      </c>
      <c r="B352" t="s">
        <v>2064</v>
      </c>
      <c r="C352" t="s">
        <v>2375</v>
      </c>
      <c r="D352" s="388">
        <v>0</v>
      </c>
      <c r="E352" s="388">
        <v>0</v>
      </c>
    </row>
    <row r="353" spans="1:5" x14ac:dyDescent="0.25">
      <c r="A353" t="s">
        <v>2066</v>
      </c>
      <c r="B353" t="s">
        <v>2067</v>
      </c>
      <c r="C353" t="s">
        <v>2376</v>
      </c>
      <c r="D353" s="388">
        <v>0</v>
      </c>
      <c r="E353" s="388">
        <v>0</v>
      </c>
    </row>
    <row r="354" spans="1:5" x14ac:dyDescent="0.25">
      <c r="A354" t="s">
        <v>2066</v>
      </c>
      <c r="B354" t="s">
        <v>2069</v>
      </c>
      <c r="C354" t="s">
        <v>2377</v>
      </c>
      <c r="D354" s="388">
        <v>0</v>
      </c>
      <c r="E354" s="388">
        <v>0</v>
      </c>
    </row>
    <row r="355" spans="1:5" x14ac:dyDescent="0.25">
      <c r="A355" t="s">
        <v>2066</v>
      </c>
      <c r="B355" t="s">
        <v>2071</v>
      </c>
      <c r="C355" t="s">
        <v>2378</v>
      </c>
      <c r="D355" s="388">
        <v>0</v>
      </c>
      <c r="E355" s="388">
        <v>0</v>
      </c>
    </row>
    <row r="356" spans="1:5" x14ac:dyDescent="0.25">
      <c r="A356" t="s">
        <v>2128</v>
      </c>
      <c r="B356" t="s">
        <v>2129</v>
      </c>
      <c r="C356" t="s">
        <v>2379</v>
      </c>
      <c r="D356" s="388">
        <v>0</v>
      </c>
      <c r="E356" s="388">
        <v>0</v>
      </c>
    </row>
    <row r="357" spans="1:5" x14ac:dyDescent="0.25">
      <c r="A357" t="s">
        <v>1012</v>
      </c>
      <c r="B357" t="s">
        <v>1012</v>
      </c>
      <c r="C357" t="s">
        <v>2380</v>
      </c>
      <c r="D357" s="388">
        <v>0</v>
      </c>
      <c r="E357" s="388">
        <v>0</v>
      </c>
    </row>
    <row r="358" spans="1:5" x14ac:dyDescent="0.25">
      <c r="A358" t="s">
        <v>2128</v>
      </c>
      <c r="B358" t="s">
        <v>2131</v>
      </c>
      <c r="C358" t="s">
        <v>2381</v>
      </c>
      <c r="D358" s="388">
        <v>278.95</v>
      </c>
      <c r="E358" s="388">
        <v>278.95</v>
      </c>
    </row>
    <row r="359" spans="1:5" x14ac:dyDescent="0.25">
      <c r="A359" t="s">
        <v>2080</v>
      </c>
      <c r="B359" t="s">
        <v>2080</v>
      </c>
      <c r="C359" t="s">
        <v>2382</v>
      </c>
      <c r="D359" s="388">
        <v>169477.5</v>
      </c>
      <c r="E359" s="388">
        <v>114840</v>
      </c>
    </row>
    <row r="360" spans="1:5" x14ac:dyDescent="0.25">
      <c r="A360" t="s">
        <v>2066</v>
      </c>
      <c r="B360" t="s">
        <v>2066</v>
      </c>
      <c r="C360" t="s">
        <v>2383</v>
      </c>
      <c r="D360" s="388">
        <v>0</v>
      </c>
      <c r="E360" s="388">
        <v>0</v>
      </c>
    </row>
    <row r="361" spans="1:5" x14ac:dyDescent="0.25">
      <c r="A361" t="s">
        <v>2066</v>
      </c>
      <c r="B361" t="s">
        <v>2066</v>
      </c>
      <c r="C361" t="s">
        <v>2384</v>
      </c>
      <c r="D361" s="388">
        <v>0</v>
      </c>
      <c r="E361" s="388">
        <v>0</v>
      </c>
    </row>
    <row r="362" spans="1:5" x14ac:dyDescent="0.25">
      <c r="A362" t="s">
        <v>2066</v>
      </c>
      <c r="B362" t="s">
        <v>2066</v>
      </c>
      <c r="C362" t="s">
        <v>2385</v>
      </c>
      <c r="D362" s="388">
        <v>0</v>
      </c>
      <c r="E362" s="388">
        <v>0</v>
      </c>
    </row>
    <row r="363" spans="1:5" x14ac:dyDescent="0.25">
      <c r="A363" t="s">
        <v>2066</v>
      </c>
      <c r="B363" t="s">
        <v>234</v>
      </c>
      <c r="C363" t="s">
        <v>2386</v>
      </c>
      <c r="D363" s="388">
        <v>0</v>
      </c>
      <c r="E363" s="388">
        <v>8180</v>
      </c>
    </row>
    <row r="364" spans="1:5" x14ac:dyDescent="0.25">
      <c r="A364" t="s">
        <v>1012</v>
      </c>
      <c r="B364" t="s">
        <v>1012</v>
      </c>
      <c r="C364" t="s">
        <v>3126</v>
      </c>
      <c r="D364" s="388">
        <v>0</v>
      </c>
      <c r="E364" s="388">
        <v>0</v>
      </c>
    </row>
    <row r="365" spans="1:5" x14ac:dyDescent="0.25">
      <c r="A365" t="s">
        <v>2045</v>
      </c>
      <c r="B365" t="s">
        <v>2183</v>
      </c>
      <c r="C365" t="s">
        <v>2387</v>
      </c>
      <c r="D365" s="388">
        <v>0</v>
      </c>
      <c r="E365" s="388">
        <v>0</v>
      </c>
    </row>
    <row r="366" spans="1:5" x14ac:dyDescent="0.25">
      <c r="A366" t="s">
        <v>2045</v>
      </c>
      <c r="B366" t="s">
        <v>2341</v>
      </c>
      <c r="C366" t="s">
        <v>2388</v>
      </c>
      <c r="D366" s="388">
        <v>0</v>
      </c>
      <c r="E366" s="388">
        <v>0</v>
      </c>
    </row>
    <row r="367" spans="1:5" x14ac:dyDescent="0.25">
      <c r="A367" t="s">
        <v>2045</v>
      </c>
      <c r="B367" t="s">
        <v>2046</v>
      </c>
      <c r="C367" t="s">
        <v>2389</v>
      </c>
      <c r="D367" s="388">
        <v>0</v>
      </c>
      <c r="E367" s="388">
        <v>0</v>
      </c>
    </row>
    <row r="368" spans="1:5" x14ac:dyDescent="0.25">
      <c r="A368" t="s">
        <v>2045</v>
      </c>
      <c r="B368" t="s">
        <v>2058</v>
      </c>
      <c r="C368" t="s">
        <v>2390</v>
      </c>
      <c r="D368" s="388">
        <v>0</v>
      </c>
      <c r="E368" s="388">
        <v>0</v>
      </c>
    </row>
    <row r="369" spans="1:5" x14ac:dyDescent="0.25">
      <c r="A369" t="s">
        <v>2045</v>
      </c>
      <c r="B369" t="s">
        <v>2187</v>
      </c>
      <c r="C369" t="s">
        <v>2391</v>
      </c>
      <c r="D369" s="388">
        <v>-396.5</v>
      </c>
      <c r="E369" s="388">
        <v>0</v>
      </c>
    </row>
    <row r="370" spans="1:5" x14ac:dyDescent="0.25">
      <c r="A370" t="s">
        <v>2045</v>
      </c>
      <c r="B370" t="s">
        <v>3743</v>
      </c>
      <c r="C370" t="s">
        <v>3127</v>
      </c>
      <c r="D370" s="388">
        <v>0</v>
      </c>
      <c r="E370" s="388">
        <v>0</v>
      </c>
    </row>
    <row r="371" spans="1:5" x14ac:dyDescent="0.25">
      <c r="A371" t="s">
        <v>2045</v>
      </c>
      <c r="B371" t="s">
        <v>3726</v>
      </c>
      <c r="C371" t="s">
        <v>3581</v>
      </c>
      <c r="D371" s="388">
        <v>0</v>
      </c>
      <c r="E371" s="388">
        <v>92067.16</v>
      </c>
    </row>
    <row r="372" spans="1:5" x14ac:dyDescent="0.25">
      <c r="A372" t="s">
        <v>2045</v>
      </c>
      <c r="B372" t="s">
        <v>3743</v>
      </c>
      <c r="C372" t="s">
        <v>3751</v>
      </c>
      <c r="D372" s="388">
        <v>0</v>
      </c>
      <c r="E372" s="388">
        <v>0</v>
      </c>
    </row>
    <row r="373" spans="1:5" x14ac:dyDescent="0.25">
      <c r="A373" t="s">
        <v>2045</v>
      </c>
      <c r="B373" t="s">
        <v>2046</v>
      </c>
      <c r="C373" t="s">
        <v>2392</v>
      </c>
      <c r="D373" s="388">
        <v>0</v>
      </c>
      <c r="E373" s="388">
        <v>0</v>
      </c>
    </row>
    <row r="374" spans="1:5" x14ac:dyDescent="0.25">
      <c r="A374" t="s">
        <v>2045</v>
      </c>
      <c r="B374" t="s">
        <v>2045</v>
      </c>
      <c r="C374" t="s">
        <v>2393</v>
      </c>
      <c r="D374" s="388">
        <v>0</v>
      </c>
      <c r="E374" s="388">
        <v>0</v>
      </c>
    </row>
    <row r="375" spans="1:5" x14ac:dyDescent="0.25">
      <c r="A375" t="s">
        <v>2066</v>
      </c>
      <c r="B375" t="s">
        <v>2066</v>
      </c>
      <c r="C375" t="s">
        <v>2394</v>
      </c>
      <c r="D375" s="388">
        <v>0</v>
      </c>
      <c r="E375" s="388">
        <v>0</v>
      </c>
    </row>
    <row r="376" spans="1:5" x14ac:dyDescent="0.25">
      <c r="A376" t="s">
        <v>2080</v>
      </c>
      <c r="B376" t="s">
        <v>2080</v>
      </c>
      <c r="C376" t="s">
        <v>2395</v>
      </c>
      <c r="D376" s="388">
        <v>5152</v>
      </c>
      <c r="E376" s="388">
        <v>5152</v>
      </c>
    </row>
    <row r="377" spans="1:5" x14ac:dyDescent="0.25">
      <c r="A377" t="s">
        <v>1012</v>
      </c>
      <c r="B377" t="s">
        <v>1012</v>
      </c>
      <c r="C377" t="s">
        <v>2396</v>
      </c>
      <c r="D377" s="388">
        <v>0</v>
      </c>
      <c r="E377" s="388">
        <v>0</v>
      </c>
    </row>
    <row r="378" spans="1:5" x14ac:dyDescent="0.25">
      <c r="A378" t="s">
        <v>1012</v>
      </c>
      <c r="B378" t="s">
        <v>1012</v>
      </c>
      <c r="C378" t="s">
        <v>2397</v>
      </c>
      <c r="D378" s="388">
        <v>-3473925.26</v>
      </c>
      <c r="E378" s="388">
        <v>-25266951.75</v>
      </c>
    </row>
    <row r="379" spans="1:5" x14ac:dyDescent="0.25">
      <c r="A379" t="s">
        <v>1012</v>
      </c>
      <c r="B379" t="s">
        <v>1012</v>
      </c>
      <c r="C379" t="s">
        <v>2398</v>
      </c>
      <c r="D379" s="388">
        <v>0</v>
      </c>
      <c r="E379" s="388">
        <v>0</v>
      </c>
    </row>
    <row r="380" spans="1:5" x14ac:dyDescent="0.25">
      <c r="A380" t="s">
        <v>1012</v>
      </c>
      <c r="B380" t="s">
        <v>1012</v>
      </c>
      <c r="C380" t="s">
        <v>2399</v>
      </c>
      <c r="D380" s="388">
        <v>0</v>
      </c>
      <c r="E380" s="388">
        <v>0</v>
      </c>
    </row>
    <row r="381" spans="1:5" x14ac:dyDescent="0.25">
      <c r="A381" t="s">
        <v>2045</v>
      </c>
      <c r="B381" t="s">
        <v>3726</v>
      </c>
      <c r="C381" t="s">
        <v>3069</v>
      </c>
      <c r="D381" s="388">
        <v>0</v>
      </c>
      <c r="E381" s="388">
        <v>0</v>
      </c>
    </row>
    <row r="382" spans="1:5" x14ac:dyDescent="0.25">
      <c r="A382" t="s">
        <v>2045</v>
      </c>
      <c r="B382" t="s">
        <v>2341</v>
      </c>
      <c r="C382" t="s">
        <v>2400</v>
      </c>
      <c r="D382" s="388">
        <v>0</v>
      </c>
      <c r="E382" s="388">
        <v>0</v>
      </c>
    </row>
    <row r="383" spans="1:5" x14ac:dyDescent="0.25">
      <c r="A383" t="s">
        <v>2045</v>
      </c>
      <c r="B383" t="s">
        <v>2046</v>
      </c>
      <c r="C383" t="s">
        <v>2401</v>
      </c>
      <c r="D383" s="388">
        <v>0</v>
      </c>
      <c r="E383" s="388">
        <v>0</v>
      </c>
    </row>
    <row r="384" spans="1:5" x14ac:dyDescent="0.25">
      <c r="A384" t="s">
        <v>2045</v>
      </c>
      <c r="B384" t="s">
        <v>2058</v>
      </c>
      <c r="C384" t="s">
        <v>2402</v>
      </c>
      <c r="D384" s="388">
        <v>427.5</v>
      </c>
      <c r="E384" s="388">
        <v>0</v>
      </c>
    </row>
    <row r="385" spans="1:5" x14ac:dyDescent="0.25">
      <c r="A385" t="s">
        <v>2045</v>
      </c>
      <c r="B385" t="s">
        <v>2187</v>
      </c>
      <c r="C385" t="s">
        <v>2403</v>
      </c>
      <c r="D385" s="388">
        <v>23273.759999999998</v>
      </c>
      <c r="E385" s="388">
        <v>0</v>
      </c>
    </row>
    <row r="386" spans="1:5" x14ac:dyDescent="0.25">
      <c r="A386" t="s">
        <v>2045</v>
      </c>
      <c r="B386" t="s">
        <v>3726</v>
      </c>
      <c r="C386" t="s">
        <v>3070</v>
      </c>
      <c r="D386" s="388">
        <v>0</v>
      </c>
      <c r="E386" s="388">
        <v>202401.4</v>
      </c>
    </row>
    <row r="387" spans="1:5" x14ac:dyDescent="0.25">
      <c r="A387" t="s">
        <v>1012</v>
      </c>
      <c r="B387" t="s">
        <v>1012</v>
      </c>
      <c r="C387" t="s">
        <v>2404</v>
      </c>
      <c r="D387" s="388">
        <v>0</v>
      </c>
      <c r="E387" s="388">
        <v>0</v>
      </c>
    </row>
    <row r="388" spans="1:5" x14ac:dyDescent="0.25">
      <c r="A388" t="s">
        <v>1012</v>
      </c>
      <c r="B388" t="s">
        <v>1012</v>
      </c>
      <c r="C388" t="s">
        <v>2405</v>
      </c>
      <c r="D388" s="388">
        <v>0</v>
      </c>
      <c r="E388" s="388">
        <v>0</v>
      </c>
    </row>
    <row r="389" spans="1:5" x14ac:dyDescent="0.25">
      <c r="A389" t="s">
        <v>1012</v>
      </c>
      <c r="B389" t="s">
        <v>1012</v>
      </c>
      <c r="C389" t="s">
        <v>2406</v>
      </c>
      <c r="D389" s="388">
        <v>0</v>
      </c>
      <c r="E389" s="388">
        <v>0</v>
      </c>
    </row>
    <row r="390" spans="1:5" x14ac:dyDescent="0.25">
      <c r="A390" t="s">
        <v>2281</v>
      </c>
      <c r="B390" t="s">
        <v>2282</v>
      </c>
      <c r="C390" t="s">
        <v>3071</v>
      </c>
      <c r="D390" s="388">
        <v>0</v>
      </c>
      <c r="E390" s="388">
        <v>-453997</v>
      </c>
    </row>
    <row r="391" spans="1:5" x14ac:dyDescent="0.25">
      <c r="A391" t="s">
        <v>2281</v>
      </c>
      <c r="B391" t="s">
        <v>2573</v>
      </c>
      <c r="C391" t="s">
        <v>3072</v>
      </c>
      <c r="D391" s="388">
        <v>0</v>
      </c>
      <c r="E391" s="388">
        <v>453997</v>
      </c>
    </row>
    <row r="392" spans="1:5" x14ac:dyDescent="0.25">
      <c r="A392" t="s">
        <v>2066</v>
      </c>
      <c r="B392" t="s">
        <v>2066</v>
      </c>
      <c r="C392" t="s">
        <v>2407</v>
      </c>
      <c r="D392" s="388">
        <v>0</v>
      </c>
      <c r="E392" s="388">
        <v>0</v>
      </c>
    </row>
    <row r="393" spans="1:5" x14ac:dyDescent="0.25">
      <c r="A393" t="s">
        <v>2066</v>
      </c>
      <c r="B393" t="s">
        <v>2066</v>
      </c>
      <c r="C393" t="s">
        <v>2408</v>
      </c>
      <c r="D393" s="388">
        <v>0</v>
      </c>
      <c r="E393" s="388">
        <v>-20864.91</v>
      </c>
    </row>
    <row r="394" spans="1:5" x14ac:dyDescent="0.25">
      <c r="A394" t="s">
        <v>2066</v>
      </c>
      <c r="B394" t="s">
        <v>2066</v>
      </c>
      <c r="C394" t="s">
        <v>2409</v>
      </c>
      <c r="D394" s="388">
        <v>0</v>
      </c>
      <c r="E394" s="388">
        <v>-855033.92</v>
      </c>
    </row>
    <row r="395" spans="1:5" x14ac:dyDescent="0.25">
      <c r="A395" t="s">
        <v>2066</v>
      </c>
      <c r="B395" t="s">
        <v>2066</v>
      </c>
      <c r="C395" t="s">
        <v>3073</v>
      </c>
      <c r="D395" s="388">
        <v>0</v>
      </c>
      <c r="E395" s="388">
        <v>10710237.35</v>
      </c>
    </row>
    <row r="396" spans="1:5" x14ac:dyDescent="0.25">
      <c r="A396" t="s">
        <v>2066</v>
      </c>
      <c r="B396" t="s">
        <v>2066</v>
      </c>
      <c r="C396" t="s">
        <v>3752</v>
      </c>
      <c r="D396" s="388">
        <v>0</v>
      </c>
      <c r="E396" s="388">
        <v>0</v>
      </c>
    </row>
    <row r="397" spans="1:5" x14ac:dyDescent="0.25">
      <c r="A397" t="s">
        <v>959</v>
      </c>
      <c r="B397" t="s">
        <v>959</v>
      </c>
      <c r="C397" t="s">
        <v>2411</v>
      </c>
      <c r="D397" s="388">
        <v>0</v>
      </c>
      <c r="E397" s="388">
        <v>0</v>
      </c>
    </row>
    <row r="398" spans="1:5" x14ac:dyDescent="0.25">
      <c r="A398" t="s">
        <v>953</v>
      </c>
      <c r="B398" t="s">
        <v>953</v>
      </c>
      <c r="C398" t="s">
        <v>3074</v>
      </c>
      <c r="D398" s="388">
        <v>0</v>
      </c>
      <c r="E398" s="388">
        <v>0</v>
      </c>
    </row>
    <row r="399" spans="1:5" x14ac:dyDescent="0.25">
      <c r="A399" t="s">
        <v>2080</v>
      </c>
      <c r="B399" t="s">
        <v>2080</v>
      </c>
      <c r="C399" t="s">
        <v>2412</v>
      </c>
      <c r="D399" s="388">
        <v>0</v>
      </c>
      <c r="E399" s="388">
        <v>0</v>
      </c>
    </row>
    <row r="400" spans="1:5" x14ac:dyDescent="0.25">
      <c r="A400" t="s">
        <v>1012</v>
      </c>
      <c r="B400" t="s">
        <v>1012</v>
      </c>
      <c r="C400" t="s">
        <v>2413</v>
      </c>
      <c r="D400" s="388">
        <v>0</v>
      </c>
      <c r="E400" s="388">
        <v>0</v>
      </c>
    </row>
    <row r="401" spans="1:5" x14ac:dyDescent="0.25">
      <c r="A401" t="s">
        <v>1012</v>
      </c>
      <c r="B401" t="s">
        <v>1012</v>
      </c>
      <c r="C401" t="s">
        <v>2414</v>
      </c>
      <c r="D401" s="388">
        <v>-297401</v>
      </c>
      <c r="E401" s="388">
        <v>0</v>
      </c>
    </row>
    <row r="402" spans="1:5" x14ac:dyDescent="0.25">
      <c r="A402" t="s">
        <v>1012</v>
      </c>
      <c r="B402" t="s">
        <v>1012</v>
      </c>
      <c r="C402" t="s">
        <v>2415</v>
      </c>
      <c r="D402" s="388">
        <v>-2217934</v>
      </c>
      <c r="E402" s="388">
        <v>-0.01</v>
      </c>
    </row>
    <row r="403" spans="1:5" x14ac:dyDescent="0.25">
      <c r="A403" t="s">
        <v>1012</v>
      </c>
      <c r="B403" t="s">
        <v>1012</v>
      </c>
      <c r="C403" t="s">
        <v>2416</v>
      </c>
      <c r="D403" s="388">
        <v>0</v>
      </c>
      <c r="E403" s="388">
        <v>0</v>
      </c>
    </row>
    <row r="404" spans="1:5" x14ac:dyDescent="0.25">
      <c r="A404" t="s">
        <v>1012</v>
      </c>
      <c r="B404" t="s">
        <v>1012</v>
      </c>
      <c r="C404" t="s">
        <v>2417</v>
      </c>
      <c r="D404" s="388">
        <v>0</v>
      </c>
      <c r="E404" s="388">
        <v>0</v>
      </c>
    </row>
    <row r="405" spans="1:5" x14ac:dyDescent="0.25">
      <c r="A405" t="s">
        <v>2281</v>
      </c>
      <c r="B405" t="s">
        <v>2282</v>
      </c>
      <c r="C405" t="s">
        <v>234</v>
      </c>
      <c r="D405" s="388">
        <v>0</v>
      </c>
      <c r="E405" s="388">
        <v>0.74</v>
      </c>
    </row>
    <row r="406" spans="1:5" x14ac:dyDescent="0.25">
      <c r="A406" t="s">
        <v>2066</v>
      </c>
      <c r="B406" t="s">
        <v>2066</v>
      </c>
      <c r="C406" t="s">
        <v>2418</v>
      </c>
      <c r="D406" s="388">
        <v>0</v>
      </c>
      <c r="E406" s="388">
        <v>286732.23</v>
      </c>
    </row>
    <row r="407" spans="1:5" x14ac:dyDescent="0.25">
      <c r="A407" t="s">
        <v>1012</v>
      </c>
      <c r="B407" t="s">
        <v>1012</v>
      </c>
      <c r="C407" t="s">
        <v>2419</v>
      </c>
      <c r="D407" s="388">
        <v>0</v>
      </c>
      <c r="E407" s="388">
        <v>0</v>
      </c>
    </row>
    <row r="408" spans="1:5" x14ac:dyDescent="0.25">
      <c r="A408" t="s">
        <v>2169</v>
      </c>
      <c r="B408" t="s">
        <v>2169</v>
      </c>
      <c r="C408" t="s">
        <v>2420</v>
      </c>
      <c r="D408" s="388">
        <v>0</v>
      </c>
      <c r="E408" s="388">
        <v>-5452119</v>
      </c>
    </row>
    <row r="409" spans="1:5" x14ac:dyDescent="0.25">
      <c r="A409" t="s">
        <v>2066</v>
      </c>
      <c r="B409" t="s">
        <v>2066</v>
      </c>
      <c r="C409" t="s">
        <v>2421</v>
      </c>
      <c r="D409" s="388">
        <v>0</v>
      </c>
      <c r="E409" s="388">
        <v>0</v>
      </c>
    </row>
    <row r="410" spans="1:5" x14ac:dyDescent="0.25">
      <c r="A410" t="s">
        <v>2066</v>
      </c>
      <c r="B410" t="s">
        <v>2066</v>
      </c>
      <c r="C410" t="s">
        <v>3075</v>
      </c>
      <c r="D410" s="388">
        <v>0</v>
      </c>
      <c r="E410" s="388">
        <v>705075</v>
      </c>
    </row>
    <row r="411" spans="1:5" x14ac:dyDescent="0.25">
      <c r="A411" t="s">
        <v>2169</v>
      </c>
      <c r="B411" t="s">
        <v>2422</v>
      </c>
      <c r="C411" t="s">
        <v>2424</v>
      </c>
      <c r="D411" s="388">
        <v>0</v>
      </c>
      <c r="E411" s="388">
        <v>0</v>
      </c>
    </row>
    <row r="412" spans="1:5" x14ac:dyDescent="0.25">
      <c r="A412" t="s">
        <v>2066</v>
      </c>
      <c r="B412" t="s">
        <v>2066</v>
      </c>
      <c r="C412" t="s">
        <v>2425</v>
      </c>
      <c r="D412" s="388">
        <v>0</v>
      </c>
      <c r="E412" s="388">
        <v>12204.86</v>
      </c>
    </row>
    <row r="413" spans="1:5" x14ac:dyDescent="0.25">
      <c r="A413" t="s">
        <v>2080</v>
      </c>
      <c r="B413" t="s">
        <v>2080</v>
      </c>
      <c r="C413" t="s">
        <v>2426</v>
      </c>
      <c r="D413" s="388">
        <v>0</v>
      </c>
      <c r="E413" s="388">
        <v>0.5</v>
      </c>
    </row>
    <row r="414" spans="1:5" x14ac:dyDescent="0.25">
      <c r="A414" t="s">
        <v>2427</v>
      </c>
      <c r="B414" t="s">
        <v>2427</v>
      </c>
      <c r="C414" t="s">
        <v>2428</v>
      </c>
      <c r="D414" s="388">
        <v>0</v>
      </c>
      <c r="E414" s="388">
        <v>0</v>
      </c>
    </row>
    <row r="415" spans="1:5" x14ac:dyDescent="0.25">
      <c r="A415" t="s">
        <v>2128</v>
      </c>
      <c r="B415" t="s">
        <v>2131</v>
      </c>
      <c r="C415" t="s">
        <v>2429</v>
      </c>
      <c r="D415" s="388">
        <v>1424</v>
      </c>
      <c r="E415" s="388">
        <v>1306</v>
      </c>
    </row>
    <row r="416" spans="1:5" x14ac:dyDescent="0.25">
      <c r="A416" t="s">
        <v>1012</v>
      </c>
      <c r="B416" t="s">
        <v>1012</v>
      </c>
      <c r="C416" t="s">
        <v>2430</v>
      </c>
      <c r="D416" s="388">
        <v>0</v>
      </c>
      <c r="E416" s="388">
        <v>0</v>
      </c>
    </row>
    <row r="417" spans="1:5" x14ac:dyDescent="0.25">
      <c r="A417" t="s">
        <v>953</v>
      </c>
      <c r="B417" t="s">
        <v>2064</v>
      </c>
      <c r="C417" t="s">
        <v>2431</v>
      </c>
      <c r="D417" s="388">
        <v>0</v>
      </c>
      <c r="E417" s="388">
        <v>0</v>
      </c>
    </row>
    <row r="418" spans="1:5" x14ac:dyDescent="0.25">
      <c r="A418" t="s">
        <v>2066</v>
      </c>
      <c r="B418" t="s">
        <v>2067</v>
      </c>
      <c r="C418" t="s">
        <v>2432</v>
      </c>
      <c r="D418" s="388">
        <v>0</v>
      </c>
      <c r="E418" s="388">
        <v>0</v>
      </c>
    </row>
    <row r="419" spans="1:5" x14ac:dyDescent="0.25">
      <c r="A419" t="s">
        <v>2066</v>
      </c>
      <c r="B419" t="s">
        <v>2069</v>
      </c>
      <c r="C419" t="s">
        <v>2433</v>
      </c>
      <c r="D419" s="388">
        <v>0</v>
      </c>
      <c r="E419" s="388">
        <v>0</v>
      </c>
    </row>
    <row r="420" spans="1:5" x14ac:dyDescent="0.25">
      <c r="A420" t="s">
        <v>2066</v>
      </c>
      <c r="B420" t="s">
        <v>2071</v>
      </c>
      <c r="C420" t="s">
        <v>2434</v>
      </c>
      <c r="D420" s="388">
        <v>0</v>
      </c>
      <c r="E420" s="388">
        <v>0</v>
      </c>
    </row>
    <row r="421" spans="1:5" x14ac:dyDescent="0.25">
      <c r="A421" t="s">
        <v>1012</v>
      </c>
      <c r="B421" t="s">
        <v>1012</v>
      </c>
      <c r="C421" t="s">
        <v>2435</v>
      </c>
      <c r="D421" s="388">
        <v>-7316</v>
      </c>
      <c r="E421" s="388">
        <v>0</v>
      </c>
    </row>
    <row r="422" spans="1:5" x14ac:dyDescent="0.25">
      <c r="A422" t="s">
        <v>1012</v>
      </c>
      <c r="B422" t="s">
        <v>1012</v>
      </c>
      <c r="C422" t="s">
        <v>3128</v>
      </c>
      <c r="D422" s="388">
        <v>0</v>
      </c>
      <c r="E422" s="388">
        <v>0</v>
      </c>
    </row>
    <row r="423" spans="1:5" x14ac:dyDescent="0.25">
      <c r="A423" t="s">
        <v>2080</v>
      </c>
      <c r="B423" t="s">
        <v>2080</v>
      </c>
      <c r="C423" t="s">
        <v>2436</v>
      </c>
      <c r="D423" s="388">
        <v>0</v>
      </c>
      <c r="E423" s="388">
        <v>0</v>
      </c>
    </row>
    <row r="424" spans="1:5" x14ac:dyDescent="0.25">
      <c r="A424" t="s">
        <v>1012</v>
      </c>
      <c r="B424" t="s">
        <v>1012</v>
      </c>
      <c r="C424" t="s">
        <v>2437</v>
      </c>
      <c r="D424" s="388">
        <v>0</v>
      </c>
      <c r="E424" s="388">
        <v>0</v>
      </c>
    </row>
    <row r="425" spans="1:5" x14ac:dyDescent="0.25">
      <c r="A425" t="s">
        <v>2066</v>
      </c>
      <c r="B425" t="s">
        <v>2438</v>
      </c>
      <c r="C425" t="s">
        <v>2439</v>
      </c>
      <c r="D425" s="388">
        <v>0</v>
      </c>
      <c r="E425" s="388">
        <v>0</v>
      </c>
    </row>
    <row r="426" spans="1:5" x14ac:dyDescent="0.25">
      <c r="A426" t="s">
        <v>1012</v>
      </c>
      <c r="B426" t="s">
        <v>1012</v>
      </c>
      <c r="C426" t="s">
        <v>2440</v>
      </c>
      <c r="D426" s="388">
        <v>-92040</v>
      </c>
      <c r="E426" s="388">
        <v>0</v>
      </c>
    </row>
    <row r="427" spans="1:5" x14ac:dyDescent="0.25">
      <c r="A427" t="s">
        <v>2080</v>
      </c>
      <c r="B427" t="s">
        <v>2080</v>
      </c>
      <c r="C427" t="s">
        <v>2441</v>
      </c>
      <c r="D427" s="388">
        <v>0</v>
      </c>
      <c r="E427" s="388">
        <v>0</v>
      </c>
    </row>
    <row r="428" spans="1:5" x14ac:dyDescent="0.25">
      <c r="A428" t="s">
        <v>953</v>
      </c>
      <c r="B428" t="s">
        <v>2064</v>
      </c>
      <c r="C428" t="s">
        <v>2442</v>
      </c>
      <c r="D428" s="388">
        <v>0</v>
      </c>
      <c r="E428" s="388">
        <v>0</v>
      </c>
    </row>
    <row r="429" spans="1:5" x14ac:dyDescent="0.25">
      <c r="A429" t="s">
        <v>2066</v>
      </c>
      <c r="B429" t="s">
        <v>2067</v>
      </c>
      <c r="C429" t="s">
        <v>2443</v>
      </c>
      <c r="D429" s="388">
        <v>0</v>
      </c>
      <c r="E429" s="388">
        <v>0</v>
      </c>
    </row>
    <row r="430" spans="1:5" x14ac:dyDescent="0.25">
      <c r="A430" t="s">
        <v>2066</v>
      </c>
      <c r="B430" t="s">
        <v>2069</v>
      </c>
      <c r="C430" t="s">
        <v>2444</v>
      </c>
      <c r="D430" s="388">
        <v>0</v>
      </c>
      <c r="E430" s="388">
        <v>0</v>
      </c>
    </row>
    <row r="431" spans="1:5" x14ac:dyDescent="0.25">
      <c r="A431" t="s">
        <v>2066</v>
      </c>
      <c r="B431" t="s">
        <v>2071</v>
      </c>
      <c r="C431" t="s">
        <v>2445</v>
      </c>
      <c r="D431" s="388">
        <v>0</v>
      </c>
      <c r="E431" s="388">
        <v>0</v>
      </c>
    </row>
    <row r="432" spans="1:5" x14ac:dyDescent="0.25">
      <c r="A432" t="s">
        <v>953</v>
      </c>
      <c r="B432" t="s">
        <v>2064</v>
      </c>
      <c r="C432" t="s">
        <v>2446</v>
      </c>
      <c r="D432" s="388">
        <v>0</v>
      </c>
      <c r="E432" s="388">
        <v>0</v>
      </c>
    </row>
    <row r="433" spans="1:5" x14ac:dyDescent="0.25">
      <c r="A433" t="s">
        <v>2066</v>
      </c>
      <c r="B433" t="s">
        <v>2067</v>
      </c>
      <c r="C433" t="s">
        <v>2447</v>
      </c>
      <c r="D433" s="388">
        <v>0</v>
      </c>
      <c r="E433" s="388">
        <v>0</v>
      </c>
    </row>
    <row r="434" spans="1:5" x14ac:dyDescent="0.25">
      <c r="A434" t="s">
        <v>2066</v>
      </c>
      <c r="B434" t="s">
        <v>2069</v>
      </c>
      <c r="C434" t="s">
        <v>2448</v>
      </c>
      <c r="D434" s="388">
        <v>0</v>
      </c>
      <c r="E434" s="388">
        <v>0</v>
      </c>
    </row>
    <row r="435" spans="1:5" x14ac:dyDescent="0.25">
      <c r="A435" t="s">
        <v>2080</v>
      </c>
      <c r="B435" t="s">
        <v>2080</v>
      </c>
      <c r="C435" t="s">
        <v>2449</v>
      </c>
      <c r="D435" s="388">
        <v>0</v>
      </c>
      <c r="E435" s="388">
        <v>0</v>
      </c>
    </row>
    <row r="436" spans="1:5" x14ac:dyDescent="0.25">
      <c r="A436" t="s">
        <v>2080</v>
      </c>
      <c r="B436" t="s">
        <v>2080</v>
      </c>
      <c r="C436" t="s">
        <v>2450</v>
      </c>
      <c r="D436" s="388">
        <v>103840</v>
      </c>
      <c r="E436" s="388">
        <v>0</v>
      </c>
    </row>
    <row r="437" spans="1:5" x14ac:dyDescent="0.25">
      <c r="A437" t="s">
        <v>2080</v>
      </c>
      <c r="B437" t="s">
        <v>2080</v>
      </c>
      <c r="C437" t="s">
        <v>2451</v>
      </c>
      <c r="D437" s="388">
        <v>0</v>
      </c>
      <c r="E437" s="388">
        <v>0</v>
      </c>
    </row>
    <row r="438" spans="1:5" x14ac:dyDescent="0.25">
      <c r="A438" t="s">
        <v>2080</v>
      </c>
      <c r="B438" t="s">
        <v>2080</v>
      </c>
      <c r="C438" t="s">
        <v>2452</v>
      </c>
      <c r="D438" s="388">
        <v>0</v>
      </c>
      <c r="E438" s="388">
        <v>0</v>
      </c>
    </row>
    <row r="439" spans="1:5" x14ac:dyDescent="0.25">
      <c r="A439" t="s">
        <v>2080</v>
      </c>
      <c r="B439" t="s">
        <v>2080</v>
      </c>
      <c r="C439" t="s">
        <v>2453</v>
      </c>
      <c r="D439" s="388">
        <v>0</v>
      </c>
      <c r="E439" s="388">
        <v>0</v>
      </c>
    </row>
    <row r="440" spans="1:5" x14ac:dyDescent="0.25">
      <c r="A440" t="s">
        <v>953</v>
      </c>
      <c r="B440" t="s">
        <v>2064</v>
      </c>
      <c r="C440" t="s">
        <v>2454</v>
      </c>
      <c r="D440" s="388">
        <v>0</v>
      </c>
      <c r="E440" s="388">
        <v>0</v>
      </c>
    </row>
    <row r="441" spans="1:5" x14ac:dyDescent="0.25">
      <c r="A441" t="s">
        <v>2066</v>
      </c>
      <c r="B441" t="s">
        <v>2067</v>
      </c>
      <c r="C441" t="s">
        <v>2455</v>
      </c>
      <c r="D441" s="388">
        <v>0</v>
      </c>
      <c r="E441" s="388">
        <v>0</v>
      </c>
    </row>
    <row r="442" spans="1:5" x14ac:dyDescent="0.25">
      <c r="A442" t="s">
        <v>2066</v>
      </c>
      <c r="B442" t="s">
        <v>2456</v>
      </c>
      <c r="C442" t="s">
        <v>2457</v>
      </c>
      <c r="D442" s="388">
        <v>0</v>
      </c>
      <c r="E442" s="388">
        <v>0</v>
      </c>
    </row>
    <row r="443" spans="1:5" x14ac:dyDescent="0.25">
      <c r="A443" t="s">
        <v>953</v>
      </c>
      <c r="B443" t="s">
        <v>2112</v>
      </c>
      <c r="C443" t="s">
        <v>2458</v>
      </c>
      <c r="D443" s="388">
        <v>-4807</v>
      </c>
      <c r="E443" s="388">
        <v>0</v>
      </c>
    </row>
    <row r="444" spans="1:5" x14ac:dyDescent="0.25">
      <c r="A444" t="s">
        <v>2066</v>
      </c>
      <c r="B444" t="s">
        <v>2069</v>
      </c>
      <c r="C444" t="s">
        <v>2459</v>
      </c>
      <c r="D444" s="388">
        <v>0</v>
      </c>
      <c r="E444" s="388">
        <v>0</v>
      </c>
    </row>
    <row r="445" spans="1:5" x14ac:dyDescent="0.25">
      <c r="A445" t="s">
        <v>2066</v>
      </c>
      <c r="B445" t="s">
        <v>2071</v>
      </c>
      <c r="C445" t="s">
        <v>2460</v>
      </c>
      <c r="D445" s="388">
        <v>0</v>
      </c>
      <c r="E445" s="388">
        <v>0</v>
      </c>
    </row>
    <row r="446" spans="1:5" x14ac:dyDescent="0.25">
      <c r="A446" t="s">
        <v>953</v>
      </c>
      <c r="B446" t="s">
        <v>2064</v>
      </c>
      <c r="C446" t="s">
        <v>2461</v>
      </c>
      <c r="D446" s="388">
        <v>0</v>
      </c>
      <c r="E446" s="388">
        <v>0</v>
      </c>
    </row>
    <row r="447" spans="1:5" x14ac:dyDescent="0.25">
      <c r="A447" t="s">
        <v>2066</v>
      </c>
      <c r="B447" t="s">
        <v>2069</v>
      </c>
      <c r="C447" t="s">
        <v>2462</v>
      </c>
      <c r="D447" s="388">
        <v>0</v>
      </c>
      <c r="E447" s="388">
        <v>0</v>
      </c>
    </row>
    <row r="448" spans="1:5" x14ac:dyDescent="0.25">
      <c r="A448" t="s">
        <v>1012</v>
      </c>
      <c r="B448" t="s">
        <v>1012</v>
      </c>
      <c r="C448" t="s">
        <v>2463</v>
      </c>
      <c r="D448" s="388">
        <v>0</v>
      </c>
      <c r="E448" s="388">
        <v>0</v>
      </c>
    </row>
    <row r="449" spans="1:5" x14ac:dyDescent="0.25">
      <c r="A449" t="s">
        <v>953</v>
      </c>
      <c r="B449" t="s">
        <v>2064</v>
      </c>
      <c r="C449" t="s">
        <v>2464</v>
      </c>
      <c r="D449" s="388">
        <v>0</v>
      </c>
      <c r="E449" s="388">
        <v>0</v>
      </c>
    </row>
    <row r="450" spans="1:5" x14ac:dyDescent="0.25">
      <c r="A450" t="s">
        <v>2066</v>
      </c>
      <c r="B450" t="s">
        <v>2067</v>
      </c>
      <c r="C450" t="s">
        <v>2465</v>
      </c>
      <c r="D450" s="388">
        <v>0</v>
      </c>
      <c r="E450" s="388">
        <v>0</v>
      </c>
    </row>
    <row r="451" spans="1:5" x14ac:dyDescent="0.25">
      <c r="A451" t="s">
        <v>2066</v>
      </c>
      <c r="B451" t="s">
        <v>2069</v>
      </c>
      <c r="C451" t="s">
        <v>2466</v>
      </c>
      <c r="D451" s="388">
        <v>0</v>
      </c>
      <c r="E451" s="388">
        <v>0</v>
      </c>
    </row>
    <row r="452" spans="1:5" x14ac:dyDescent="0.25">
      <c r="A452" t="s">
        <v>1012</v>
      </c>
      <c r="B452" t="s">
        <v>1012</v>
      </c>
      <c r="C452" t="s">
        <v>3129</v>
      </c>
      <c r="D452" s="388">
        <v>0</v>
      </c>
      <c r="E452" s="388">
        <v>0</v>
      </c>
    </row>
    <row r="453" spans="1:5" x14ac:dyDescent="0.25">
      <c r="A453" t="s">
        <v>1012</v>
      </c>
      <c r="B453" t="s">
        <v>1012</v>
      </c>
      <c r="C453" t="s">
        <v>2467</v>
      </c>
      <c r="D453" s="388">
        <v>0</v>
      </c>
      <c r="E453" s="388">
        <v>-270.32</v>
      </c>
    </row>
    <row r="454" spans="1:5" x14ac:dyDescent="0.25">
      <c r="A454" t="s">
        <v>2080</v>
      </c>
      <c r="B454" t="s">
        <v>2080</v>
      </c>
      <c r="C454" t="s">
        <v>2468</v>
      </c>
      <c r="D454" s="388">
        <v>0</v>
      </c>
      <c r="E454" s="388">
        <v>0</v>
      </c>
    </row>
    <row r="455" spans="1:5" x14ac:dyDescent="0.25">
      <c r="A455" t="s">
        <v>2045</v>
      </c>
      <c r="B455" t="s">
        <v>2200</v>
      </c>
      <c r="C455" t="s">
        <v>2469</v>
      </c>
      <c r="D455" s="388">
        <v>0</v>
      </c>
      <c r="E455" s="388">
        <v>0</v>
      </c>
    </row>
    <row r="456" spans="1:5" x14ac:dyDescent="0.25">
      <c r="A456" t="s">
        <v>2470</v>
      </c>
      <c r="B456" t="s">
        <v>2470</v>
      </c>
      <c r="C456" t="s">
        <v>2471</v>
      </c>
      <c r="D456" s="388">
        <v>5004254.82</v>
      </c>
      <c r="E456" s="388">
        <v>5007918.18</v>
      </c>
    </row>
    <row r="457" spans="1:5" x14ac:dyDescent="0.25">
      <c r="A457" t="s">
        <v>1012</v>
      </c>
      <c r="B457" t="s">
        <v>1012</v>
      </c>
      <c r="C457" t="s">
        <v>2472</v>
      </c>
      <c r="D457" s="388">
        <v>0</v>
      </c>
      <c r="E457" s="388">
        <v>0</v>
      </c>
    </row>
    <row r="458" spans="1:5" x14ac:dyDescent="0.25">
      <c r="A458" t="s">
        <v>2128</v>
      </c>
      <c r="B458" t="s">
        <v>2257</v>
      </c>
      <c r="C458" t="s">
        <v>3076</v>
      </c>
      <c r="D458" s="388">
        <v>0</v>
      </c>
      <c r="E458" s="388">
        <v>82969</v>
      </c>
    </row>
    <row r="459" spans="1:5" x14ac:dyDescent="0.25">
      <c r="A459" t="s">
        <v>1012</v>
      </c>
      <c r="B459" t="s">
        <v>1012</v>
      </c>
      <c r="C459" t="s">
        <v>2473</v>
      </c>
      <c r="D459" s="388">
        <v>0</v>
      </c>
      <c r="E459" s="388">
        <v>0</v>
      </c>
    </row>
    <row r="460" spans="1:5" x14ac:dyDescent="0.25">
      <c r="A460" t="s">
        <v>2128</v>
      </c>
      <c r="B460" t="s">
        <v>2257</v>
      </c>
      <c r="C460" t="s">
        <v>2474</v>
      </c>
      <c r="D460" s="388">
        <v>3000</v>
      </c>
      <c r="E460" s="388">
        <v>3000</v>
      </c>
    </row>
    <row r="461" spans="1:5" x14ac:dyDescent="0.25">
      <c r="A461" t="s">
        <v>2128</v>
      </c>
      <c r="B461" t="s">
        <v>2257</v>
      </c>
      <c r="C461" t="s">
        <v>2475</v>
      </c>
      <c r="D461" s="388">
        <v>3000</v>
      </c>
      <c r="E461" s="388">
        <v>3000</v>
      </c>
    </row>
    <row r="462" spans="1:5" x14ac:dyDescent="0.25">
      <c r="A462" t="s">
        <v>953</v>
      </c>
      <c r="B462" t="s">
        <v>2064</v>
      </c>
      <c r="C462" t="s">
        <v>2476</v>
      </c>
      <c r="D462" s="388">
        <v>0</v>
      </c>
      <c r="E462" s="388">
        <v>0</v>
      </c>
    </row>
    <row r="463" spans="1:5" x14ac:dyDescent="0.25">
      <c r="A463" t="s">
        <v>2066</v>
      </c>
      <c r="B463" t="s">
        <v>2069</v>
      </c>
      <c r="C463" t="s">
        <v>2477</v>
      </c>
      <c r="D463" s="388">
        <v>0</v>
      </c>
      <c r="E463" s="388">
        <v>0</v>
      </c>
    </row>
    <row r="464" spans="1:5" x14ac:dyDescent="0.25">
      <c r="A464" t="s">
        <v>2120</v>
      </c>
      <c r="B464" t="s">
        <v>2120</v>
      </c>
      <c r="C464" t="s">
        <v>2478</v>
      </c>
      <c r="D464" s="388">
        <v>0</v>
      </c>
      <c r="E464" s="388">
        <v>0</v>
      </c>
    </row>
    <row r="465" spans="1:5" x14ac:dyDescent="0.25">
      <c r="A465" t="s">
        <v>2066</v>
      </c>
      <c r="B465" t="s">
        <v>2066</v>
      </c>
      <c r="C465" t="s">
        <v>3130</v>
      </c>
      <c r="D465" s="388">
        <v>0</v>
      </c>
      <c r="E465" s="388">
        <v>0</v>
      </c>
    </row>
    <row r="466" spans="1:5" x14ac:dyDescent="0.25">
      <c r="A466" t="s">
        <v>953</v>
      </c>
      <c r="B466" t="s">
        <v>3753</v>
      </c>
      <c r="C466" t="s">
        <v>3131</v>
      </c>
      <c r="D466" s="388">
        <v>0</v>
      </c>
      <c r="E466" s="388">
        <v>0</v>
      </c>
    </row>
    <row r="467" spans="1:5" x14ac:dyDescent="0.25">
      <c r="A467" t="s">
        <v>2128</v>
      </c>
      <c r="B467" t="s">
        <v>2129</v>
      </c>
      <c r="C467" t="s">
        <v>2479</v>
      </c>
      <c r="D467" s="388">
        <v>7250</v>
      </c>
      <c r="E467" s="388">
        <v>7250</v>
      </c>
    </row>
    <row r="468" spans="1:5" x14ac:dyDescent="0.25">
      <c r="A468" t="s">
        <v>2128</v>
      </c>
      <c r="B468" t="s">
        <v>2129</v>
      </c>
      <c r="C468" t="s">
        <v>2480</v>
      </c>
      <c r="D468" s="388">
        <v>7286.25</v>
      </c>
      <c r="E468" s="388">
        <v>7286.25</v>
      </c>
    </row>
    <row r="469" spans="1:5" x14ac:dyDescent="0.25">
      <c r="A469" t="s">
        <v>2128</v>
      </c>
      <c r="B469" t="s">
        <v>2129</v>
      </c>
      <c r="C469" t="s">
        <v>2481</v>
      </c>
      <c r="D469" s="388">
        <v>3572</v>
      </c>
      <c r="E469" s="388">
        <v>3572</v>
      </c>
    </row>
    <row r="470" spans="1:5" x14ac:dyDescent="0.25">
      <c r="A470" t="s">
        <v>2066</v>
      </c>
      <c r="B470" t="s">
        <v>2066</v>
      </c>
      <c r="C470" t="s">
        <v>3077</v>
      </c>
      <c r="D470" s="388">
        <v>0</v>
      </c>
      <c r="E470" s="388">
        <v>8400</v>
      </c>
    </row>
    <row r="471" spans="1:5" x14ac:dyDescent="0.25">
      <c r="A471" t="s">
        <v>1012</v>
      </c>
      <c r="B471" t="s">
        <v>1012</v>
      </c>
      <c r="C471" t="s">
        <v>2482</v>
      </c>
      <c r="D471" s="388">
        <v>0</v>
      </c>
      <c r="E471" s="388">
        <v>0</v>
      </c>
    </row>
    <row r="472" spans="1:5" x14ac:dyDescent="0.25">
      <c r="A472" t="s">
        <v>2066</v>
      </c>
      <c r="B472" t="s">
        <v>2066</v>
      </c>
      <c r="C472" t="s">
        <v>3078</v>
      </c>
      <c r="D472" s="388">
        <v>0</v>
      </c>
      <c r="E472" s="388">
        <v>1506</v>
      </c>
    </row>
    <row r="473" spans="1:5" x14ac:dyDescent="0.25">
      <c r="A473" t="s">
        <v>2080</v>
      </c>
      <c r="B473" t="s">
        <v>2080</v>
      </c>
      <c r="C473" t="s">
        <v>2483</v>
      </c>
      <c r="D473" s="388">
        <v>0</v>
      </c>
      <c r="E473" s="388">
        <v>0</v>
      </c>
    </row>
    <row r="474" spans="1:5" x14ac:dyDescent="0.25">
      <c r="A474" t="s">
        <v>2120</v>
      </c>
      <c r="B474" t="s">
        <v>2120</v>
      </c>
      <c r="C474" t="s">
        <v>2484</v>
      </c>
      <c r="D474" s="388">
        <v>0</v>
      </c>
      <c r="E474" s="388">
        <v>0</v>
      </c>
    </row>
    <row r="475" spans="1:5" x14ac:dyDescent="0.25">
      <c r="A475" t="s">
        <v>2120</v>
      </c>
      <c r="B475" t="s">
        <v>2120</v>
      </c>
      <c r="C475" t="s">
        <v>2485</v>
      </c>
      <c r="D475" s="388">
        <v>0</v>
      </c>
      <c r="E475" s="388">
        <v>0</v>
      </c>
    </row>
    <row r="476" spans="1:5" x14ac:dyDescent="0.25">
      <c r="A476" t="s">
        <v>2066</v>
      </c>
      <c r="B476" t="s">
        <v>3079</v>
      </c>
      <c r="C476" t="s">
        <v>3080</v>
      </c>
      <c r="D476" s="388">
        <v>0</v>
      </c>
      <c r="E476" s="388">
        <v>235470.11</v>
      </c>
    </row>
    <row r="477" spans="1:5" x14ac:dyDescent="0.25">
      <c r="A477" t="s">
        <v>2066</v>
      </c>
      <c r="B477" t="s">
        <v>3079</v>
      </c>
      <c r="C477" t="s">
        <v>3081</v>
      </c>
      <c r="D477" s="388">
        <v>0</v>
      </c>
      <c r="E477" s="388">
        <v>235470.1</v>
      </c>
    </row>
    <row r="478" spans="1:5" x14ac:dyDescent="0.25">
      <c r="A478" t="s">
        <v>2066</v>
      </c>
      <c r="B478" t="s">
        <v>3079</v>
      </c>
      <c r="C478" t="s">
        <v>3082</v>
      </c>
      <c r="D478" s="388">
        <v>0</v>
      </c>
      <c r="E478" s="388">
        <v>2933405.65</v>
      </c>
    </row>
    <row r="479" spans="1:5" x14ac:dyDescent="0.25">
      <c r="A479" t="s">
        <v>2066</v>
      </c>
      <c r="B479" t="s">
        <v>2066</v>
      </c>
      <c r="C479" t="s">
        <v>3754</v>
      </c>
      <c r="D479" s="388">
        <v>0</v>
      </c>
      <c r="E479" s="388">
        <v>0</v>
      </c>
    </row>
    <row r="480" spans="1:5" x14ac:dyDescent="0.25">
      <c r="A480" t="s">
        <v>1012</v>
      </c>
      <c r="B480" t="s">
        <v>1012</v>
      </c>
      <c r="C480" t="s">
        <v>2486</v>
      </c>
      <c r="D480" s="388">
        <v>0</v>
      </c>
      <c r="E480" s="388">
        <v>0</v>
      </c>
    </row>
    <row r="481" spans="1:5" x14ac:dyDescent="0.25">
      <c r="A481" t="s">
        <v>2080</v>
      </c>
      <c r="B481" t="s">
        <v>2080</v>
      </c>
      <c r="C481" t="s">
        <v>2487</v>
      </c>
      <c r="D481" s="388">
        <v>0</v>
      </c>
      <c r="E481" s="388">
        <v>0</v>
      </c>
    </row>
    <row r="482" spans="1:5" x14ac:dyDescent="0.25">
      <c r="A482" t="s">
        <v>2080</v>
      </c>
      <c r="B482" t="s">
        <v>2080</v>
      </c>
      <c r="C482" t="s">
        <v>2488</v>
      </c>
      <c r="D482" s="388">
        <v>0</v>
      </c>
      <c r="E482" s="388">
        <v>0</v>
      </c>
    </row>
    <row r="483" spans="1:5" x14ac:dyDescent="0.25">
      <c r="A483" t="s">
        <v>1012</v>
      </c>
      <c r="B483" t="s">
        <v>1012</v>
      </c>
      <c r="C483" t="s">
        <v>2489</v>
      </c>
      <c r="D483" s="388">
        <v>0</v>
      </c>
      <c r="E483" s="388">
        <v>0</v>
      </c>
    </row>
    <row r="484" spans="1:5" x14ac:dyDescent="0.25">
      <c r="A484" t="s">
        <v>953</v>
      </c>
      <c r="B484" t="s">
        <v>2064</v>
      </c>
      <c r="C484" t="s">
        <v>2490</v>
      </c>
      <c r="D484" s="388">
        <v>0</v>
      </c>
      <c r="E484" s="388">
        <v>0</v>
      </c>
    </row>
    <row r="485" spans="1:5" x14ac:dyDescent="0.25">
      <c r="A485" t="s">
        <v>2066</v>
      </c>
      <c r="B485" t="s">
        <v>2067</v>
      </c>
      <c r="C485" t="s">
        <v>2491</v>
      </c>
      <c r="D485" s="388">
        <v>0</v>
      </c>
      <c r="E485" s="388">
        <v>0</v>
      </c>
    </row>
    <row r="486" spans="1:5" x14ac:dyDescent="0.25">
      <c r="A486" t="s">
        <v>2066</v>
      </c>
      <c r="B486" t="s">
        <v>2069</v>
      </c>
      <c r="C486" t="s">
        <v>2492</v>
      </c>
      <c r="D486" s="388">
        <v>0</v>
      </c>
      <c r="E486" s="388">
        <v>0</v>
      </c>
    </row>
    <row r="487" spans="1:5" x14ac:dyDescent="0.25">
      <c r="A487" t="s">
        <v>953</v>
      </c>
      <c r="B487" t="s">
        <v>2064</v>
      </c>
      <c r="C487" t="s">
        <v>2493</v>
      </c>
      <c r="D487" s="388">
        <v>0</v>
      </c>
      <c r="E487" s="388">
        <v>0</v>
      </c>
    </row>
    <row r="488" spans="1:5" x14ac:dyDescent="0.25">
      <c r="A488" t="s">
        <v>2066</v>
      </c>
      <c r="B488" t="s">
        <v>2069</v>
      </c>
      <c r="C488" t="s">
        <v>2494</v>
      </c>
      <c r="D488" s="388">
        <v>0</v>
      </c>
      <c r="E488" s="388">
        <v>0</v>
      </c>
    </row>
    <row r="489" spans="1:5" x14ac:dyDescent="0.25">
      <c r="A489" t="s">
        <v>953</v>
      </c>
      <c r="B489" t="s">
        <v>2064</v>
      </c>
      <c r="C489" t="s">
        <v>2495</v>
      </c>
      <c r="D489" s="388">
        <v>0</v>
      </c>
      <c r="E489" s="388">
        <v>0</v>
      </c>
    </row>
    <row r="490" spans="1:5" x14ac:dyDescent="0.25">
      <c r="A490" t="s">
        <v>2066</v>
      </c>
      <c r="B490" t="s">
        <v>2067</v>
      </c>
      <c r="C490" t="s">
        <v>2496</v>
      </c>
      <c r="D490" s="388">
        <v>0</v>
      </c>
      <c r="E490" s="388">
        <v>0</v>
      </c>
    </row>
    <row r="491" spans="1:5" x14ac:dyDescent="0.25">
      <c r="A491" t="s">
        <v>2066</v>
      </c>
      <c r="B491" t="s">
        <v>2069</v>
      </c>
      <c r="C491" t="s">
        <v>2497</v>
      </c>
      <c r="D491" s="388">
        <v>0</v>
      </c>
      <c r="E491" s="388">
        <v>0</v>
      </c>
    </row>
    <row r="492" spans="1:5" x14ac:dyDescent="0.25">
      <c r="A492" t="s">
        <v>1012</v>
      </c>
      <c r="B492" t="s">
        <v>1012</v>
      </c>
      <c r="C492" t="s">
        <v>2498</v>
      </c>
      <c r="D492" s="388">
        <v>0</v>
      </c>
      <c r="E492" s="388">
        <v>0</v>
      </c>
    </row>
    <row r="493" spans="1:5" x14ac:dyDescent="0.25">
      <c r="A493" t="s">
        <v>953</v>
      </c>
      <c r="B493" t="s">
        <v>2064</v>
      </c>
      <c r="C493" t="s">
        <v>2499</v>
      </c>
      <c r="D493" s="388">
        <v>0</v>
      </c>
      <c r="E493" s="388">
        <v>0</v>
      </c>
    </row>
    <row r="494" spans="1:5" x14ac:dyDescent="0.25">
      <c r="A494" t="s">
        <v>2066</v>
      </c>
      <c r="B494" t="s">
        <v>2069</v>
      </c>
      <c r="C494" t="s">
        <v>2500</v>
      </c>
      <c r="D494" s="388">
        <v>0</v>
      </c>
      <c r="E494" s="388">
        <v>1326453</v>
      </c>
    </row>
    <row r="495" spans="1:5" x14ac:dyDescent="0.25">
      <c r="A495" t="s">
        <v>953</v>
      </c>
      <c r="B495" t="s">
        <v>2064</v>
      </c>
      <c r="C495" t="s">
        <v>2501</v>
      </c>
      <c r="D495" s="388">
        <v>0</v>
      </c>
      <c r="E495" s="388">
        <v>0</v>
      </c>
    </row>
    <row r="496" spans="1:5" x14ac:dyDescent="0.25">
      <c r="A496" t="s">
        <v>2066</v>
      </c>
      <c r="B496" t="s">
        <v>2067</v>
      </c>
      <c r="C496" t="s">
        <v>2502</v>
      </c>
      <c r="D496" s="388">
        <v>0</v>
      </c>
      <c r="E496" s="388">
        <v>0</v>
      </c>
    </row>
    <row r="497" spans="1:5" x14ac:dyDescent="0.25">
      <c r="A497" t="s">
        <v>2066</v>
      </c>
      <c r="B497" t="s">
        <v>2069</v>
      </c>
      <c r="C497" t="s">
        <v>2503</v>
      </c>
      <c r="D497" s="388">
        <v>0</v>
      </c>
      <c r="E497" s="388">
        <v>0</v>
      </c>
    </row>
    <row r="498" spans="1:5" x14ac:dyDescent="0.25">
      <c r="A498" t="s">
        <v>953</v>
      </c>
      <c r="B498" t="s">
        <v>2064</v>
      </c>
      <c r="C498" t="s">
        <v>2504</v>
      </c>
      <c r="D498" s="388">
        <v>0</v>
      </c>
      <c r="E498" s="388">
        <v>0</v>
      </c>
    </row>
    <row r="499" spans="1:5" x14ac:dyDescent="0.25">
      <c r="A499" t="s">
        <v>2066</v>
      </c>
      <c r="B499" t="s">
        <v>2069</v>
      </c>
      <c r="C499" t="s">
        <v>2505</v>
      </c>
      <c r="D499" s="388">
        <v>0</v>
      </c>
      <c r="E499" s="388">
        <v>0</v>
      </c>
    </row>
    <row r="500" spans="1:5" x14ac:dyDescent="0.25">
      <c r="A500" t="s">
        <v>2080</v>
      </c>
      <c r="B500" t="s">
        <v>2177</v>
      </c>
      <c r="C500" t="s">
        <v>2506</v>
      </c>
      <c r="D500" s="388">
        <v>0</v>
      </c>
      <c r="E500" s="388">
        <v>0</v>
      </c>
    </row>
    <row r="501" spans="1:5" x14ac:dyDescent="0.25">
      <c r="A501" t="s">
        <v>2507</v>
      </c>
      <c r="B501" t="s">
        <v>2507</v>
      </c>
      <c r="C501" t="s">
        <v>2508</v>
      </c>
      <c r="D501" s="388">
        <v>0</v>
      </c>
      <c r="E501" s="388">
        <v>0</v>
      </c>
    </row>
    <row r="502" spans="1:5" x14ac:dyDescent="0.25">
      <c r="A502" t="s">
        <v>2080</v>
      </c>
      <c r="B502" t="s">
        <v>2177</v>
      </c>
      <c r="C502" t="s">
        <v>2509</v>
      </c>
      <c r="D502" s="388">
        <v>0</v>
      </c>
      <c r="E502" s="388">
        <v>0</v>
      </c>
    </row>
    <row r="503" spans="1:5" x14ac:dyDescent="0.25">
      <c r="A503" t="s">
        <v>1012</v>
      </c>
      <c r="B503" t="s">
        <v>1012</v>
      </c>
      <c r="C503" t="s">
        <v>2510</v>
      </c>
      <c r="D503" s="388">
        <v>0</v>
      </c>
      <c r="E503" s="388">
        <v>0</v>
      </c>
    </row>
    <row r="504" spans="1:5" x14ac:dyDescent="0.25">
      <c r="A504" t="s">
        <v>1012</v>
      </c>
      <c r="B504" t="s">
        <v>1012</v>
      </c>
      <c r="C504" t="s">
        <v>2511</v>
      </c>
      <c r="D504" s="388">
        <v>0</v>
      </c>
      <c r="E504" s="388">
        <v>0</v>
      </c>
    </row>
    <row r="505" spans="1:5" x14ac:dyDescent="0.25">
      <c r="A505" t="s">
        <v>2080</v>
      </c>
      <c r="B505" t="s">
        <v>2177</v>
      </c>
      <c r="C505" t="s">
        <v>2512</v>
      </c>
      <c r="D505" s="388">
        <v>0</v>
      </c>
      <c r="E505" s="388">
        <v>0</v>
      </c>
    </row>
    <row r="506" spans="1:5" x14ac:dyDescent="0.25">
      <c r="A506" t="s">
        <v>953</v>
      </c>
      <c r="B506" t="s">
        <v>2064</v>
      </c>
      <c r="C506" t="s">
        <v>2513</v>
      </c>
      <c r="D506" s="388">
        <v>-42750</v>
      </c>
      <c r="E506" s="388">
        <v>-186230</v>
      </c>
    </row>
    <row r="507" spans="1:5" x14ac:dyDescent="0.25">
      <c r="A507" t="s">
        <v>2080</v>
      </c>
      <c r="B507" t="s">
        <v>2080</v>
      </c>
      <c r="C507" t="s">
        <v>2514</v>
      </c>
      <c r="D507" s="388">
        <v>0</v>
      </c>
      <c r="E507" s="388">
        <v>0</v>
      </c>
    </row>
    <row r="508" spans="1:5" x14ac:dyDescent="0.25">
      <c r="A508" t="s">
        <v>2080</v>
      </c>
      <c r="B508" t="s">
        <v>2080</v>
      </c>
      <c r="C508" t="s">
        <v>2515</v>
      </c>
      <c r="D508" s="388">
        <v>0</v>
      </c>
      <c r="E508" s="388">
        <v>0</v>
      </c>
    </row>
    <row r="509" spans="1:5" x14ac:dyDescent="0.25">
      <c r="A509" t="s">
        <v>1013</v>
      </c>
      <c r="B509" t="s">
        <v>1013</v>
      </c>
      <c r="C509" t="s">
        <v>2516</v>
      </c>
      <c r="D509" s="388">
        <v>0</v>
      </c>
      <c r="E509" s="388">
        <v>0</v>
      </c>
    </row>
    <row r="510" spans="1:5" x14ac:dyDescent="0.25">
      <c r="A510" t="s">
        <v>2066</v>
      </c>
      <c r="B510" t="s">
        <v>2066</v>
      </c>
      <c r="C510" t="s">
        <v>2517</v>
      </c>
      <c r="D510" s="388">
        <v>0</v>
      </c>
      <c r="E510" s="388">
        <v>5566887.8600000003</v>
      </c>
    </row>
    <row r="511" spans="1:5" x14ac:dyDescent="0.25">
      <c r="A511" t="s">
        <v>953</v>
      </c>
      <c r="B511" t="s">
        <v>2064</v>
      </c>
      <c r="C511" t="s">
        <v>2518</v>
      </c>
      <c r="D511" s="388">
        <v>-15573977</v>
      </c>
      <c r="E511" s="388">
        <v>0</v>
      </c>
    </row>
    <row r="512" spans="1:5" x14ac:dyDescent="0.25">
      <c r="A512" t="s">
        <v>2080</v>
      </c>
      <c r="B512" t="s">
        <v>2080</v>
      </c>
      <c r="C512" t="s">
        <v>2519</v>
      </c>
      <c r="D512" s="388">
        <v>0</v>
      </c>
      <c r="E512" s="388">
        <v>0</v>
      </c>
    </row>
    <row r="513" spans="1:5" x14ac:dyDescent="0.25">
      <c r="A513" t="s">
        <v>1012</v>
      </c>
      <c r="B513" t="s">
        <v>1012</v>
      </c>
      <c r="C513" t="s">
        <v>2520</v>
      </c>
      <c r="D513" s="388">
        <v>0</v>
      </c>
      <c r="E513" s="388">
        <v>0</v>
      </c>
    </row>
    <row r="514" spans="1:5" x14ac:dyDescent="0.25">
      <c r="A514" t="s">
        <v>2080</v>
      </c>
      <c r="B514" t="s">
        <v>2080</v>
      </c>
      <c r="C514" t="s">
        <v>2521</v>
      </c>
      <c r="D514" s="388">
        <v>-215.25</v>
      </c>
      <c r="E514" s="388">
        <v>158108.20000000001</v>
      </c>
    </row>
    <row r="515" spans="1:5" x14ac:dyDescent="0.25">
      <c r="A515" t="s">
        <v>2080</v>
      </c>
      <c r="B515" t="s">
        <v>2080</v>
      </c>
      <c r="C515" t="s">
        <v>2522</v>
      </c>
      <c r="D515" s="388">
        <v>3631359.57</v>
      </c>
      <c r="E515" s="388">
        <v>3994753.42</v>
      </c>
    </row>
    <row r="516" spans="1:5" x14ac:dyDescent="0.25">
      <c r="A516" t="s">
        <v>2080</v>
      </c>
      <c r="B516" t="s">
        <v>2080</v>
      </c>
      <c r="C516" t="s">
        <v>2523</v>
      </c>
      <c r="D516" s="388">
        <v>0</v>
      </c>
      <c r="E516" s="388">
        <v>0</v>
      </c>
    </row>
    <row r="517" spans="1:5" x14ac:dyDescent="0.25">
      <c r="A517" t="s">
        <v>2080</v>
      </c>
      <c r="B517" t="s">
        <v>2080</v>
      </c>
      <c r="C517" t="s">
        <v>2524</v>
      </c>
      <c r="D517" s="388">
        <v>0</v>
      </c>
      <c r="E517" s="388">
        <v>2377905.7999999998</v>
      </c>
    </row>
    <row r="518" spans="1:5" x14ac:dyDescent="0.25">
      <c r="A518" t="s">
        <v>2281</v>
      </c>
      <c r="B518" t="s">
        <v>2282</v>
      </c>
      <c r="C518" t="s">
        <v>2525</v>
      </c>
      <c r="D518" s="388">
        <v>0</v>
      </c>
      <c r="E518" s="388">
        <v>0</v>
      </c>
    </row>
    <row r="519" spans="1:5" x14ac:dyDescent="0.25">
      <c r="A519" t="s">
        <v>1012</v>
      </c>
      <c r="B519" t="s">
        <v>1012</v>
      </c>
      <c r="C519" t="s">
        <v>3084</v>
      </c>
      <c r="D519" s="388">
        <v>0</v>
      </c>
      <c r="E519" s="388">
        <v>-0.23</v>
      </c>
    </row>
    <row r="520" spans="1:5" x14ac:dyDescent="0.25">
      <c r="A520" t="s">
        <v>2066</v>
      </c>
      <c r="B520" t="s">
        <v>2066</v>
      </c>
      <c r="C520" t="s">
        <v>2526</v>
      </c>
      <c r="D520" s="388">
        <v>0</v>
      </c>
      <c r="E520" s="388">
        <v>3983.89</v>
      </c>
    </row>
    <row r="521" spans="1:5" x14ac:dyDescent="0.25">
      <c r="A521" t="s">
        <v>2281</v>
      </c>
      <c r="B521" t="s">
        <v>2281</v>
      </c>
      <c r="C521" t="s">
        <v>3132</v>
      </c>
      <c r="D521" s="388">
        <v>0</v>
      </c>
      <c r="E521" s="388">
        <v>0</v>
      </c>
    </row>
    <row r="522" spans="1:5" x14ac:dyDescent="0.25">
      <c r="A522" t="s">
        <v>1012</v>
      </c>
      <c r="B522" t="s">
        <v>2216</v>
      </c>
      <c r="C522" t="s">
        <v>2527</v>
      </c>
      <c r="D522" s="388">
        <v>0</v>
      </c>
      <c r="E522" s="388">
        <v>0</v>
      </c>
    </row>
    <row r="523" spans="1:5" x14ac:dyDescent="0.25">
      <c r="A523" t="s">
        <v>2080</v>
      </c>
      <c r="B523" t="s">
        <v>2177</v>
      </c>
      <c r="C523" t="s">
        <v>3085</v>
      </c>
      <c r="D523" s="388">
        <v>13484.35</v>
      </c>
      <c r="E523" s="388">
        <v>0.46</v>
      </c>
    </row>
    <row r="524" spans="1:5" x14ac:dyDescent="0.25">
      <c r="A524" t="s">
        <v>1012</v>
      </c>
      <c r="B524" t="s">
        <v>2216</v>
      </c>
      <c r="C524" t="s">
        <v>3133</v>
      </c>
      <c r="D524" s="388">
        <v>0</v>
      </c>
      <c r="E524" s="388">
        <v>0</v>
      </c>
    </row>
    <row r="525" spans="1:5" x14ac:dyDescent="0.25">
      <c r="A525" t="s">
        <v>2080</v>
      </c>
      <c r="B525" t="s">
        <v>2177</v>
      </c>
      <c r="C525" t="s">
        <v>2532</v>
      </c>
      <c r="D525" s="388">
        <v>26544026.890000001</v>
      </c>
      <c r="E525" s="388">
        <v>39960122.130000003</v>
      </c>
    </row>
    <row r="526" spans="1:5" x14ac:dyDescent="0.25">
      <c r="A526" t="s">
        <v>1012</v>
      </c>
      <c r="B526" t="s">
        <v>2216</v>
      </c>
      <c r="C526" t="s">
        <v>2533</v>
      </c>
      <c r="D526" s="388">
        <v>0</v>
      </c>
      <c r="E526" s="388">
        <v>-5896299.4699999997</v>
      </c>
    </row>
    <row r="527" spans="1:5" x14ac:dyDescent="0.25">
      <c r="A527" t="s">
        <v>2080</v>
      </c>
      <c r="B527" t="s">
        <v>2177</v>
      </c>
      <c r="C527" t="s">
        <v>2534</v>
      </c>
      <c r="D527" s="388">
        <v>0</v>
      </c>
      <c r="E527" s="388">
        <v>0</v>
      </c>
    </row>
    <row r="528" spans="1:5" x14ac:dyDescent="0.25">
      <c r="A528" t="s">
        <v>2080</v>
      </c>
      <c r="B528" t="s">
        <v>2080</v>
      </c>
      <c r="C528" t="s">
        <v>2535</v>
      </c>
      <c r="D528" s="388">
        <v>0</v>
      </c>
      <c r="E528" s="388">
        <v>700614</v>
      </c>
    </row>
    <row r="529" spans="1:5" x14ac:dyDescent="0.25">
      <c r="A529" t="s">
        <v>2080</v>
      </c>
      <c r="B529" t="s">
        <v>2080</v>
      </c>
      <c r="C529" t="s">
        <v>2536</v>
      </c>
      <c r="D529" s="388">
        <v>0</v>
      </c>
      <c r="E529" s="388">
        <v>0</v>
      </c>
    </row>
    <row r="530" spans="1:5" x14ac:dyDescent="0.25">
      <c r="A530" t="s">
        <v>2128</v>
      </c>
      <c r="B530" t="s">
        <v>2131</v>
      </c>
      <c r="C530" t="s">
        <v>2537</v>
      </c>
      <c r="D530" s="388">
        <v>0</v>
      </c>
      <c r="E530" s="388">
        <v>0</v>
      </c>
    </row>
    <row r="531" spans="1:5" x14ac:dyDescent="0.25">
      <c r="A531" t="s">
        <v>2066</v>
      </c>
      <c r="B531" t="s">
        <v>2066</v>
      </c>
      <c r="C531" t="s">
        <v>2538</v>
      </c>
      <c r="D531" s="388">
        <v>0</v>
      </c>
      <c r="E531" s="388">
        <v>60384.639999999999</v>
      </c>
    </row>
    <row r="532" spans="1:5" x14ac:dyDescent="0.25">
      <c r="A532" t="s">
        <v>2169</v>
      </c>
      <c r="B532" t="s">
        <v>2169</v>
      </c>
      <c r="C532" t="s">
        <v>3086</v>
      </c>
      <c r="D532" s="388">
        <v>0</v>
      </c>
      <c r="E532" s="388">
        <v>-466809.04</v>
      </c>
    </row>
    <row r="533" spans="1:5" x14ac:dyDescent="0.25">
      <c r="A533" t="s">
        <v>1012</v>
      </c>
      <c r="B533" t="s">
        <v>1012</v>
      </c>
      <c r="C533" t="s">
        <v>2539</v>
      </c>
      <c r="D533" s="388">
        <v>0</v>
      </c>
      <c r="E533" s="388">
        <v>-54000</v>
      </c>
    </row>
    <row r="534" spans="1:5" x14ac:dyDescent="0.25">
      <c r="A534" t="s">
        <v>2080</v>
      </c>
      <c r="B534" t="s">
        <v>2080</v>
      </c>
      <c r="C534" t="s">
        <v>2540</v>
      </c>
      <c r="D534" s="388">
        <v>36580</v>
      </c>
      <c r="E534" s="388">
        <v>0</v>
      </c>
    </row>
    <row r="535" spans="1:5" x14ac:dyDescent="0.25">
      <c r="A535" t="s">
        <v>2080</v>
      </c>
      <c r="B535" t="s">
        <v>2080</v>
      </c>
      <c r="C535" t="s">
        <v>2541</v>
      </c>
      <c r="D535" s="388">
        <v>0</v>
      </c>
      <c r="E535" s="388">
        <v>0</v>
      </c>
    </row>
    <row r="536" spans="1:5" x14ac:dyDescent="0.25">
      <c r="A536" t="s">
        <v>2080</v>
      </c>
      <c r="B536" t="s">
        <v>2080</v>
      </c>
      <c r="C536" t="s">
        <v>2542</v>
      </c>
      <c r="D536" s="388">
        <v>0</v>
      </c>
      <c r="E536" s="388">
        <v>0</v>
      </c>
    </row>
    <row r="537" spans="1:5" x14ac:dyDescent="0.25">
      <c r="A537" t="s">
        <v>2080</v>
      </c>
      <c r="B537" t="s">
        <v>2080</v>
      </c>
      <c r="C537" t="s">
        <v>2543</v>
      </c>
      <c r="D537" s="388">
        <v>0</v>
      </c>
      <c r="E537" s="388">
        <v>0</v>
      </c>
    </row>
    <row r="538" spans="1:5" x14ac:dyDescent="0.25">
      <c r="A538" t="s">
        <v>1013</v>
      </c>
      <c r="B538" t="s">
        <v>1013</v>
      </c>
      <c r="C538" t="s">
        <v>2544</v>
      </c>
      <c r="D538" s="388">
        <v>0</v>
      </c>
      <c r="E538" s="388">
        <v>0</v>
      </c>
    </row>
    <row r="539" spans="1:5" x14ac:dyDescent="0.25">
      <c r="A539" t="s">
        <v>953</v>
      </c>
      <c r="B539" t="s">
        <v>2064</v>
      </c>
      <c r="C539" t="s">
        <v>2545</v>
      </c>
      <c r="D539" s="388">
        <v>-1208880</v>
      </c>
      <c r="E539" s="388">
        <v>-791264.4</v>
      </c>
    </row>
    <row r="540" spans="1:5" x14ac:dyDescent="0.25">
      <c r="A540" t="s">
        <v>953</v>
      </c>
      <c r="B540" t="s">
        <v>2064</v>
      </c>
      <c r="C540" t="s">
        <v>2546</v>
      </c>
      <c r="D540" s="388">
        <v>0</v>
      </c>
      <c r="E540" s="388">
        <v>0</v>
      </c>
    </row>
    <row r="541" spans="1:5" x14ac:dyDescent="0.25">
      <c r="A541" t="s">
        <v>2066</v>
      </c>
      <c r="B541" t="s">
        <v>2067</v>
      </c>
      <c r="C541" t="s">
        <v>2547</v>
      </c>
      <c r="D541" s="388">
        <v>0</v>
      </c>
      <c r="E541" s="388">
        <v>0</v>
      </c>
    </row>
    <row r="542" spans="1:5" x14ac:dyDescent="0.25">
      <c r="A542" t="s">
        <v>2066</v>
      </c>
      <c r="B542" t="s">
        <v>2069</v>
      </c>
      <c r="C542" t="s">
        <v>2548</v>
      </c>
      <c r="D542" s="388">
        <v>0</v>
      </c>
      <c r="E542" s="388">
        <v>0</v>
      </c>
    </row>
    <row r="543" spans="1:5" x14ac:dyDescent="0.25">
      <c r="A543" t="s">
        <v>953</v>
      </c>
      <c r="B543" t="s">
        <v>2064</v>
      </c>
      <c r="C543" t="s">
        <v>2549</v>
      </c>
      <c r="D543" s="388">
        <v>0</v>
      </c>
      <c r="E543" s="388">
        <v>0</v>
      </c>
    </row>
    <row r="544" spans="1:5" x14ac:dyDescent="0.25">
      <c r="A544" t="s">
        <v>2066</v>
      </c>
      <c r="B544" t="s">
        <v>2067</v>
      </c>
      <c r="C544" t="s">
        <v>2550</v>
      </c>
      <c r="D544" s="388">
        <v>0</v>
      </c>
      <c r="E544" s="388">
        <v>0</v>
      </c>
    </row>
    <row r="545" spans="1:5" x14ac:dyDescent="0.25">
      <c r="A545" t="s">
        <v>2066</v>
      </c>
      <c r="B545" t="s">
        <v>2069</v>
      </c>
      <c r="C545" t="s">
        <v>2551</v>
      </c>
      <c r="D545" s="388">
        <v>0</v>
      </c>
      <c r="E545" s="388">
        <v>0</v>
      </c>
    </row>
    <row r="546" spans="1:5" x14ac:dyDescent="0.25">
      <c r="A546" t="s">
        <v>2281</v>
      </c>
      <c r="B546" t="s">
        <v>2282</v>
      </c>
      <c r="C546" t="s">
        <v>2552</v>
      </c>
      <c r="D546" s="388">
        <v>0</v>
      </c>
      <c r="E546" s="388">
        <v>0</v>
      </c>
    </row>
    <row r="547" spans="1:5" x14ac:dyDescent="0.25">
      <c r="A547" t="s">
        <v>953</v>
      </c>
      <c r="B547" t="s">
        <v>2553</v>
      </c>
      <c r="C547" t="s">
        <v>2554</v>
      </c>
      <c r="D547" s="388">
        <v>0</v>
      </c>
      <c r="E547" s="388">
        <v>0</v>
      </c>
    </row>
    <row r="548" spans="1:5" x14ac:dyDescent="0.25">
      <c r="A548" t="s">
        <v>953</v>
      </c>
      <c r="B548" t="s">
        <v>2064</v>
      </c>
      <c r="C548" t="s">
        <v>2555</v>
      </c>
      <c r="D548" s="388">
        <v>0</v>
      </c>
      <c r="E548" s="388">
        <v>0</v>
      </c>
    </row>
    <row r="549" spans="1:5" x14ac:dyDescent="0.25">
      <c r="A549" t="s">
        <v>2066</v>
      </c>
      <c r="B549" t="s">
        <v>2067</v>
      </c>
      <c r="C549" t="s">
        <v>2556</v>
      </c>
      <c r="D549" s="388">
        <v>0</v>
      </c>
      <c r="E549" s="388">
        <v>0</v>
      </c>
    </row>
    <row r="550" spans="1:5" x14ac:dyDescent="0.25">
      <c r="A550" t="s">
        <v>2066</v>
      </c>
      <c r="B550" t="s">
        <v>2069</v>
      </c>
      <c r="C550" t="s">
        <v>2557</v>
      </c>
      <c r="D550" s="388">
        <v>0</v>
      </c>
      <c r="E550" s="388">
        <v>0</v>
      </c>
    </row>
    <row r="551" spans="1:5" x14ac:dyDescent="0.25">
      <c r="A551" t="s">
        <v>1012</v>
      </c>
      <c r="B551" t="s">
        <v>1012</v>
      </c>
      <c r="C551" t="s">
        <v>2558</v>
      </c>
      <c r="D551" s="388">
        <v>0</v>
      </c>
      <c r="E551" s="388">
        <v>0</v>
      </c>
    </row>
    <row r="552" spans="1:5" x14ac:dyDescent="0.25">
      <c r="A552" t="s">
        <v>2080</v>
      </c>
      <c r="B552" t="s">
        <v>2080</v>
      </c>
      <c r="C552" t="s">
        <v>2559</v>
      </c>
      <c r="D552" s="388">
        <v>0</v>
      </c>
      <c r="E552" s="388">
        <v>0</v>
      </c>
    </row>
    <row r="553" spans="1:5" x14ac:dyDescent="0.25">
      <c r="A553" t="s">
        <v>1012</v>
      </c>
      <c r="B553" t="s">
        <v>1012</v>
      </c>
      <c r="C553" t="s">
        <v>2560</v>
      </c>
      <c r="D553" s="388">
        <v>-23600</v>
      </c>
      <c r="E553" s="388">
        <v>0</v>
      </c>
    </row>
    <row r="554" spans="1:5" x14ac:dyDescent="0.25">
      <c r="A554" t="s">
        <v>1012</v>
      </c>
      <c r="B554" t="s">
        <v>1012</v>
      </c>
      <c r="C554" t="s">
        <v>3087</v>
      </c>
      <c r="D554" s="388">
        <v>0</v>
      </c>
      <c r="E554" s="388">
        <v>-24500</v>
      </c>
    </row>
    <row r="555" spans="1:5" x14ac:dyDescent="0.25">
      <c r="A555" t="s">
        <v>1012</v>
      </c>
      <c r="B555" t="s">
        <v>1012</v>
      </c>
      <c r="C555" t="s">
        <v>2561</v>
      </c>
      <c r="D555" s="388">
        <v>0</v>
      </c>
      <c r="E555" s="388">
        <v>0</v>
      </c>
    </row>
    <row r="556" spans="1:5" x14ac:dyDescent="0.25">
      <c r="A556" t="s">
        <v>1012</v>
      </c>
      <c r="B556" t="s">
        <v>1012</v>
      </c>
      <c r="C556" t="s">
        <v>2562</v>
      </c>
      <c r="D556" s="388">
        <v>0</v>
      </c>
      <c r="E556" s="388">
        <v>0</v>
      </c>
    </row>
    <row r="557" spans="1:5" x14ac:dyDescent="0.25">
      <c r="A557" t="s">
        <v>1012</v>
      </c>
      <c r="B557" t="s">
        <v>1012</v>
      </c>
      <c r="C557" t="s">
        <v>2563</v>
      </c>
      <c r="D557" s="388">
        <v>0</v>
      </c>
      <c r="E557" s="388">
        <v>0</v>
      </c>
    </row>
    <row r="558" spans="1:5" x14ac:dyDescent="0.25">
      <c r="A558" t="s">
        <v>2128</v>
      </c>
      <c r="B558" t="s">
        <v>2214</v>
      </c>
      <c r="C558" t="s">
        <v>2564</v>
      </c>
      <c r="D558" s="388">
        <v>0</v>
      </c>
      <c r="E558" s="388">
        <v>0</v>
      </c>
    </row>
    <row r="559" spans="1:5" x14ac:dyDescent="0.25">
      <c r="A559" t="s">
        <v>2128</v>
      </c>
      <c r="B559" t="s">
        <v>2214</v>
      </c>
      <c r="C559" t="s">
        <v>2565</v>
      </c>
      <c r="D559" s="388">
        <v>0</v>
      </c>
      <c r="E559" s="388">
        <v>0</v>
      </c>
    </row>
    <row r="560" spans="1:5" x14ac:dyDescent="0.25">
      <c r="A560" t="s">
        <v>2128</v>
      </c>
      <c r="B560" t="s">
        <v>2214</v>
      </c>
      <c r="C560" t="s">
        <v>2566</v>
      </c>
      <c r="D560" s="388">
        <v>0</v>
      </c>
      <c r="E560" s="388">
        <v>0</v>
      </c>
    </row>
    <row r="561" spans="1:5" x14ac:dyDescent="0.25">
      <c r="A561" t="s">
        <v>2128</v>
      </c>
      <c r="B561" t="s">
        <v>2131</v>
      </c>
      <c r="C561" t="s">
        <v>2567</v>
      </c>
      <c r="D561" s="388">
        <v>575</v>
      </c>
      <c r="E561" s="388">
        <v>575</v>
      </c>
    </row>
    <row r="562" spans="1:5" x14ac:dyDescent="0.25">
      <c r="A562" t="s">
        <v>2128</v>
      </c>
      <c r="B562" t="s">
        <v>2131</v>
      </c>
      <c r="C562" t="s">
        <v>2568</v>
      </c>
      <c r="D562" s="388">
        <v>2100</v>
      </c>
      <c r="E562" s="388">
        <v>2100</v>
      </c>
    </row>
    <row r="563" spans="1:5" x14ac:dyDescent="0.25">
      <c r="A563" t="s">
        <v>2066</v>
      </c>
      <c r="B563" t="s">
        <v>2066</v>
      </c>
      <c r="C563" t="s">
        <v>2569</v>
      </c>
      <c r="D563" s="388">
        <v>0</v>
      </c>
      <c r="E563" s="388">
        <v>170768.02</v>
      </c>
    </row>
    <row r="564" spans="1:5" x14ac:dyDescent="0.25">
      <c r="A564" t="s">
        <v>2128</v>
      </c>
      <c r="B564" t="s">
        <v>2570</v>
      </c>
      <c r="C564" t="s">
        <v>2571</v>
      </c>
      <c r="D564" s="388">
        <v>1450.33</v>
      </c>
      <c r="E564" s="388">
        <v>1106</v>
      </c>
    </row>
    <row r="565" spans="1:5" x14ac:dyDescent="0.25">
      <c r="A565" t="s">
        <v>2281</v>
      </c>
      <c r="B565" t="s">
        <v>2282</v>
      </c>
      <c r="C565" t="s">
        <v>2572</v>
      </c>
      <c r="D565" s="388">
        <v>-120950</v>
      </c>
      <c r="E565" s="388">
        <v>-362850</v>
      </c>
    </row>
    <row r="566" spans="1:5" x14ac:dyDescent="0.25">
      <c r="A566" t="s">
        <v>2281</v>
      </c>
      <c r="B566" t="s">
        <v>2573</v>
      </c>
      <c r="C566" t="s">
        <v>2574</v>
      </c>
      <c r="D566" s="388">
        <v>120950</v>
      </c>
      <c r="E566" s="388">
        <v>362850</v>
      </c>
    </row>
    <row r="567" spans="1:5" x14ac:dyDescent="0.25">
      <c r="A567" t="s">
        <v>2066</v>
      </c>
      <c r="B567" t="s">
        <v>2066</v>
      </c>
      <c r="C567" t="s">
        <v>2575</v>
      </c>
      <c r="D567" s="388">
        <v>0</v>
      </c>
      <c r="E567" s="388">
        <v>0</v>
      </c>
    </row>
    <row r="568" spans="1:5" x14ac:dyDescent="0.25">
      <c r="A568" t="s">
        <v>953</v>
      </c>
      <c r="B568" t="s">
        <v>2064</v>
      </c>
      <c r="C568" t="s">
        <v>2576</v>
      </c>
      <c r="D568" s="388">
        <v>0</v>
      </c>
      <c r="E568" s="388">
        <v>0</v>
      </c>
    </row>
    <row r="569" spans="1:5" x14ac:dyDescent="0.25">
      <c r="A569" t="s">
        <v>1012</v>
      </c>
      <c r="B569" t="s">
        <v>1012</v>
      </c>
      <c r="C569" t="s">
        <v>2577</v>
      </c>
      <c r="D569" s="388">
        <v>-75119.320000000007</v>
      </c>
      <c r="E569" s="388">
        <v>-81126.94</v>
      </c>
    </row>
    <row r="570" spans="1:5" x14ac:dyDescent="0.25">
      <c r="A570" t="s">
        <v>2066</v>
      </c>
      <c r="B570" t="s">
        <v>234</v>
      </c>
      <c r="C570" t="s">
        <v>2578</v>
      </c>
      <c r="D570" s="388">
        <v>0</v>
      </c>
      <c r="E570" s="388">
        <v>0</v>
      </c>
    </row>
    <row r="571" spans="1:5" x14ac:dyDescent="0.25">
      <c r="A571" t="s">
        <v>953</v>
      </c>
      <c r="B571" t="s">
        <v>953</v>
      </c>
      <c r="C571" t="s">
        <v>3088</v>
      </c>
      <c r="D571" s="388">
        <v>0</v>
      </c>
      <c r="E571" s="388">
        <v>0</v>
      </c>
    </row>
    <row r="572" spans="1:5" x14ac:dyDescent="0.25">
      <c r="A572" t="s">
        <v>953</v>
      </c>
      <c r="B572" t="s">
        <v>2064</v>
      </c>
      <c r="C572" t="s">
        <v>2579</v>
      </c>
      <c r="D572" s="388">
        <v>-389150</v>
      </c>
      <c r="E572" s="388">
        <v>0</v>
      </c>
    </row>
    <row r="573" spans="1:5" x14ac:dyDescent="0.25">
      <c r="A573" t="s">
        <v>2281</v>
      </c>
      <c r="B573" t="s">
        <v>2573</v>
      </c>
      <c r="C573" t="s">
        <v>2580</v>
      </c>
      <c r="D573" s="388">
        <v>5753387.1500000004</v>
      </c>
      <c r="E573" s="388">
        <v>11418567.48</v>
      </c>
    </row>
    <row r="574" spans="1:5" x14ac:dyDescent="0.25">
      <c r="A574" t="s">
        <v>2281</v>
      </c>
      <c r="B574" t="s">
        <v>2282</v>
      </c>
      <c r="C574" t="s">
        <v>2581</v>
      </c>
      <c r="D574" s="388">
        <v>-5753387.1500000004</v>
      </c>
      <c r="E574" s="388">
        <v>-11418568.539999999</v>
      </c>
    </row>
    <row r="575" spans="1:5" x14ac:dyDescent="0.25">
      <c r="A575" t="s">
        <v>953</v>
      </c>
      <c r="B575" t="s">
        <v>2064</v>
      </c>
      <c r="C575" t="s">
        <v>2582</v>
      </c>
      <c r="D575" s="388">
        <v>0</v>
      </c>
      <c r="E575" s="388">
        <v>0</v>
      </c>
    </row>
    <row r="576" spans="1:5" x14ac:dyDescent="0.25">
      <c r="A576" t="s">
        <v>2066</v>
      </c>
      <c r="B576" t="s">
        <v>2067</v>
      </c>
      <c r="C576" t="s">
        <v>2583</v>
      </c>
      <c r="D576" s="388">
        <v>0</v>
      </c>
      <c r="E576" s="388">
        <v>0</v>
      </c>
    </row>
    <row r="577" spans="1:5" x14ac:dyDescent="0.25">
      <c r="A577" t="s">
        <v>2066</v>
      </c>
      <c r="B577" t="s">
        <v>2069</v>
      </c>
      <c r="C577" t="s">
        <v>2584</v>
      </c>
      <c r="D577" s="388">
        <v>0</v>
      </c>
      <c r="E577" s="388">
        <v>0</v>
      </c>
    </row>
    <row r="578" spans="1:5" x14ac:dyDescent="0.25">
      <c r="A578" t="s">
        <v>953</v>
      </c>
      <c r="B578" t="s">
        <v>2064</v>
      </c>
      <c r="C578" t="s">
        <v>2585</v>
      </c>
      <c r="D578" s="388">
        <v>0</v>
      </c>
      <c r="E578" s="388">
        <v>0</v>
      </c>
    </row>
    <row r="579" spans="1:5" x14ac:dyDescent="0.25">
      <c r="A579" t="s">
        <v>2066</v>
      </c>
      <c r="B579" t="s">
        <v>2067</v>
      </c>
      <c r="C579" t="s">
        <v>2586</v>
      </c>
      <c r="D579" s="388">
        <v>0</v>
      </c>
      <c r="E579" s="388">
        <v>0</v>
      </c>
    </row>
    <row r="580" spans="1:5" x14ac:dyDescent="0.25">
      <c r="A580" t="s">
        <v>2066</v>
      </c>
      <c r="B580" t="s">
        <v>2069</v>
      </c>
      <c r="C580" t="s">
        <v>2587</v>
      </c>
      <c r="D580" s="388">
        <v>0</v>
      </c>
      <c r="E580" s="388">
        <v>0</v>
      </c>
    </row>
    <row r="581" spans="1:5" x14ac:dyDescent="0.25">
      <c r="A581" t="s">
        <v>953</v>
      </c>
      <c r="B581" t="s">
        <v>2064</v>
      </c>
      <c r="C581" t="s">
        <v>2588</v>
      </c>
      <c r="D581" s="388">
        <v>0</v>
      </c>
      <c r="E581" s="388">
        <v>0</v>
      </c>
    </row>
    <row r="582" spans="1:5" x14ac:dyDescent="0.25">
      <c r="A582" t="s">
        <v>2066</v>
      </c>
      <c r="B582" t="s">
        <v>2067</v>
      </c>
      <c r="C582" t="s">
        <v>2589</v>
      </c>
      <c r="D582" s="388">
        <v>0</v>
      </c>
      <c r="E582" s="388">
        <v>0</v>
      </c>
    </row>
    <row r="583" spans="1:5" x14ac:dyDescent="0.25">
      <c r="A583" t="s">
        <v>2066</v>
      </c>
      <c r="B583" t="s">
        <v>2069</v>
      </c>
      <c r="C583" t="s">
        <v>2590</v>
      </c>
      <c r="D583" s="388">
        <v>0</v>
      </c>
      <c r="E583" s="388">
        <v>0</v>
      </c>
    </row>
    <row r="584" spans="1:5" x14ac:dyDescent="0.25">
      <c r="A584" t="s">
        <v>953</v>
      </c>
      <c r="B584" t="s">
        <v>2064</v>
      </c>
      <c r="C584" t="s">
        <v>2591</v>
      </c>
      <c r="D584" s="388">
        <v>0</v>
      </c>
      <c r="E584" s="388">
        <v>0</v>
      </c>
    </row>
    <row r="585" spans="1:5" x14ac:dyDescent="0.25">
      <c r="A585" t="s">
        <v>2066</v>
      </c>
      <c r="B585" t="s">
        <v>2067</v>
      </c>
      <c r="C585" t="s">
        <v>2592</v>
      </c>
      <c r="D585" s="388">
        <v>0</v>
      </c>
      <c r="E585" s="388">
        <v>0</v>
      </c>
    </row>
    <row r="586" spans="1:5" x14ac:dyDescent="0.25">
      <c r="A586" t="s">
        <v>2066</v>
      </c>
      <c r="B586" t="s">
        <v>2069</v>
      </c>
      <c r="C586" t="s">
        <v>2593</v>
      </c>
      <c r="D586" s="388">
        <v>0</v>
      </c>
      <c r="E586" s="388">
        <v>0</v>
      </c>
    </row>
    <row r="587" spans="1:5" x14ac:dyDescent="0.25">
      <c r="A587" t="s">
        <v>953</v>
      </c>
      <c r="B587" t="s">
        <v>2064</v>
      </c>
      <c r="C587" t="s">
        <v>2594</v>
      </c>
      <c r="D587" s="388">
        <v>0</v>
      </c>
      <c r="E587" s="388">
        <v>0</v>
      </c>
    </row>
    <row r="588" spans="1:5" x14ac:dyDescent="0.25">
      <c r="A588" t="s">
        <v>2066</v>
      </c>
      <c r="B588" t="s">
        <v>2067</v>
      </c>
      <c r="C588" t="s">
        <v>2595</v>
      </c>
      <c r="D588" s="388">
        <v>0</v>
      </c>
      <c r="E588" s="388">
        <v>0</v>
      </c>
    </row>
    <row r="589" spans="1:5" x14ac:dyDescent="0.25">
      <c r="A589" t="s">
        <v>2066</v>
      </c>
      <c r="B589" t="s">
        <v>2069</v>
      </c>
      <c r="C589" t="s">
        <v>2596</v>
      </c>
      <c r="D589" s="388">
        <v>0</v>
      </c>
      <c r="E589" s="388">
        <v>0</v>
      </c>
    </row>
    <row r="590" spans="1:5" x14ac:dyDescent="0.25">
      <c r="A590" t="s">
        <v>2066</v>
      </c>
      <c r="B590" t="s">
        <v>2071</v>
      </c>
      <c r="C590" t="s">
        <v>2597</v>
      </c>
      <c r="D590" s="388">
        <v>0</v>
      </c>
      <c r="E590" s="388">
        <v>0</v>
      </c>
    </row>
    <row r="591" spans="1:5" x14ac:dyDescent="0.25">
      <c r="A591" t="s">
        <v>2066</v>
      </c>
      <c r="B591" t="s">
        <v>2066</v>
      </c>
      <c r="C591" t="s">
        <v>2598</v>
      </c>
      <c r="D591" s="388">
        <v>0</v>
      </c>
      <c r="E591" s="388">
        <v>4157.34</v>
      </c>
    </row>
    <row r="592" spans="1:5" x14ac:dyDescent="0.25">
      <c r="A592" t="s">
        <v>1012</v>
      </c>
      <c r="B592" t="s">
        <v>1012</v>
      </c>
      <c r="C592" t="s">
        <v>2599</v>
      </c>
      <c r="D592" s="388">
        <v>0</v>
      </c>
      <c r="E592" s="388">
        <v>0</v>
      </c>
    </row>
    <row r="593" spans="1:5" x14ac:dyDescent="0.25">
      <c r="A593" t="s">
        <v>2080</v>
      </c>
      <c r="B593" t="s">
        <v>2080</v>
      </c>
      <c r="C593" t="s">
        <v>3134</v>
      </c>
      <c r="D593" s="388">
        <v>0</v>
      </c>
      <c r="E593" s="388">
        <v>0</v>
      </c>
    </row>
    <row r="594" spans="1:5" x14ac:dyDescent="0.25">
      <c r="A594" t="s">
        <v>953</v>
      </c>
      <c r="B594" t="s">
        <v>2064</v>
      </c>
      <c r="C594" t="s">
        <v>2600</v>
      </c>
      <c r="D594" s="388">
        <v>0</v>
      </c>
      <c r="E594" s="388">
        <v>0</v>
      </c>
    </row>
    <row r="595" spans="1:5" x14ac:dyDescent="0.25">
      <c r="A595" t="s">
        <v>2066</v>
      </c>
      <c r="B595" t="s">
        <v>2069</v>
      </c>
      <c r="C595" t="s">
        <v>2601</v>
      </c>
      <c r="D595" s="388">
        <v>0</v>
      </c>
      <c r="E595" s="388">
        <v>0</v>
      </c>
    </row>
    <row r="596" spans="1:5" x14ac:dyDescent="0.25">
      <c r="A596" t="s">
        <v>953</v>
      </c>
      <c r="B596" t="s">
        <v>2064</v>
      </c>
      <c r="C596" t="s">
        <v>2602</v>
      </c>
      <c r="D596" s="388">
        <v>0</v>
      </c>
      <c r="E596" s="388">
        <v>0</v>
      </c>
    </row>
    <row r="597" spans="1:5" x14ac:dyDescent="0.25">
      <c r="A597" t="s">
        <v>2066</v>
      </c>
      <c r="B597" t="s">
        <v>2067</v>
      </c>
      <c r="C597" t="s">
        <v>2603</v>
      </c>
      <c r="D597" s="388">
        <v>0</v>
      </c>
      <c r="E597" s="388">
        <v>0</v>
      </c>
    </row>
    <row r="598" spans="1:5" x14ac:dyDescent="0.25">
      <c r="A598" t="s">
        <v>2066</v>
      </c>
      <c r="B598" t="s">
        <v>2069</v>
      </c>
      <c r="C598" t="s">
        <v>2604</v>
      </c>
      <c r="D598" s="388">
        <v>0</v>
      </c>
      <c r="E598" s="388">
        <v>0</v>
      </c>
    </row>
    <row r="599" spans="1:5" x14ac:dyDescent="0.25">
      <c r="A599" t="s">
        <v>2066</v>
      </c>
      <c r="B599" t="s">
        <v>2071</v>
      </c>
      <c r="C599" t="s">
        <v>2605</v>
      </c>
      <c r="D599" s="388">
        <v>0</v>
      </c>
      <c r="E599" s="388">
        <v>0</v>
      </c>
    </row>
    <row r="600" spans="1:5" x14ac:dyDescent="0.25">
      <c r="A600" t="s">
        <v>953</v>
      </c>
      <c r="B600" t="s">
        <v>2064</v>
      </c>
      <c r="C600" t="s">
        <v>2606</v>
      </c>
      <c r="D600" s="388">
        <v>0</v>
      </c>
      <c r="E600" s="388">
        <v>0</v>
      </c>
    </row>
    <row r="601" spans="1:5" x14ac:dyDescent="0.25">
      <c r="A601" t="s">
        <v>2066</v>
      </c>
      <c r="B601" t="s">
        <v>2067</v>
      </c>
      <c r="C601" t="s">
        <v>3755</v>
      </c>
      <c r="D601" s="388">
        <v>0</v>
      </c>
      <c r="E601" s="388">
        <v>0</v>
      </c>
    </row>
    <row r="602" spans="1:5" x14ac:dyDescent="0.25">
      <c r="A602" t="s">
        <v>2066</v>
      </c>
      <c r="B602" t="s">
        <v>2069</v>
      </c>
      <c r="C602" t="s">
        <v>2607</v>
      </c>
      <c r="D602" s="388">
        <v>0</v>
      </c>
      <c r="E602" s="388">
        <v>0</v>
      </c>
    </row>
    <row r="603" spans="1:5" x14ac:dyDescent="0.25">
      <c r="A603" t="s">
        <v>953</v>
      </c>
      <c r="B603" t="s">
        <v>2064</v>
      </c>
      <c r="C603" t="s">
        <v>2608</v>
      </c>
      <c r="D603" s="388">
        <v>0</v>
      </c>
      <c r="E603" s="388">
        <v>0</v>
      </c>
    </row>
    <row r="604" spans="1:5" x14ac:dyDescent="0.25">
      <c r="A604" t="s">
        <v>2120</v>
      </c>
      <c r="B604" t="s">
        <v>2120</v>
      </c>
      <c r="C604" t="s">
        <v>2609</v>
      </c>
      <c r="D604" s="388">
        <v>0</v>
      </c>
      <c r="E604" s="388">
        <v>0</v>
      </c>
    </row>
    <row r="605" spans="1:5" x14ac:dyDescent="0.25">
      <c r="A605" t="s">
        <v>2066</v>
      </c>
      <c r="B605" t="s">
        <v>2067</v>
      </c>
      <c r="C605" t="s">
        <v>2610</v>
      </c>
      <c r="D605" s="388">
        <v>0</v>
      </c>
      <c r="E605" s="388">
        <v>0</v>
      </c>
    </row>
    <row r="606" spans="1:5" x14ac:dyDescent="0.25">
      <c r="A606" t="s">
        <v>2066</v>
      </c>
      <c r="B606" t="s">
        <v>2069</v>
      </c>
      <c r="C606" t="s">
        <v>2611</v>
      </c>
      <c r="D606" s="388">
        <v>0</v>
      </c>
      <c r="E606" s="388">
        <v>0</v>
      </c>
    </row>
    <row r="607" spans="1:5" x14ac:dyDescent="0.25">
      <c r="A607" t="s">
        <v>953</v>
      </c>
      <c r="B607" t="s">
        <v>2064</v>
      </c>
      <c r="C607" t="s">
        <v>2612</v>
      </c>
      <c r="D607" s="388">
        <v>0</v>
      </c>
      <c r="E607" s="388">
        <v>0</v>
      </c>
    </row>
    <row r="608" spans="1:5" x14ac:dyDescent="0.25">
      <c r="A608" t="s">
        <v>2066</v>
      </c>
      <c r="B608" t="s">
        <v>2067</v>
      </c>
      <c r="C608" t="s">
        <v>2613</v>
      </c>
      <c r="D608" s="388">
        <v>0</v>
      </c>
      <c r="E608" s="388">
        <v>0</v>
      </c>
    </row>
    <row r="609" spans="1:5" x14ac:dyDescent="0.25">
      <c r="A609" t="s">
        <v>2066</v>
      </c>
      <c r="B609" t="s">
        <v>2069</v>
      </c>
      <c r="C609" t="s">
        <v>2614</v>
      </c>
      <c r="D609" s="388">
        <v>0</v>
      </c>
      <c r="E609" s="388">
        <v>0</v>
      </c>
    </row>
    <row r="610" spans="1:5" x14ac:dyDescent="0.25">
      <c r="A610" t="s">
        <v>953</v>
      </c>
      <c r="B610" t="s">
        <v>2064</v>
      </c>
      <c r="C610" t="s">
        <v>2615</v>
      </c>
      <c r="D610" s="388">
        <v>0</v>
      </c>
      <c r="E610" s="388">
        <v>0</v>
      </c>
    </row>
    <row r="611" spans="1:5" x14ac:dyDescent="0.25">
      <c r="A611" t="s">
        <v>2066</v>
      </c>
      <c r="B611" t="s">
        <v>2067</v>
      </c>
      <c r="C611" t="s">
        <v>2616</v>
      </c>
      <c r="D611" s="388">
        <v>0</v>
      </c>
      <c r="E611" s="388">
        <v>0</v>
      </c>
    </row>
    <row r="612" spans="1:5" x14ac:dyDescent="0.25">
      <c r="A612" t="s">
        <v>2066</v>
      </c>
      <c r="B612" t="s">
        <v>2069</v>
      </c>
      <c r="C612" t="s">
        <v>2617</v>
      </c>
      <c r="D612" s="388">
        <v>0</v>
      </c>
      <c r="E612" s="388">
        <v>0</v>
      </c>
    </row>
    <row r="613" spans="1:5" x14ac:dyDescent="0.25">
      <c r="A613" t="s">
        <v>2066</v>
      </c>
      <c r="B613" t="s">
        <v>2071</v>
      </c>
      <c r="C613" t="s">
        <v>2618</v>
      </c>
      <c r="D613" s="388">
        <v>0</v>
      </c>
      <c r="E613" s="388">
        <v>0</v>
      </c>
    </row>
    <row r="614" spans="1:5" x14ac:dyDescent="0.25">
      <c r="A614" t="s">
        <v>953</v>
      </c>
      <c r="B614" t="s">
        <v>2064</v>
      </c>
      <c r="C614" t="s">
        <v>2619</v>
      </c>
      <c r="D614" s="388">
        <v>0</v>
      </c>
      <c r="E614" s="388">
        <v>0</v>
      </c>
    </row>
    <row r="615" spans="1:5" x14ac:dyDescent="0.25">
      <c r="A615" t="s">
        <v>2066</v>
      </c>
      <c r="B615" t="s">
        <v>2067</v>
      </c>
      <c r="C615" t="s">
        <v>2620</v>
      </c>
      <c r="D615" s="388">
        <v>0</v>
      </c>
      <c r="E615" s="388">
        <v>0</v>
      </c>
    </row>
    <row r="616" spans="1:5" x14ac:dyDescent="0.25">
      <c r="A616" t="s">
        <v>2066</v>
      </c>
      <c r="B616" t="s">
        <v>2069</v>
      </c>
      <c r="C616" t="s">
        <v>2621</v>
      </c>
      <c r="D616" s="388">
        <v>0</v>
      </c>
      <c r="E616" s="388">
        <v>0</v>
      </c>
    </row>
    <row r="617" spans="1:5" x14ac:dyDescent="0.25">
      <c r="A617" t="s">
        <v>953</v>
      </c>
      <c r="B617" t="s">
        <v>2064</v>
      </c>
      <c r="C617" t="s">
        <v>2622</v>
      </c>
      <c r="D617" s="388">
        <v>0</v>
      </c>
      <c r="E617" s="388">
        <v>0</v>
      </c>
    </row>
    <row r="618" spans="1:5" x14ac:dyDescent="0.25">
      <c r="A618" t="s">
        <v>2066</v>
      </c>
      <c r="B618" t="s">
        <v>2067</v>
      </c>
      <c r="C618" t="s">
        <v>2623</v>
      </c>
      <c r="D618" s="388">
        <v>0</v>
      </c>
      <c r="E618" s="388">
        <v>0</v>
      </c>
    </row>
    <row r="619" spans="1:5" x14ac:dyDescent="0.25">
      <c r="A619" t="s">
        <v>2066</v>
      </c>
      <c r="B619" t="s">
        <v>2069</v>
      </c>
      <c r="C619" t="s">
        <v>2624</v>
      </c>
      <c r="D619" s="388">
        <v>0</v>
      </c>
      <c r="E619" s="388">
        <v>0</v>
      </c>
    </row>
    <row r="620" spans="1:5" x14ac:dyDescent="0.25">
      <c r="A620" t="s">
        <v>1012</v>
      </c>
      <c r="B620" t="s">
        <v>1012</v>
      </c>
      <c r="C620" t="s">
        <v>3089</v>
      </c>
      <c r="D620" s="388">
        <v>0</v>
      </c>
      <c r="E620" s="388">
        <v>-8614</v>
      </c>
    </row>
    <row r="621" spans="1:5" x14ac:dyDescent="0.25">
      <c r="A621" t="s">
        <v>1012</v>
      </c>
      <c r="B621" t="s">
        <v>1012</v>
      </c>
      <c r="C621" t="s">
        <v>2625</v>
      </c>
      <c r="D621" s="388">
        <v>0</v>
      </c>
      <c r="E621" s="388">
        <v>0</v>
      </c>
    </row>
    <row r="622" spans="1:5" x14ac:dyDescent="0.25">
      <c r="A622" t="s">
        <v>2080</v>
      </c>
      <c r="B622" t="s">
        <v>2080</v>
      </c>
      <c r="C622" t="s">
        <v>2626</v>
      </c>
      <c r="D622" s="388">
        <v>0</v>
      </c>
      <c r="E622" s="388">
        <v>0</v>
      </c>
    </row>
    <row r="623" spans="1:5" x14ac:dyDescent="0.25">
      <c r="A623" t="s">
        <v>1012</v>
      </c>
      <c r="B623" t="s">
        <v>1012</v>
      </c>
      <c r="C623" t="s">
        <v>2627</v>
      </c>
      <c r="D623" s="388">
        <v>0</v>
      </c>
      <c r="E623" s="388">
        <v>0</v>
      </c>
    </row>
    <row r="624" spans="1:5" x14ac:dyDescent="0.25">
      <c r="A624" t="s">
        <v>2281</v>
      </c>
      <c r="B624" t="s">
        <v>2282</v>
      </c>
      <c r="C624" t="s">
        <v>2628</v>
      </c>
      <c r="D624" s="388">
        <v>0</v>
      </c>
      <c r="E624" s="388">
        <v>0</v>
      </c>
    </row>
    <row r="625" spans="1:5" x14ac:dyDescent="0.25">
      <c r="A625" t="s">
        <v>953</v>
      </c>
      <c r="B625" t="s">
        <v>2064</v>
      </c>
      <c r="C625" t="s">
        <v>2629</v>
      </c>
      <c r="D625" s="388">
        <v>-275580.03000000003</v>
      </c>
      <c r="E625" s="388">
        <v>-368784.03</v>
      </c>
    </row>
    <row r="626" spans="1:5" x14ac:dyDescent="0.25">
      <c r="A626" t="s">
        <v>953</v>
      </c>
      <c r="B626" t="s">
        <v>2064</v>
      </c>
      <c r="C626" t="s">
        <v>2630</v>
      </c>
      <c r="D626" s="388">
        <v>-32400</v>
      </c>
      <c r="E626" s="388">
        <v>-32400</v>
      </c>
    </row>
    <row r="627" spans="1:5" x14ac:dyDescent="0.25">
      <c r="A627" t="s">
        <v>2045</v>
      </c>
      <c r="B627" t="s">
        <v>2045</v>
      </c>
      <c r="C627" t="s">
        <v>2631</v>
      </c>
      <c r="D627" s="388">
        <v>0</v>
      </c>
      <c r="E627" s="388">
        <v>0</v>
      </c>
    </row>
    <row r="628" spans="1:5" x14ac:dyDescent="0.25">
      <c r="A628" t="s">
        <v>2080</v>
      </c>
      <c r="B628" t="s">
        <v>2080</v>
      </c>
      <c r="C628" t="s">
        <v>2632</v>
      </c>
      <c r="D628" s="388">
        <v>0</v>
      </c>
      <c r="E628" s="388">
        <v>0</v>
      </c>
    </row>
    <row r="629" spans="1:5" x14ac:dyDescent="0.25">
      <c r="A629" t="s">
        <v>2080</v>
      </c>
      <c r="B629" t="s">
        <v>2080</v>
      </c>
      <c r="C629" t="s">
        <v>2633</v>
      </c>
      <c r="D629" s="388">
        <v>0</v>
      </c>
      <c r="E629" s="388">
        <v>0</v>
      </c>
    </row>
    <row r="630" spans="1:5" x14ac:dyDescent="0.25">
      <c r="A630" t="s">
        <v>1012</v>
      </c>
      <c r="B630" t="s">
        <v>1012</v>
      </c>
      <c r="C630" t="s">
        <v>2634</v>
      </c>
      <c r="D630" s="388">
        <v>0</v>
      </c>
      <c r="E630" s="388">
        <v>0</v>
      </c>
    </row>
    <row r="631" spans="1:5" x14ac:dyDescent="0.25">
      <c r="A631" t="s">
        <v>2080</v>
      </c>
      <c r="B631" t="s">
        <v>2080</v>
      </c>
      <c r="C631" t="s">
        <v>3135</v>
      </c>
      <c r="D631" s="388">
        <v>0</v>
      </c>
      <c r="E631" s="388">
        <v>0</v>
      </c>
    </row>
    <row r="632" spans="1:5" x14ac:dyDescent="0.25">
      <c r="A632" t="s">
        <v>2066</v>
      </c>
      <c r="B632" t="s">
        <v>2066</v>
      </c>
      <c r="C632" t="s">
        <v>2635</v>
      </c>
      <c r="D632" s="388">
        <v>0</v>
      </c>
      <c r="E632" s="388">
        <v>0</v>
      </c>
    </row>
    <row r="633" spans="1:5" x14ac:dyDescent="0.25">
      <c r="A633" t="s">
        <v>1013</v>
      </c>
      <c r="B633" t="s">
        <v>2636</v>
      </c>
      <c r="C633" t="s">
        <v>2637</v>
      </c>
      <c r="D633" s="388">
        <v>0</v>
      </c>
      <c r="E633" s="388">
        <v>0</v>
      </c>
    </row>
    <row r="634" spans="1:5" x14ac:dyDescent="0.25">
      <c r="A634" t="s">
        <v>1013</v>
      </c>
      <c r="B634" t="s">
        <v>1013</v>
      </c>
      <c r="C634" t="s">
        <v>2638</v>
      </c>
      <c r="D634" s="388">
        <v>62932.92</v>
      </c>
      <c r="E634" s="388">
        <v>0</v>
      </c>
    </row>
    <row r="635" spans="1:5" x14ac:dyDescent="0.25">
      <c r="A635" t="s">
        <v>1013</v>
      </c>
      <c r="B635" t="s">
        <v>2636</v>
      </c>
      <c r="C635" t="s">
        <v>2639</v>
      </c>
      <c r="D635" s="388">
        <v>0</v>
      </c>
      <c r="E635" s="388">
        <v>0</v>
      </c>
    </row>
    <row r="636" spans="1:5" x14ac:dyDescent="0.25">
      <c r="A636" t="s">
        <v>1013</v>
      </c>
      <c r="B636" t="s">
        <v>2636</v>
      </c>
      <c r="C636" t="s">
        <v>2640</v>
      </c>
      <c r="D636" s="388">
        <v>6000</v>
      </c>
      <c r="E636" s="388">
        <v>17473.25</v>
      </c>
    </row>
    <row r="637" spans="1:5" x14ac:dyDescent="0.25">
      <c r="A637" t="s">
        <v>1013</v>
      </c>
      <c r="B637" t="s">
        <v>2636</v>
      </c>
      <c r="C637" t="s">
        <v>2641</v>
      </c>
      <c r="D637" s="388">
        <v>141290</v>
      </c>
      <c r="E637" s="388">
        <v>171083.84</v>
      </c>
    </row>
    <row r="638" spans="1:5" x14ac:dyDescent="0.25">
      <c r="A638" t="s">
        <v>1013</v>
      </c>
      <c r="B638" t="s">
        <v>2636</v>
      </c>
      <c r="C638" t="s">
        <v>2642</v>
      </c>
      <c r="D638" s="388">
        <v>0</v>
      </c>
      <c r="E638" s="388">
        <v>104698.19</v>
      </c>
    </row>
    <row r="639" spans="1:5" x14ac:dyDescent="0.25">
      <c r="A639" t="s">
        <v>1013</v>
      </c>
      <c r="B639" t="s">
        <v>1013</v>
      </c>
      <c r="C639" t="s">
        <v>2636</v>
      </c>
      <c r="D639" s="388">
        <v>0</v>
      </c>
      <c r="E639" s="388">
        <v>28284.92</v>
      </c>
    </row>
    <row r="640" spans="1:5" x14ac:dyDescent="0.25">
      <c r="A640" t="s">
        <v>1013</v>
      </c>
      <c r="B640" t="s">
        <v>1013</v>
      </c>
      <c r="C640" t="s">
        <v>2643</v>
      </c>
      <c r="D640" s="388">
        <v>0</v>
      </c>
      <c r="E640" s="388">
        <v>0</v>
      </c>
    </row>
    <row r="641" spans="1:5" x14ac:dyDescent="0.25">
      <c r="A641" t="s">
        <v>1013</v>
      </c>
      <c r="B641" t="s">
        <v>2636</v>
      </c>
      <c r="C641" t="s">
        <v>2644</v>
      </c>
      <c r="D641" s="388">
        <v>22057.88</v>
      </c>
      <c r="E641" s="388">
        <v>26450.81</v>
      </c>
    </row>
    <row r="642" spans="1:5" x14ac:dyDescent="0.25">
      <c r="A642" t="s">
        <v>1013</v>
      </c>
      <c r="B642" t="s">
        <v>1013</v>
      </c>
      <c r="C642" t="s">
        <v>3622</v>
      </c>
      <c r="D642" s="388">
        <v>0</v>
      </c>
      <c r="E642" s="388">
        <v>1427950.19</v>
      </c>
    </row>
    <row r="643" spans="1:5" x14ac:dyDescent="0.25">
      <c r="A643" t="s">
        <v>1013</v>
      </c>
      <c r="B643" t="s">
        <v>2636</v>
      </c>
      <c r="C643" t="s">
        <v>2645</v>
      </c>
      <c r="D643" s="388">
        <v>1951.16</v>
      </c>
      <c r="E643" s="388">
        <v>9937.27</v>
      </c>
    </row>
    <row r="644" spans="1:5" x14ac:dyDescent="0.25">
      <c r="A644" t="s">
        <v>1013</v>
      </c>
      <c r="B644" t="s">
        <v>2636</v>
      </c>
      <c r="C644" t="s">
        <v>2646</v>
      </c>
      <c r="D644" s="388">
        <v>0</v>
      </c>
      <c r="E644" s="388">
        <v>0</v>
      </c>
    </row>
    <row r="645" spans="1:5" x14ac:dyDescent="0.25">
      <c r="A645" t="s">
        <v>1013</v>
      </c>
      <c r="B645" t="s">
        <v>1013</v>
      </c>
      <c r="C645" t="s">
        <v>3739</v>
      </c>
      <c r="D645" s="388">
        <v>0</v>
      </c>
      <c r="E645" s="388">
        <v>693000</v>
      </c>
    </row>
    <row r="646" spans="1:5" x14ac:dyDescent="0.25">
      <c r="A646" t="s">
        <v>1013</v>
      </c>
      <c r="B646" t="s">
        <v>2636</v>
      </c>
      <c r="C646" t="s">
        <v>2647</v>
      </c>
      <c r="D646" s="388">
        <v>220554.92</v>
      </c>
      <c r="E646" s="388">
        <v>-107343.2</v>
      </c>
    </row>
    <row r="647" spans="1:5" x14ac:dyDescent="0.25">
      <c r="A647" t="s">
        <v>1013</v>
      </c>
      <c r="B647" t="s">
        <v>2636</v>
      </c>
      <c r="C647" t="s">
        <v>2648</v>
      </c>
      <c r="D647" s="388">
        <v>99675.199999999997</v>
      </c>
      <c r="E647" s="388">
        <v>107343.2</v>
      </c>
    </row>
    <row r="648" spans="1:5" x14ac:dyDescent="0.25">
      <c r="A648" t="s">
        <v>1013</v>
      </c>
      <c r="B648" t="s">
        <v>2636</v>
      </c>
      <c r="C648" t="s">
        <v>2649</v>
      </c>
      <c r="D648" s="388">
        <v>10014</v>
      </c>
      <c r="E648" s="388">
        <v>0</v>
      </c>
    </row>
    <row r="649" spans="1:5" x14ac:dyDescent="0.25">
      <c r="A649" t="s">
        <v>1013</v>
      </c>
      <c r="B649" t="s">
        <v>2636</v>
      </c>
      <c r="C649" t="s">
        <v>2650</v>
      </c>
      <c r="D649" s="388">
        <v>0</v>
      </c>
      <c r="E649" s="388">
        <v>0</v>
      </c>
    </row>
    <row r="650" spans="1:5" x14ac:dyDescent="0.25">
      <c r="A650" t="s">
        <v>2128</v>
      </c>
      <c r="B650" t="s">
        <v>2129</v>
      </c>
      <c r="C650" t="s">
        <v>2651</v>
      </c>
      <c r="D650" s="388">
        <v>683</v>
      </c>
      <c r="E650" s="388">
        <v>683</v>
      </c>
    </row>
    <row r="651" spans="1:5" x14ac:dyDescent="0.25">
      <c r="A651" t="s">
        <v>2066</v>
      </c>
      <c r="B651" t="s">
        <v>2066</v>
      </c>
      <c r="C651" t="s">
        <v>2652</v>
      </c>
      <c r="D651" s="388">
        <v>0</v>
      </c>
      <c r="E651" s="388">
        <v>0</v>
      </c>
    </row>
    <row r="652" spans="1:5" x14ac:dyDescent="0.25">
      <c r="A652" t="s">
        <v>953</v>
      </c>
      <c r="B652" t="s">
        <v>2112</v>
      </c>
      <c r="C652" t="s">
        <v>3090</v>
      </c>
      <c r="D652" s="388">
        <v>0</v>
      </c>
      <c r="E652" s="388">
        <v>0</v>
      </c>
    </row>
    <row r="653" spans="1:5" x14ac:dyDescent="0.25">
      <c r="A653" t="s">
        <v>2281</v>
      </c>
      <c r="B653" t="s">
        <v>2282</v>
      </c>
      <c r="C653" t="s">
        <v>2653</v>
      </c>
      <c r="D653" s="388">
        <v>0</v>
      </c>
      <c r="E653" s="388">
        <v>0</v>
      </c>
    </row>
    <row r="654" spans="1:5" x14ac:dyDescent="0.25">
      <c r="A654" t="s">
        <v>2066</v>
      </c>
      <c r="B654" t="s">
        <v>2066</v>
      </c>
      <c r="C654" t="s">
        <v>2654</v>
      </c>
      <c r="D654" s="388">
        <v>0</v>
      </c>
      <c r="E654" s="388">
        <v>0</v>
      </c>
    </row>
    <row r="655" spans="1:5" x14ac:dyDescent="0.25">
      <c r="A655" t="s">
        <v>2066</v>
      </c>
      <c r="B655" t="s">
        <v>2066</v>
      </c>
      <c r="C655" t="s">
        <v>2655</v>
      </c>
      <c r="D655" s="388">
        <v>0</v>
      </c>
      <c r="E655" s="388">
        <v>0</v>
      </c>
    </row>
    <row r="656" spans="1:5" x14ac:dyDescent="0.25">
      <c r="A656" t="s">
        <v>2045</v>
      </c>
      <c r="B656" t="s">
        <v>2045</v>
      </c>
      <c r="C656" t="s">
        <v>2656</v>
      </c>
      <c r="D656" s="388">
        <v>-19050</v>
      </c>
      <c r="E656" s="388">
        <v>-4700</v>
      </c>
    </row>
    <row r="657" spans="1:5" x14ac:dyDescent="0.25">
      <c r="A657" t="s">
        <v>2066</v>
      </c>
      <c r="B657" t="s">
        <v>2066</v>
      </c>
      <c r="C657" t="s">
        <v>2657</v>
      </c>
      <c r="D657" s="388">
        <v>0</v>
      </c>
      <c r="E657" s="388">
        <v>1756794</v>
      </c>
    </row>
    <row r="658" spans="1:5" x14ac:dyDescent="0.25">
      <c r="A658" t="s">
        <v>2066</v>
      </c>
      <c r="B658" t="s">
        <v>2066</v>
      </c>
      <c r="C658" t="s">
        <v>2658</v>
      </c>
      <c r="D658" s="388">
        <v>0</v>
      </c>
      <c r="E658" s="388">
        <v>11250.9</v>
      </c>
    </row>
    <row r="659" spans="1:5" x14ac:dyDescent="0.25">
      <c r="A659" t="s">
        <v>1125</v>
      </c>
      <c r="B659" t="s">
        <v>1014</v>
      </c>
      <c r="C659" t="s">
        <v>733</v>
      </c>
      <c r="D659" s="388">
        <v>-80874157.920000002</v>
      </c>
      <c r="E659" s="388">
        <v>-112664283.72</v>
      </c>
    </row>
    <row r="660" spans="1:5" x14ac:dyDescent="0.25">
      <c r="A660" t="s">
        <v>2281</v>
      </c>
      <c r="B660" t="s">
        <v>2282</v>
      </c>
      <c r="C660" t="s">
        <v>2659</v>
      </c>
      <c r="D660" s="388">
        <v>0</v>
      </c>
      <c r="E660" s="388">
        <v>0</v>
      </c>
    </row>
    <row r="661" spans="1:5" x14ac:dyDescent="0.25">
      <c r="A661" t="s">
        <v>953</v>
      </c>
      <c r="B661" t="s">
        <v>2659</v>
      </c>
      <c r="C661" t="s">
        <v>2660</v>
      </c>
      <c r="D661" s="388">
        <v>0</v>
      </c>
      <c r="E661" s="388">
        <v>0</v>
      </c>
    </row>
    <row r="662" spans="1:5" x14ac:dyDescent="0.25">
      <c r="A662" t="s">
        <v>953</v>
      </c>
      <c r="B662" t="s">
        <v>2659</v>
      </c>
      <c r="C662" t="s">
        <v>2661</v>
      </c>
      <c r="D662" s="388">
        <v>-1189109</v>
      </c>
      <c r="E662" s="388">
        <v>-1409952.56</v>
      </c>
    </row>
    <row r="663" spans="1:5" x14ac:dyDescent="0.25">
      <c r="A663" t="s">
        <v>959</v>
      </c>
      <c r="B663" t="s">
        <v>959</v>
      </c>
      <c r="C663" t="s">
        <v>1336</v>
      </c>
      <c r="D663" s="388">
        <v>0</v>
      </c>
      <c r="E663" s="388">
        <v>-188234</v>
      </c>
    </row>
    <row r="664" spans="1:5" x14ac:dyDescent="0.25">
      <c r="A664" t="s">
        <v>959</v>
      </c>
      <c r="B664" t="s">
        <v>959</v>
      </c>
      <c r="C664" t="s">
        <v>3091</v>
      </c>
      <c r="D664" s="388">
        <v>0</v>
      </c>
      <c r="E664" s="388">
        <v>-168600</v>
      </c>
    </row>
    <row r="665" spans="1:5" x14ac:dyDescent="0.25">
      <c r="A665" t="s">
        <v>959</v>
      </c>
      <c r="B665" t="s">
        <v>959</v>
      </c>
      <c r="C665" t="s">
        <v>3092</v>
      </c>
      <c r="D665" s="388">
        <v>0</v>
      </c>
      <c r="E665" s="388">
        <v>-393400</v>
      </c>
    </row>
    <row r="666" spans="1:5" x14ac:dyDescent="0.25">
      <c r="A666" t="s">
        <v>959</v>
      </c>
      <c r="B666" t="s">
        <v>959</v>
      </c>
      <c r="C666" t="s">
        <v>3093</v>
      </c>
      <c r="D666" s="388">
        <v>0</v>
      </c>
      <c r="E666" s="388">
        <v>-3343429</v>
      </c>
    </row>
    <row r="667" spans="1:5" x14ac:dyDescent="0.25">
      <c r="A667" t="s">
        <v>2128</v>
      </c>
      <c r="B667" t="s">
        <v>2128</v>
      </c>
      <c r="C667" t="s">
        <v>2662</v>
      </c>
      <c r="D667" s="388">
        <v>0</v>
      </c>
      <c r="E667" s="388">
        <v>0</v>
      </c>
    </row>
    <row r="668" spans="1:5" x14ac:dyDescent="0.25">
      <c r="A668" t="s">
        <v>959</v>
      </c>
      <c r="B668" t="s">
        <v>959</v>
      </c>
      <c r="C668" t="s">
        <v>2663</v>
      </c>
      <c r="D668" s="388">
        <v>0</v>
      </c>
      <c r="E668" s="388">
        <v>0</v>
      </c>
    </row>
    <row r="669" spans="1:5" x14ac:dyDescent="0.25">
      <c r="A669" t="s">
        <v>959</v>
      </c>
      <c r="B669" t="s">
        <v>959</v>
      </c>
      <c r="C669" t="s">
        <v>3629</v>
      </c>
      <c r="D669" s="388">
        <v>0</v>
      </c>
      <c r="E669" s="388">
        <v>-248909.08</v>
      </c>
    </row>
    <row r="670" spans="1:5" x14ac:dyDescent="0.25">
      <c r="A670" t="s">
        <v>959</v>
      </c>
      <c r="B670" t="s">
        <v>959</v>
      </c>
      <c r="C670" t="s">
        <v>2664</v>
      </c>
      <c r="D670" s="388">
        <v>0</v>
      </c>
      <c r="E670" s="388">
        <v>0</v>
      </c>
    </row>
    <row r="671" spans="1:5" x14ac:dyDescent="0.25">
      <c r="A671" t="s">
        <v>959</v>
      </c>
      <c r="B671" t="s">
        <v>959</v>
      </c>
      <c r="C671" t="s">
        <v>2665</v>
      </c>
      <c r="D671" s="388">
        <v>0</v>
      </c>
      <c r="E671" s="388">
        <v>0</v>
      </c>
    </row>
    <row r="672" spans="1:5" x14ac:dyDescent="0.25">
      <c r="A672" t="s">
        <v>2281</v>
      </c>
      <c r="B672" t="s">
        <v>2573</v>
      </c>
      <c r="C672" t="s">
        <v>3631</v>
      </c>
      <c r="D672" s="388">
        <v>0</v>
      </c>
      <c r="E672" s="388">
        <v>4193844.82</v>
      </c>
    </row>
    <row r="673" spans="1:5" x14ac:dyDescent="0.25">
      <c r="A673" t="s">
        <v>2281</v>
      </c>
      <c r="B673" t="s">
        <v>2282</v>
      </c>
      <c r="C673" t="s">
        <v>3630</v>
      </c>
      <c r="D673" s="388">
        <v>0</v>
      </c>
      <c r="E673" s="388">
        <v>-4193844.82</v>
      </c>
    </row>
    <row r="674" spans="1:5" x14ac:dyDescent="0.25">
      <c r="A674" t="s">
        <v>959</v>
      </c>
      <c r="B674" t="s">
        <v>959</v>
      </c>
      <c r="C674" t="s">
        <v>2666</v>
      </c>
      <c r="D674" s="388">
        <v>0</v>
      </c>
      <c r="E674" s="388">
        <v>0</v>
      </c>
    </row>
    <row r="675" spans="1:5" x14ac:dyDescent="0.25">
      <c r="A675" t="s">
        <v>959</v>
      </c>
      <c r="B675" t="s">
        <v>959</v>
      </c>
      <c r="C675" t="s">
        <v>2667</v>
      </c>
      <c r="D675" s="388">
        <v>-6815666</v>
      </c>
      <c r="E675" s="388">
        <v>0</v>
      </c>
    </row>
    <row r="676" spans="1:5" x14ac:dyDescent="0.25">
      <c r="A676" t="s">
        <v>959</v>
      </c>
      <c r="B676" t="s">
        <v>959</v>
      </c>
      <c r="C676" t="s">
        <v>2668</v>
      </c>
      <c r="D676" s="388">
        <v>-8000000</v>
      </c>
      <c r="E676" s="388">
        <v>0</v>
      </c>
    </row>
    <row r="677" spans="1:5" x14ac:dyDescent="0.25">
      <c r="A677" t="s">
        <v>959</v>
      </c>
      <c r="B677" t="s">
        <v>959</v>
      </c>
      <c r="C677" t="s">
        <v>3095</v>
      </c>
      <c r="D677" s="388">
        <v>0</v>
      </c>
      <c r="E677" s="388">
        <v>-10710237.35</v>
      </c>
    </row>
    <row r="678" spans="1:5" x14ac:dyDescent="0.25">
      <c r="A678" t="s">
        <v>959</v>
      </c>
      <c r="B678" t="s">
        <v>959</v>
      </c>
      <c r="C678" t="s">
        <v>3756</v>
      </c>
      <c r="D678" s="388">
        <v>0</v>
      </c>
      <c r="E678" s="388">
        <v>0</v>
      </c>
    </row>
    <row r="679" spans="1:5" x14ac:dyDescent="0.25">
      <c r="A679" t="s">
        <v>1012</v>
      </c>
      <c r="B679" t="s">
        <v>2216</v>
      </c>
      <c r="C679" t="s">
        <v>3136</v>
      </c>
      <c r="D679" s="388">
        <v>0</v>
      </c>
      <c r="E679" s="388">
        <v>0</v>
      </c>
    </row>
    <row r="680" spans="1:5" x14ac:dyDescent="0.25">
      <c r="A680" t="s">
        <v>1012</v>
      </c>
      <c r="B680" t="s">
        <v>2216</v>
      </c>
      <c r="C680" t="s">
        <v>2669</v>
      </c>
      <c r="D680" s="388">
        <v>0</v>
      </c>
      <c r="E680" s="388">
        <v>0</v>
      </c>
    </row>
    <row r="681" spans="1:5" x14ac:dyDescent="0.25">
      <c r="A681" t="s">
        <v>2670</v>
      </c>
      <c r="B681" t="s">
        <v>2670</v>
      </c>
      <c r="C681" t="s">
        <v>2671</v>
      </c>
      <c r="D681" s="388">
        <v>0</v>
      </c>
      <c r="E681" s="388">
        <v>-6480</v>
      </c>
    </row>
    <row r="682" spans="1:5" x14ac:dyDescent="0.25">
      <c r="A682" t="s">
        <v>2670</v>
      </c>
      <c r="B682" t="s">
        <v>2670</v>
      </c>
      <c r="C682" t="s">
        <v>2672</v>
      </c>
      <c r="D682" s="388">
        <v>0</v>
      </c>
      <c r="E682" s="388">
        <v>0</v>
      </c>
    </row>
    <row r="683" spans="1:5" x14ac:dyDescent="0.25">
      <c r="A683" t="s">
        <v>2670</v>
      </c>
      <c r="B683" t="s">
        <v>2673</v>
      </c>
      <c r="C683" t="s">
        <v>2674</v>
      </c>
      <c r="D683" s="388">
        <v>0</v>
      </c>
      <c r="E683" s="388">
        <v>0</v>
      </c>
    </row>
    <row r="684" spans="1:5" x14ac:dyDescent="0.25">
      <c r="A684" t="s">
        <v>2670</v>
      </c>
      <c r="B684" t="s">
        <v>2675</v>
      </c>
      <c r="C684" t="s">
        <v>2676</v>
      </c>
      <c r="D684" s="388">
        <v>0</v>
      </c>
      <c r="E684" s="388">
        <v>29044895.48</v>
      </c>
    </row>
    <row r="685" spans="1:5" x14ac:dyDescent="0.25">
      <c r="A685" t="s">
        <v>2670</v>
      </c>
      <c r="B685" t="s">
        <v>2673</v>
      </c>
      <c r="C685" t="s">
        <v>2677</v>
      </c>
      <c r="D685" s="388">
        <v>0</v>
      </c>
      <c r="E685" s="388">
        <v>27906153.670000002</v>
      </c>
    </row>
    <row r="686" spans="1:5" x14ac:dyDescent="0.25">
      <c r="A686" t="s">
        <v>2670</v>
      </c>
      <c r="B686" t="s">
        <v>2675</v>
      </c>
      <c r="C686" t="s">
        <v>2678</v>
      </c>
      <c r="D686" s="388">
        <v>0</v>
      </c>
      <c r="E686" s="388">
        <v>61916431.469999999</v>
      </c>
    </row>
    <row r="687" spans="1:5" x14ac:dyDescent="0.25">
      <c r="A687" t="s">
        <v>2670</v>
      </c>
      <c r="B687" t="s">
        <v>2673</v>
      </c>
      <c r="C687" t="s">
        <v>2679</v>
      </c>
      <c r="D687" s="388">
        <v>0</v>
      </c>
      <c r="E687" s="388">
        <v>0</v>
      </c>
    </row>
    <row r="688" spans="1:5" x14ac:dyDescent="0.25">
      <c r="A688" t="s">
        <v>2670</v>
      </c>
      <c r="B688" t="s">
        <v>2670</v>
      </c>
      <c r="C688" t="s">
        <v>2680</v>
      </c>
      <c r="D688" s="388">
        <v>0</v>
      </c>
      <c r="E688" s="388">
        <v>2864.25</v>
      </c>
    </row>
    <row r="689" spans="1:5" x14ac:dyDescent="0.25">
      <c r="A689" t="s">
        <v>2670</v>
      </c>
      <c r="B689" t="s">
        <v>2673</v>
      </c>
      <c r="C689" t="s">
        <v>2681</v>
      </c>
      <c r="D689" s="388">
        <v>0</v>
      </c>
      <c r="E689" s="388">
        <v>133433069.66</v>
      </c>
    </row>
    <row r="690" spans="1:5" x14ac:dyDescent="0.25">
      <c r="A690" t="s">
        <v>2670</v>
      </c>
      <c r="B690" t="s">
        <v>2675</v>
      </c>
      <c r="C690" t="s">
        <v>2682</v>
      </c>
      <c r="D690" s="388">
        <v>0</v>
      </c>
      <c r="E690" s="388">
        <v>6585007.5999999996</v>
      </c>
    </row>
    <row r="691" spans="1:5" x14ac:dyDescent="0.25">
      <c r="A691" t="s">
        <v>2670</v>
      </c>
      <c r="B691" t="s">
        <v>2673</v>
      </c>
      <c r="C691" t="s">
        <v>2683</v>
      </c>
      <c r="D691" s="388">
        <v>0</v>
      </c>
      <c r="E691" s="388">
        <v>180550</v>
      </c>
    </row>
    <row r="692" spans="1:5" x14ac:dyDescent="0.25">
      <c r="A692" t="s">
        <v>2670</v>
      </c>
      <c r="B692" t="s">
        <v>2673</v>
      </c>
      <c r="C692" t="s">
        <v>2684</v>
      </c>
      <c r="D692" s="388">
        <v>0</v>
      </c>
      <c r="E692" s="388">
        <v>0</v>
      </c>
    </row>
    <row r="693" spans="1:5" x14ac:dyDescent="0.25">
      <c r="A693" t="s">
        <v>2670</v>
      </c>
      <c r="B693" t="s">
        <v>2675</v>
      </c>
      <c r="C693" t="s">
        <v>2685</v>
      </c>
      <c r="D693" s="388">
        <v>0</v>
      </c>
      <c r="E693" s="388">
        <v>0</v>
      </c>
    </row>
    <row r="694" spans="1:5" x14ac:dyDescent="0.25">
      <c r="A694" t="s">
        <v>1012</v>
      </c>
      <c r="B694" t="s">
        <v>1012</v>
      </c>
      <c r="C694" t="s">
        <v>2686</v>
      </c>
      <c r="D694" s="388">
        <v>0</v>
      </c>
      <c r="E694" s="388">
        <v>0</v>
      </c>
    </row>
    <row r="695" spans="1:5" x14ac:dyDescent="0.25">
      <c r="A695" t="s">
        <v>953</v>
      </c>
      <c r="B695" t="s">
        <v>2064</v>
      </c>
      <c r="C695" t="s">
        <v>2687</v>
      </c>
      <c r="D695" s="388">
        <v>0</v>
      </c>
      <c r="E695" s="388">
        <v>0</v>
      </c>
    </row>
    <row r="696" spans="1:5" x14ac:dyDescent="0.25">
      <c r="A696" t="s">
        <v>2066</v>
      </c>
      <c r="B696" t="s">
        <v>2069</v>
      </c>
      <c r="C696" t="s">
        <v>2688</v>
      </c>
      <c r="D696" s="388">
        <v>0</v>
      </c>
      <c r="E696" s="388">
        <v>0</v>
      </c>
    </row>
    <row r="697" spans="1:5" x14ac:dyDescent="0.25">
      <c r="A697" t="s">
        <v>953</v>
      </c>
      <c r="B697" t="s">
        <v>2064</v>
      </c>
      <c r="C697" t="s">
        <v>2689</v>
      </c>
      <c r="D697" s="388">
        <v>0</v>
      </c>
      <c r="E697" s="388">
        <v>0</v>
      </c>
    </row>
    <row r="698" spans="1:5" x14ac:dyDescent="0.25">
      <c r="A698" t="s">
        <v>2066</v>
      </c>
      <c r="B698" t="s">
        <v>2069</v>
      </c>
      <c r="C698" t="s">
        <v>2690</v>
      </c>
      <c r="D698" s="388">
        <v>0</v>
      </c>
      <c r="E698" s="388">
        <v>0</v>
      </c>
    </row>
    <row r="699" spans="1:5" x14ac:dyDescent="0.25">
      <c r="A699" t="s">
        <v>953</v>
      </c>
      <c r="B699" t="s">
        <v>2064</v>
      </c>
      <c r="C699" t="s">
        <v>2691</v>
      </c>
      <c r="D699" s="388">
        <v>0</v>
      </c>
      <c r="E699" s="388">
        <v>0</v>
      </c>
    </row>
    <row r="700" spans="1:5" x14ac:dyDescent="0.25">
      <c r="A700" t="s">
        <v>2066</v>
      </c>
      <c r="B700" t="s">
        <v>2067</v>
      </c>
      <c r="C700" t="s">
        <v>2692</v>
      </c>
      <c r="D700" s="388">
        <v>0</v>
      </c>
      <c r="E700" s="388">
        <v>0</v>
      </c>
    </row>
    <row r="701" spans="1:5" x14ac:dyDescent="0.25">
      <c r="A701" t="s">
        <v>2066</v>
      </c>
      <c r="B701" t="s">
        <v>2069</v>
      </c>
      <c r="C701" t="s">
        <v>2693</v>
      </c>
      <c r="D701" s="388">
        <v>0</v>
      </c>
      <c r="E701" s="388">
        <v>0</v>
      </c>
    </row>
    <row r="702" spans="1:5" x14ac:dyDescent="0.25">
      <c r="A702" t="s">
        <v>953</v>
      </c>
      <c r="B702" t="s">
        <v>2064</v>
      </c>
      <c r="C702" t="s">
        <v>3137</v>
      </c>
      <c r="D702" s="388">
        <v>0</v>
      </c>
      <c r="E702" s="388">
        <v>0</v>
      </c>
    </row>
    <row r="703" spans="1:5" x14ac:dyDescent="0.25">
      <c r="A703" t="s">
        <v>2066</v>
      </c>
      <c r="B703" t="s">
        <v>2069</v>
      </c>
      <c r="C703" t="s">
        <v>3138</v>
      </c>
      <c r="D703" s="388">
        <v>0</v>
      </c>
      <c r="E703" s="388">
        <v>0</v>
      </c>
    </row>
    <row r="704" spans="1:5" x14ac:dyDescent="0.25">
      <c r="A704" t="s">
        <v>953</v>
      </c>
      <c r="B704" t="s">
        <v>2064</v>
      </c>
      <c r="C704" t="s">
        <v>2694</v>
      </c>
      <c r="D704" s="388">
        <v>0</v>
      </c>
      <c r="E704" s="388">
        <v>0</v>
      </c>
    </row>
    <row r="705" spans="1:5" x14ac:dyDescent="0.25">
      <c r="A705" t="s">
        <v>2066</v>
      </c>
      <c r="B705" t="s">
        <v>2067</v>
      </c>
      <c r="C705" t="s">
        <v>2695</v>
      </c>
      <c r="D705" s="388">
        <v>0</v>
      </c>
      <c r="E705" s="388">
        <v>0</v>
      </c>
    </row>
    <row r="706" spans="1:5" x14ac:dyDescent="0.25">
      <c r="A706" t="s">
        <v>2066</v>
      </c>
      <c r="B706" t="s">
        <v>2069</v>
      </c>
      <c r="C706" t="s">
        <v>2696</v>
      </c>
      <c r="D706" s="388">
        <v>0</v>
      </c>
      <c r="E706" s="388">
        <v>0</v>
      </c>
    </row>
    <row r="707" spans="1:5" x14ac:dyDescent="0.25">
      <c r="A707" t="s">
        <v>2066</v>
      </c>
      <c r="B707" t="s">
        <v>2071</v>
      </c>
      <c r="C707" t="s">
        <v>2697</v>
      </c>
      <c r="D707" s="388">
        <v>0</v>
      </c>
      <c r="E707" s="388">
        <v>0</v>
      </c>
    </row>
    <row r="708" spans="1:5" x14ac:dyDescent="0.25">
      <c r="A708" t="s">
        <v>953</v>
      </c>
      <c r="B708" t="s">
        <v>2064</v>
      </c>
      <c r="C708" t="s">
        <v>2698</v>
      </c>
      <c r="D708" s="388">
        <v>0</v>
      </c>
      <c r="E708" s="388">
        <v>0</v>
      </c>
    </row>
    <row r="709" spans="1:5" x14ac:dyDescent="0.25">
      <c r="A709" t="s">
        <v>2066</v>
      </c>
      <c r="B709" t="s">
        <v>2067</v>
      </c>
      <c r="C709" t="s">
        <v>2699</v>
      </c>
      <c r="D709" s="388">
        <v>0</v>
      </c>
      <c r="E709" s="388">
        <v>0</v>
      </c>
    </row>
    <row r="710" spans="1:5" x14ac:dyDescent="0.25">
      <c r="A710" t="s">
        <v>2066</v>
      </c>
      <c r="B710" t="s">
        <v>2069</v>
      </c>
      <c r="C710" t="s">
        <v>2700</v>
      </c>
      <c r="D710" s="388">
        <v>0</v>
      </c>
      <c r="E710" s="388">
        <v>0</v>
      </c>
    </row>
    <row r="711" spans="1:5" x14ac:dyDescent="0.25">
      <c r="A711" t="s">
        <v>953</v>
      </c>
      <c r="B711" t="s">
        <v>2064</v>
      </c>
      <c r="C711" t="s">
        <v>2701</v>
      </c>
      <c r="D711" s="388">
        <v>0</v>
      </c>
      <c r="E711" s="388">
        <v>0</v>
      </c>
    </row>
    <row r="712" spans="1:5" x14ac:dyDescent="0.25">
      <c r="A712" t="s">
        <v>2066</v>
      </c>
      <c r="B712" t="s">
        <v>2067</v>
      </c>
      <c r="C712" t="s">
        <v>2702</v>
      </c>
      <c r="D712" s="388">
        <v>0</v>
      </c>
      <c r="E712" s="388">
        <v>0</v>
      </c>
    </row>
    <row r="713" spans="1:5" x14ac:dyDescent="0.25">
      <c r="A713" t="s">
        <v>2066</v>
      </c>
      <c r="B713" t="s">
        <v>2069</v>
      </c>
      <c r="C713" t="s">
        <v>2703</v>
      </c>
      <c r="D713" s="388">
        <v>0</v>
      </c>
      <c r="E713" s="388">
        <v>0</v>
      </c>
    </row>
    <row r="714" spans="1:5" x14ac:dyDescent="0.25">
      <c r="A714" t="s">
        <v>1012</v>
      </c>
      <c r="B714" t="s">
        <v>1012</v>
      </c>
      <c r="C714" t="s">
        <v>2704</v>
      </c>
      <c r="D714" s="388">
        <v>0</v>
      </c>
      <c r="E714" s="388">
        <v>0</v>
      </c>
    </row>
    <row r="715" spans="1:5" x14ac:dyDescent="0.25">
      <c r="A715" t="s">
        <v>1012</v>
      </c>
      <c r="B715" t="s">
        <v>1012</v>
      </c>
      <c r="C715" t="s">
        <v>2705</v>
      </c>
      <c r="D715" s="388">
        <v>0</v>
      </c>
      <c r="E715" s="388">
        <v>-58112.9</v>
      </c>
    </row>
    <row r="716" spans="1:5" x14ac:dyDescent="0.25">
      <c r="A716" t="s">
        <v>2080</v>
      </c>
      <c r="B716" t="s">
        <v>2080</v>
      </c>
      <c r="C716" t="s">
        <v>2706</v>
      </c>
      <c r="D716" s="388">
        <v>0</v>
      </c>
      <c r="E716" s="388">
        <v>-1.06</v>
      </c>
    </row>
    <row r="717" spans="1:5" x14ac:dyDescent="0.25">
      <c r="A717" t="s">
        <v>2080</v>
      </c>
      <c r="B717" t="s">
        <v>2080</v>
      </c>
      <c r="C717" t="s">
        <v>3096</v>
      </c>
      <c r="D717" s="388">
        <v>12744</v>
      </c>
      <c r="E717" s="388">
        <v>0.53</v>
      </c>
    </row>
    <row r="718" spans="1:5" x14ac:dyDescent="0.25">
      <c r="A718" t="s">
        <v>2066</v>
      </c>
      <c r="B718" t="s">
        <v>2066</v>
      </c>
      <c r="C718" t="s">
        <v>2708</v>
      </c>
      <c r="D718" s="388">
        <v>0</v>
      </c>
      <c r="E718" s="388">
        <v>0</v>
      </c>
    </row>
    <row r="719" spans="1:5" x14ac:dyDescent="0.25">
      <c r="A719" t="s">
        <v>1012</v>
      </c>
      <c r="B719" t="s">
        <v>1012</v>
      </c>
      <c r="C719" t="s">
        <v>2709</v>
      </c>
      <c r="D719" s="388">
        <v>0</v>
      </c>
      <c r="E719" s="388">
        <v>0</v>
      </c>
    </row>
    <row r="720" spans="1:5" x14ac:dyDescent="0.25">
      <c r="A720" t="s">
        <v>953</v>
      </c>
      <c r="B720" t="s">
        <v>2064</v>
      </c>
      <c r="C720" t="s">
        <v>2710</v>
      </c>
      <c r="D720" s="388">
        <v>0</v>
      </c>
      <c r="E720" s="388">
        <v>0</v>
      </c>
    </row>
    <row r="721" spans="1:5" x14ac:dyDescent="0.25">
      <c r="A721" t="s">
        <v>2066</v>
      </c>
      <c r="B721" t="s">
        <v>2067</v>
      </c>
      <c r="C721" t="s">
        <v>2711</v>
      </c>
      <c r="D721" s="388">
        <v>0</v>
      </c>
      <c r="E721" s="388">
        <v>0</v>
      </c>
    </row>
    <row r="722" spans="1:5" x14ac:dyDescent="0.25">
      <c r="A722" t="s">
        <v>2066</v>
      </c>
      <c r="B722" t="s">
        <v>2069</v>
      </c>
      <c r="C722" t="s">
        <v>2712</v>
      </c>
      <c r="D722" s="388">
        <v>0</v>
      </c>
      <c r="E722" s="388">
        <v>0</v>
      </c>
    </row>
    <row r="723" spans="1:5" x14ac:dyDescent="0.25">
      <c r="A723" t="s">
        <v>1012</v>
      </c>
      <c r="B723" t="s">
        <v>1012</v>
      </c>
      <c r="C723" t="s">
        <v>2713</v>
      </c>
      <c r="D723" s="388">
        <v>0</v>
      </c>
      <c r="E723" s="388">
        <v>0</v>
      </c>
    </row>
    <row r="724" spans="1:5" x14ac:dyDescent="0.25">
      <c r="A724" t="s">
        <v>953</v>
      </c>
      <c r="B724" t="s">
        <v>2112</v>
      </c>
      <c r="C724" t="s">
        <v>2714</v>
      </c>
      <c r="D724" s="388">
        <v>-8355</v>
      </c>
      <c r="E724" s="388">
        <v>0</v>
      </c>
    </row>
    <row r="725" spans="1:5" x14ac:dyDescent="0.25">
      <c r="A725" t="s">
        <v>1012</v>
      </c>
      <c r="B725" t="s">
        <v>1012</v>
      </c>
      <c r="C725" t="s">
        <v>2715</v>
      </c>
      <c r="D725" s="388">
        <v>0</v>
      </c>
      <c r="E725" s="388">
        <v>0</v>
      </c>
    </row>
    <row r="726" spans="1:5" x14ac:dyDescent="0.25">
      <c r="A726" t="s">
        <v>953</v>
      </c>
      <c r="B726" t="s">
        <v>2064</v>
      </c>
      <c r="C726" t="s">
        <v>2716</v>
      </c>
      <c r="D726" s="388">
        <v>-42500</v>
      </c>
      <c r="E726" s="388">
        <v>0</v>
      </c>
    </row>
    <row r="727" spans="1:5" x14ac:dyDescent="0.25">
      <c r="A727" t="s">
        <v>2066</v>
      </c>
      <c r="B727" t="s">
        <v>2069</v>
      </c>
      <c r="C727" t="s">
        <v>2717</v>
      </c>
      <c r="D727" s="388">
        <v>0</v>
      </c>
      <c r="E727" s="388">
        <v>0</v>
      </c>
    </row>
    <row r="728" spans="1:5" x14ac:dyDescent="0.25">
      <c r="A728" t="s">
        <v>1012</v>
      </c>
      <c r="B728" t="s">
        <v>1012</v>
      </c>
      <c r="C728" t="s">
        <v>2718</v>
      </c>
      <c r="D728" s="388">
        <v>0</v>
      </c>
      <c r="E728" s="388">
        <v>39340</v>
      </c>
    </row>
    <row r="729" spans="1:5" x14ac:dyDescent="0.25">
      <c r="A729" t="s">
        <v>1012</v>
      </c>
      <c r="B729" t="s">
        <v>1012</v>
      </c>
      <c r="C729" t="s">
        <v>2719</v>
      </c>
      <c r="D729" s="388">
        <v>0</v>
      </c>
      <c r="E729" s="388">
        <v>-4740</v>
      </c>
    </row>
    <row r="730" spans="1:5" x14ac:dyDescent="0.25">
      <c r="A730" t="s">
        <v>2169</v>
      </c>
      <c r="B730" t="s">
        <v>2720</v>
      </c>
      <c r="C730" t="s">
        <v>2721</v>
      </c>
      <c r="D730" s="388">
        <v>0</v>
      </c>
      <c r="E730" s="388">
        <v>0</v>
      </c>
    </row>
    <row r="731" spans="1:5" x14ac:dyDescent="0.25">
      <c r="A731" t="s">
        <v>2298</v>
      </c>
      <c r="B731" t="s">
        <v>2722</v>
      </c>
      <c r="C731" t="s">
        <v>2723</v>
      </c>
      <c r="D731" s="388">
        <v>0</v>
      </c>
      <c r="E731" s="388">
        <v>-128248.63</v>
      </c>
    </row>
    <row r="732" spans="1:5" x14ac:dyDescent="0.25">
      <c r="A732" t="s">
        <v>2169</v>
      </c>
      <c r="B732" t="s">
        <v>2720</v>
      </c>
      <c r="C732" t="s">
        <v>2724</v>
      </c>
      <c r="D732" s="388">
        <v>0</v>
      </c>
      <c r="E732" s="388">
        <v>0</v>
      </c>
    </row>
    <row r="733" spans="1:5" x14ac:dyDescent="0.25">
      <c r="A733" t="s">
        <v>2169</v>
      </c>
      <c r="B733" t="s">
        <v>2169</v>
      </c>
      <c r="C733" t="s">
        <v>3757</v>
      </c>
      <c r="D733" s="388">
        <v>0</v>
      </c>
      <c r="E733" s="388">
        <v>0</v>
      </c>
    </row>
    <row r="734" spans="1:5" x14ac:dyDescent="0.25">
      <c r="A734" t="s">
        <v>1013</v>
      </c>
      <c r="B734" t="s">
        <v>1013</v>
      </c>
      <c r="C734" t="s">
        <v>2725</v>
      </c>
      <c r="D734" s="388">
        <v>0</v>
      </c>
      <c r="E734" s="388">
        <v>0</v>
      </c>
    </row>
    <row r="735" spans="1:5" x14ac:dyDescent="0.25">
      <c r="A735" t="s">
        <v>2066</v>
      </c>
      <c r="B735" t="s">
        <v>2726</v>
      </c>
      <c r="C735" t="s">
        <v>2727</v>
      </c>
      <c r="D735" s="388">
        <v>0</v>
      </c>
      <c r="E735" s="388">
        <v>0</v>
      </c>
    </row>
    <row r="736" spans="1:5" x14ac:dyDescent="0.25">
      <c r="A736" t="s">
        <v>2066</v>
      </c>
      <c r="B736" t="s">
        <v>2726</v>
      </c>
      <c r="C736" t="s">
        <v>2728</v>
      </c>
      <c r="D736" s="388">
        <v>0</v>
      </c>
      <c r="E736" s="388">
        <v>28167</v>
      </c>
    </row>
    <row r="737" spans="1:5" x14ac:dyDescent="0.25">
      <c r="A737" t="s">
        <v>2066</v>
      </c>
      <c r="B737" t="s">
        <v>2726</v>
      </c>
      <c r="C737" t="s">
        <v>2729</v>
      </c>
      <c r="D737" s="388">
        <v>0</v>
      </c>
      <c r="E737" s="388">
        <v>4363183.9800000004</v>
      </c>
    </row>
    <row r="738" spans="1:5" x14ac:dyDescent="0.25">
      <c r="A738" t="s">
        <v>2066</v>
      </c>
      <c r="B738" t="s">
        <v>2726</v>
      </c>
      <c r="C738" t="s">
        <v>2730</v>
      </c>
      <c r="D738" s="388">
        <v>0</v>
      </c>
      <c r="E738" s="388">
        <v>0</v>
      </c>
    </row>
    <row r="739" spans="1:5" x14ac:dyDescent="0.25">
      <c r="A739" t="s">
        <v>2066</v>
      </c>
      <c r="B739" t="s">
        <v>2726</v>
      </c>
      <c r="C739" t="s">
        <v>2731</v>
      </c>
      <c r="D739" s="388">
        <v>0</v>
      </c>
      <c r="E739" s="388">
        <v>1964970.07</v>
      </c>
    </row>
    <row r="740" spans="1:5" x14ac:dyDescent="0.25">
      <c r="A740" t="s">
        <v>2066</v>
      </c>
      <c r="B740" t="s">
        <v>2726</v>
      </c>
      <c r="C740" t="s">
        <v>2732</v>
      </c>
      <c r="D740" s="388">
        <v>0</v>
      </c>
      <c r="E740" s="388">
        <v>7808006.25</v>
      </c>
    </row>
    <row r="741" spans="1:5" x14ac:dyDescent="0.25">
      <c r="A741" t="s">
        <v>2066</v>
      </c>
      <c r="B741" t="s">
        <v>2726</v>
      </c>
      <c r="C741" t="s">
        <v>2733</v>
      </c>
      <c r="D741" s="388">
        <v>0</v>
      </c>
      <c r="E741" s="388">
        <v>176715.08</v>
      </c>
    </row>
    <row r="742" spans="1:5" x14ac:dyDescent="0.25">
      <c r="A742" t="s">
        <v>2066</v>
      </c>
      <c r="B742" t="s">
        <v>2726</v>
      </c>
      <c r="C742" t="s">
        <v>2734</v>
      </c>
      <c r="D742" s="388">
        <v>0</v>
      </c>
      <c r="E742" s="388">
        <v>0</v>
      </c>
    </row>
    <row r="743" spans="1:5" x14ac:dyDescent="0.25">
      <c r="A743" t="s">
        <v>2066</v>
      </c>
      <c r="B743" t="s">
        <v>2726</v>
      </c>
      <c r="C743" t="s">
        <v>2735</v>
      </c>
      <c r="D743" s="388">
        <v>0</v>
      </c>
      <c r="E743" s="388">
        <v>0</v>
      </c>
    </row>
    <row r="744" spans="1:5" x14ac:dyDescent="0.25">
      <c r="A744" t="s">
        <v>2066</v>
      </c>
      <c r="B744" t="s">
        <v>2726</v>
      </c>
      <c r="C744" t="s">
        <v>2736</v>
      </c>
      <c r="D744" s="388">
        <v>0</v>
      </c>
      <c r="E744" s="388">
        <v>0</v>
      </c>
    </row>
    <row r="745" spans="1:5" x14ac:dyDescent="0.25">
      <c r="A745" t="s">
        <v>2066</v>
      </c>
      <c r="B745" t="s">
        <v>2726</v>
      </c>
      <c r="C745" t="s">
        <v>2737</v>
      </c>
      <c r="D745" s="388">
        <v>0</v>
      </c>
      <c r="E745" s="388">
        <v>4280286.79</v>
      </c>
    </row>
    <row r="746" spans="1:5" x14ac:dyDescent="0.25">
      <c r="A746" t="s">
        <v>2066</v>
      </c>
      <c r="B746" t="s">
        <v>2726</v>
      </c>
      <c r="C746" t="s">
        <v>2738</v>
      </c>
      <c r="D746" s="388">
        <v>0</v>
      </c>
      <c r="E746" s="388">
        <v>1020942</v>
      </c>
    </row>
    <row r="747" spans="1:5" x14ac:dyDescent="0.25">
      <c r="A747" t="s">
        <v>2066</v>
      </c>
      <c r="B747" t="s">
        <v>2726</v>
      </c>
      <c r="C747" t="s">
        <v>2739</v>
      </c>
      <c r="D747" s="388">
        <v>0</v>
      </c>
      <c r="E747" s="388">
        <v>8445420.2200000007</v>
      </c>
    </row>
    <row r="748" spans="1:5" x14ac:dyDescent="0.25">
      <c r="A748" t="s">
        <v>2066</v>
      </c>
      <c r="B748" t="s">
        <v>2726</v>
      </c>
      <c r="C748" t="s">
        <v>2740</v>
      </c>
      <c r="D748" s="388">
        <v>0</v>
      </c>
      <c r="E748" s="388">
        <v>146108343.41</v>
      </c>
    </row>
    <row r="749" spans="1:5" x14ac:dyDescent="0.25">
      <c r="A749" t="s">
        <v>2066</v>
      </c>
      <c r="B749" t="s">
        <v>2726</v>
      </c>
      <c r="C749" t="s">
        <v>2741</v>
      </c>
      <c r="D749" s="388">
        <v>0</v>
      </c>
      <c r="E749" s="388">
        <v>0</v>
      </c>
    </row>
    <row r="750" spans="1:5" x14ac:dyDescent="0.25">
      <c r="A750" t="s">
        <v>2298</v>
      </c>
      <c r="B750" t="s">
        <v>2298</v>
      </c>
      <c r="C750" t="s">
        <v>2742</v>
      </c>
      <c r="D750" s="388">
        <v>0</v>
      </c>
      <c r="E750" s="388">
        <v>0</v>
      </c>
    </row>
    <row r="751" spans="1:5" x14ac:dyDescent="0.25">
      <c r="A751" t="s">
        <v>2298</v>
      </c>
      <c r="B751" t="s">
        <v>2302</v>
      </c>
      <c r="C751" t="s">
        <v>2743</v>
      </c>
      <c r="D751" s="388">
        <v>0</v>
      </c>
      <c r="E751" s="388">
        <v>-205866485.61000001</v>
      </c>
    </row>
    <row r="752" spans="1:5" x14ac:dyDescent="0.25">
      <c r="A752" t="s">
        <v>2298</v>
      </c>
      <c r="B752" t="s">
        <v>2302</v>
      </c>
      <c r="C752" t="s">
        <v>2744</v>
      </c>
      <c r="D752" s="388">
        <v>0</v>
      </c>
      <c r="E752" s="388">
        <v>-1147158.92</v>
      </c>
    </row>
    <row r="753" spans="1:5" x14ac:dyDescent="0.25">
      <c r="A753" t="s">
        <v>1012</v>
      </c>
      <c r="B753" t="s">
        <v>1012</v>
      </c>
      <c r="C753" t="s">
        <v>2745</v>
      </c>
      <c r="D753" s="388">
        <v>-5984</v>
      </c>
      <c r="E753" s="388">
        <v>0</v>
      </c>
    </row>
    <row r="754" spans="1:5" x14ac:dyDescent="0.25">
      <c r="A754" t="s">
        <v>2298</v>
      </c>
      <c r="B754" t="s">
        <v>2298</v>
      </c>
      <c r="C754" t="s">
        <v>2746</v>
      </c>
      <c r="D754" s="388">
        <v>0</v>
      </c>
      <c r="E754" s="388">
        <v>0</v>
      </c>
    </row>
    <row r="755" spans="1:5" x14ac:dyDescent="0.25">
      <c r="A755" t="s">
        <v>2298</v>
      </c>
      <c r="B755" t="s">
        <v>2302</v>
      </c>
      <c r="C755" t="s">
        <v>2747</v>
      </c>
      <c r="D755" s="388">
        <v>0</v>
      </c>
      <c r="E755" s="388">
        <v>0</v>
      </c>
    </row>
    <row r="756" spans="1:5" x14ac:dyDescent="0.25">
      <c r="A756" t="s">
        <v>2080</v>
      </c>
      <c r="B756" t="s">
        <v>2177</v>
      </c>
      <c r="C756" t="s">
        <v>2748</v>
      </c>
      <c r="D756" s="388">
        <v>0</v>
      </c>
      <c r="E756" s="388">
        <v>0</v>
      </c>
    </row>
    <row r="757" spans="1:5" x14ac:dyDescent="0.25">
      <c r="A757" t="s">
        <v>953</v>
      </c>
      <c r="B757" t="s">
        <v>2064</v>
      </c>
      <c r="C757" t="s">
        <v>2749</v>
      </c>
      <c r="D757" s="388">
        <v>0</v>
      </c>
      <c r="E757" s="388">
        <v>0.4</v>
      </c>
    </row>
    <row r="758" spans="1:5" x14ac:dyDescent="0.25">
      <c r="A758" t="s">
        <v>1012</v>
      </c>
      <c r="B758" t="s">
        <v>1012</v>
      </c>
      <c r="C758" t="s">
        <v>2750</v>
      </c>
      <c r="D758" s="388">
        <v>0</v>
      </c>
      <c r="E758" s="388">
        <v>0</v>
      </c>
    </row>
    <row r="759" spans="1:5" x14ac:dyDescent="0.25">
      <c r="A759" t="s">
        <v>2066</v>
      </c>
      <c r="B759" t="s">
        <v>234</v>
      </c>
      <c r="C759" t="s">
        <v>2751</v>
      </c>
      <c r="D759" s="388">
        <v>0</v>
      </c>
      <c r="E759" s="388">
        <v>0</v>
      </c>
    </row>
    <row r="760" spans="1:5" x14ac:dyDescent="0.25">
      <c r="A760" t="s">
        <v>2066</v>
      </c>
      <c r="B760" t="s">
        <v>2066</v>
      </c>
      <c r="C760" t="s">
        <v>758</v>
      </c>
      <c r="D760" s="388">
        <v>0</v>
      </c>
      <c r="E760" s="388">
        <v>1453988.33</v>
      </c>
    </row>
    <row r="761" spans="1:5" x14ac:dyDescent="0.25">
      <c r="A761" t="s">
        <v>953</v>
      </c>
      <c r="B761" t="s">
        <v>953</v>
      </c>
      <c r="C761" t="s">
        <v>3172</v>
      </c>
      <c r="D761" s="388">
        <v>0</v>
      </c>
      <c r="E761" s="388">
        <v>-294331.58</v>
      </c>
    </row>
    <row r="762" spans="1:5" x14ac:dyDescent="0.25">
      <c r="A762" t="s">
        <v>2066</v>
      </c>
      <c r="B762" t="s">
        <v>2066</v>
      </c>
      <c r="C762" t="s">
        <v>2752</v>
      </c>
      <c r="D762" s="388">
        <v>0</v>
      </c>
      <c r="E762" s="388">
        <v>0</v>
      </c>
    </row>
    <row r="763" spans="1:5" x14ac:dyDescent="0.25">
      <c r="A763" t="s">
        <v>2066</v>
      </c>
      <c r="B763" t="s">
        <v>2066</v>
      </c>
      <c r="C763" t="s">
        <v>2753</v>
      </c>
      <c r="D763" s="388">
        <v>0</v>
      </c>
      <c r="E763" s="388">
        <v>10500</v>
      </c>
    </row>
    <row r="764" spans="1:5" x14ac:dyDescent="0.25">
      <c r="A764" t="s">
        <v>2066</v>
      </c>
      <c r="B764" t="s">
        <v>2066</v>
      </c>
      <c r="C764" t="s">
        <v>2754</v>
      </c>
      <c r="D764" s="388">
        <v>0</v>
      </c>
      <c r="E764" s="388">
        <v>7985</v>
      </c>
    </row>
    <row r="765" spans="1:5" x14ac:dyDescent="0.25">
      <c r="A765" t="s">
        <v>2080</v>
      </c>
      <c r="B765" t="s">
        <v>2080</v>
      </c>
      <c r="C765" t="s">
        <v>2755</v>
      </c>
      <c r="D765" s="388">
        <v>0</v>
      </c>
      <c r="E765" s="388">
        <v>0</v>
      </c>
    </row>
    <row r="766" spans="1:5" x14ac:dyDescent="0.25">
      <c r="A766" t="s">
        <v>1012</v>
      </c>
      <c r="B766" t="s">
        <v>1012</v>
      </c>
      <c r="C766" t="s">
        <v>2756</v>
      </c>
      <c r="D766" s="388">
        <v>0</v>
      </c>
      <c r="E766" s="388">
        <v>0</v>
      </c>
    </row>
    <row r="767" spans="1:5" x14ac:dyDescent="0.25">
      <c r="A767" t="s">
        <v>2080</v>
      </c>
      <c r="B767" t="s">
        <v>2080</v>
      </c>
      <c r="C767" t="s">
        <v>3097</v>
      </c>
      <c r="D767" s="388">
        <v>0</v>
      </c>
      <c r="E767" s="388">
        <v>0.01</v>
      </c>
    </row>
    <row r="768" spans="1:5" x14ac:dyDescent="0.25">
      <c r="A768" t="s">
        <v>2066</v>
      </c>
      <c r="B768" t="s">
        <v>2066</v>
      </c>
      <c r="C768" t="s">
        <v>2757</v>
      </c>
      <c r="D768" s="388">
        <v>0</v>
      </c>
      <c r="E768" s="388">
        <v>19.98</v>
      </c>
    </row>
    <row r="769" spans="1:5" x14ac:dyDescent="0.25">
      <c r="A769" t="s">
        <v>1012</v>
      </c>
      <c r="B769" t="s">
        <v>1012</v>
      </c>
      <c r="C769" t="s">
        <v>3758</v>
      </c>
      <c r="D769" s="388">
        <v>0</v>
      </c>
      <c r="E769" s="388">
        <v>0</v>
      </c>
    </row>
    <row r="770" spans="1:5" x14ac:dyDescent="0.25">
      <c r="A770" t="s">
        <v>2080</v>
      </c>
      <c r="B770" t="s">
        <v>2080</v>
      </c>
      <c r="C770" t="s">
        <v>2758</v>
      </c>
      <c r="D770" s="388">
        <v>0</v>
      </c>
      <c r="E770" s="388">
        <v>0</v>
      </c>
    </row>
    <row r="771" spans="1:5" x14ac:dyDescent="0.25">
      <c r="A771" t="s">
        <v>1012</v>
      </c>
      <c r="B771" t="s">
        <v>1012</v>
      </c>
      <c r="C771" t="s">
        <v>2759</v>
      </c>
      <c r="D771" s="388">
        <v>0</v>
      </c>
      <c r="E771" s="388">
        <v>0</v>
      </c>
    </row>
    <row r="772" spans="1:5" x14ac:dyDescent="0.25">
      <c r="A772" t="s">
        <v>953</v>
      </c>
      <c r="B772" t="s">
        <v>2064</v>
      </c>
      <c r="C772" t="s">
        <v>2760</v>
      </c>
      <c r="D772" s="388">
        <v>0</v>
      </c>
      <c r="E772" s="388">
        <v>0</v>
      </c>
    </row>
    <row r="773" spans="1:5" x14ac:dyDescent="0.25">
      <c r="A773" t="s">
        <v>2066</v>
      </c>
      <c r="B773" t="s">
        <v>2067</v>
      </c>
      <c r="C773" t="s">
        <v>2761</v>
      </c>
      <c r="D773" s="388">
        <v>0</v>
      </c>
      <c r="E773" s="388">
        <v>0</v>
      </c>
    </row>
    <row r="774" spans="1:5" x14ac:dyDescent="0.25">
      <c r="A774" t="s">
        <v>2066</v>
      </c>
      <c r="B774" t="s">
        <v>2069</v>
      </c>
      <c r="C774" t="s">
        <v>2762</v>
      </c>
      <c r="D774" s="388">
        <v>0</v>
      </c>
      <c r="E774" s="388">
        <v>0</v>
      </c>
    </row>
    <row r="775" spans="1:5" x14ac:dyDescent="0.25">
      <c r="A775" t="s">
        <v>2298</v>
      </c>
      <c r="B775" t="s">
        <v>2298</v>
      </c>
      <c r="C775" t="s">
        <v>2763</v>
      </c>
      <c r="D775" s="388">
        <v>0</v>
      </c>
      <c r="E775" s="388">
        <v>0</v>
      </c>
    </row>
    <row r="776" spans="1:5" x14ac:dyDescent="0.25">
      <c r="A776" t="s">
        <v>953</v>
      </c>
      <c r="B776" t="s">
        <v>2064</v>
      </c>
      <c r="C776" t="s">
        <v>2764</v>
      </c>
      <c r="D776" s="388">
        <v>0</v>
      </c>
      <c r="E776" s="388">
        <v>0</v>
      </c>
    </row>
    <row r="777" spans="1:5" x14ac:dyDescent="0.25">
      <c r="A777" t="s">
        <v>2066</v>
      </c>
      <c r="B777" t="s">
        <v>2067</v>
      </c>
      <c r="C777" t="s">
        <v>2765</v>
      </c>
      <c r="D777" s="388">
        <v>0</v>
      </c>
      <c r="E777" s="388">
        <v>0</v>
      </c>
    </row>
    <row r="778" spans="1:5" x14ac:dyDescent="0.25">
      <c r="A778" t="s">
        <v>2066</v>
      </c>
      <c r="B778" t="s">
        <v>2069</v>
      </c>
      <c r="C778" t="s">
        <v>2766</v>
      </c>
      <c r="D778" s="388">
        <v>0</v>
      </c>
      <c r="E778" s="388">
        <v>0</v>
      </c>
    </row>
    <row r="779" spans="1:5" x14ac:dyDescent="0.25">
      <c r="A779" t="s">
        <v>1012</v>
      </c>
      <c r="B779" t="s">
        <v>1012</v>
      </c>
      <c r="C779" t="s">
        <v>2767</v>
      </c>
      <c r="D779" s="388">
        <v>0</v>
      </c>
      <c r="E779" s="388">
        <v>0</v>
      </c>
    </row>
    <row r="780" spans="1:5" x14ac:dyDescent="0.25">
      <c r="A780" t="s">
        <v>953</v>
      </c>
      <c r="B780" t="s">
        <v>2064</v>
      </c>
      <c r="C780" t="s">
        <v>2768</v>
      </c>
      <c r="D780" s="388">
        <v>0</v>
      </c>
      <c r="E780" s="388">
        <v>0</v>
      </c>
    </row>
    <row r="781" spans="1:5" x14ac:dyDescent="0.25">
      <c r="A781" t="s">
        <v>2066</v>
      </c>
      <c r="B781" t="s">
        <v>2069</v>
      </c>
      <c r="C781" t="s">
        <v>2769</v>
      </c>
      <c r="D781" s="388">
        <v>0</v>
      </c>
      <c r="E781" s="388">
        <v>1396998</v>
      </c>
    </row>
    <row r="782" spans="1:5" x14ac:dyDescent="0.25">
      <c r="A782" t="s">
        <v>953</v>
      </c>
      <c r="B782" t="s">
        <v>2064</v>
      </c>
      <c r="C782" t="s">
        <v>2770</v>
      </c>
      <c r="D782" s="388">
        <v>0</v>
      </c>
      <c r="E782" s="388">
        <v>0</v>
      </c>
    </row>
    <row r="783" spans="1:5" x14ac:dyDescent="0.25">
      <c r="A783" t="s">
        <v>2066</v>
      </c>
      <c r="B783" t="s">
        <v>2067</v>
      </c>
      <c r="C783" t="s">
        <v>2771</v>
      </c>
      <c r="D783" s="388">
        <v>0</v>
      </c>
      <c r="E783" s="388">
        <v>0</v>
      </c>
    </row>
    <row r="784" spans="1:5" x14ac:dyDescent="0.25">
      <c r="A784" t="s">
        <v>2066</v>
      </c>
      <c r="B784" t="s">
        <v>2069</v>
      </c>
      <c r="C784" t="s">
        <v>2772</v>
      </c>
      <c r="D784" s="388">
        <v>0</v>
      </c>
      <c r="E784" s="388">
        <v>0</v>
      </c>
    </row>
    <row r="785" spans="1:5" x14ac:dyDescent="0.25">
      <c r="A785" t="s">
        <v>2066</v>
      </c>
      <c r="B785" t="s">
        <v>2071</v>
      </c>
      <c r="C785" t="s">
        <v>2773</v>
      </c>
      <c r="D785" s="388">
        <v>0</v>
      </c>
      <c r="E785" s="388">
        <v>0</v>
      </c>
    </row>
    <row r="786" spans="1:5" x14ac:dyDescent="0.25">
      <c r="A786" t="s">
        <v>1012</v>
      </c>
      <c r="B786" t="s">
        <v>1012</v>
      </c>
      <c r="C786" t="s">
        <v>2774</v>
      </c>
      <c r="D786" s="388">
        <v>0</v>
      </c>
      <c r="E786" s="388">
        <v>0</v>
      </c>
    </row>
    <row r="787" spans="1:5" x14ac:dyDescent="0.25">
      <c r="A787" t="s">
        <v>953</v>
      </c>
      <c r="B787" t="s">
        <v>2064</v>
      </c>
      <c r="C787" t="s">
        <v>2775</v>
      </c>
      <c r="D787" s="388">
        <v>0</v>
      </c>
      <c r="E787" s="388">
        <v>0</v>
      </c>
    </row>
    <row r="788" spans="1:5" x14ac:dyDescent="0.25">
      <c r="A788" t="s">
        <v>2066</v>
      </c>
      <c r="B788" t="s">
        <v>2067</v>
      </c>
      <c r="C788" t="s">
        <v>2776</v>
      </c>
      <c r="D788" s="388">
        <v>0</v>
      </c>
      <c r="E788" s="388">
        <v>0</v>
      </c>
    </row>
    <row r="789" spans="1:5" x14ac:dyDescent="0.25">
      <c r="A789" t="s">
        <v>2066</v>
      </c>
      <c r="B789" t="s">
        <v>2456</v>
      </c>
      <c r="C789" t="s">
        <v>2777</v>
      </c>
      <c r="D789" s="388">
        <v>0</v>
      </c>
      <c r="E789" s="388">
        <v>0</v>
      </c>
    </row>
    <row r="790" spans="1:5" x14ac:dyDescent="0.25">
      <c r="A790" t="s">
        <v>953</v>
      </c>
      <c r="B790" t="s">
        <v>2112</v>
      </c>
      <c r="C790" t="s">
        <v>2778</v>
      </c>
      <c r="D790" s="388">
        <v>-14896</v>
      </c>
      <c r="E790" s="388">
        <v>0</v>
      </c>
    </row>
    <row r="791" spans="1:5" x14ac:dyDescent="0.25">
      <c r="A791" t="s">
        <v>2066</v>
      </c>
      <c r="B791" t="s">
        <v>2069</v>
      </c>
      <c r="C791" t="s">
        <v>2779</v>
      </c>
      <c r="D791" s="388">
        <v>0</v>
      </c>
      <c r="E791" s="388">
        <v>0</v>
      </c>
    </row>
    <row r="792" spans="1:5" x14ac:dyDescent="0.25">
      <c r="A792" t="s">
        <v>2066</v>
      </c>
      <c r="B792" t="s">
        <v>2071</v>
      </c>
      <c r="C792" t="s">
        <v>2780</v>
      </c>
      <c r="D792" s="388">
        <v>0</v>
      </c>
      <c r="E792" s="388">
        <v>0</v>
      </c>
    </row>
    <row r="793" spans="1:5" x14ac:dyDescent="0.25">
      <c r="A793" t="s">
        <v>2080</v>
      </c>
      <c r="B793" t="s">
        <v>2781</v>
      </c>
      <c r="C793" t="s">
        <v>2782</v>
      </c>
      <c r="D793" s="388">
        <v>175262.2</v>
      </c>
      <c r="E793" s="388">
        <v>0</v>
      </c>
    </row>
    <row r="794" spans="1:5" x14ac:dyDescent="0.25">
      <c r="A794" t="s">
        <v>2080</v>
      </c>
      <c r="B794" t="s">
        <v>2781</v>
      </c>
      <c r="C794" t="s">
        <v>2783</v>
      </c>
      <c r="D794" s="388">
        <v>0</v>
      </c>
      <c r="E794" s="388">
        <v>0</v>
      </c>
    </row>
    <row r="795" spans="1:5" x14ac:dyDescent="0.25">
      <c r="A795" t="s">
        <v>2298</v>
      </c>
      <c r="B795" t="s">
        <v>2298</v>
      </c>
      <c r="C795" t="s">
        <v>2784</v>
      </c>
      <c r="D795" s="388">
        <v>0</v>
      </c>
      <c r="E795" s="388">
        <v>0</v>
      </c>
    </row>
    <row r="796" spans="1:5" x14ac:dyDescent="0.25">
      <c r="A796" t="s">
        <v>2298</v>
      </c>
      <c r="B796" t="s">
        <v>2300</v>
      </c>
      <c r="C796" t="s">
        <v>2785</v>
      </c>
      <c r="D796" s="388">
        <v>0</v>
      </c>
      <c r="E796" s="388">
        <v>-1600</v>
      </c>
    </row>
    <row r="797" spans="1:5" x14ac:dyDescent="0.25">
      <c r="A797" t="s">
        <v>2298</v>
      </c>
      <c r="B797" t="s">
        <v>2302</v>
      </c>
      <c r="C797" t="s">
        <v>2786</v>
      </c>
      <c r="D797" s="388">
        <v>0</v>
      </c>
      <c r="E797" s="388">
        <v>-221998.54</v>
      </c>
    </row>
    <row r="798" spans="1:5" x14ac:dyDescent="0.25">
      <c r="A798" t="s">
        <v>2080</v>
      </c>
      <c r="B798" t="s">
        <v>2781</v>
      </c>
      <c r="C798" t="s">
        <v>2787</v>
      </c>
      <c r="D798" s="388">
        <v>0</v>
      </c>
      <c r="E798" s="388">
        <v>0</v>
      </c>
    </row>
    <row r="799" spans="1:5" x14ac:dyDescent="0.25">
      <c r="A799" t="s">
        <v>2080</v>
      </c>
      <c r="B799" t="s">
        <v>2781</v>
      </c>
      <c r="C799" t="s">
        <v>2788</v>
      </c>
      <c r="D799" s="388">
        <v>0</v>
      </c>
      <c r="E799" s="388">
        <v>0</v>
      </c>
    </row>
    <row r="800" spans="1:5" x14ac:dyDescent="0.25">
      <c r="A800" t="s">
        <v>2080</v>
      </c>
      <c r="B800" t="s">
        <v>2781</v>
      </c>
      <c r="C800" t="s">
        <v>2789</v>
      </c>
      <c r="D800" s="388">
        <v>0</v>
      </c>
      <c r="E800" s="388">
        <v>0</v>
      </c>
    </row>
    <row r="801" spans="1:5" x14ac:dyDescent="0.25">
      <c r="A801" t="s">
        <v>2045</v>
      </c>
      <c r="B801" t="s">
        <v>2183</v>
      </c>
      <c r="C801" t="s">
        <v>2790</v>
      </c>
      <c r="D801" s="388">
        <v>0</v>
      </c>
      <c r="E801" s="388">
        <v>0</v>
      </c>
    </row>
    <row r="802" spans="1:5" x14ac:dyDescent="0.25">
      <c r="A802" t="s">
        <v>2045</v>
      </c>
      <c r="B802" t="s">
        <v>3743</v>
      </c>
      <c r="C802" t="s">
        <v>3759</v>
      </c>
      <c r="D802" s="388">
        <v>0</v>
      </c>
      <c r="E802" s="388">
        <v>0</v>
      </c>
    </row>
    <row r="803" spans="1:5" x14ac:dyDescent="0.25">
      <c r="A803" t="s">
        <v>2045</v>
      </c>
      <c r="B803" t="s">
        <v>3743</v>
      </c>
      <c r="C803" t="s">
        <v>3760</v>
      </c>
      <c r="D803" s="388">
        <v>0</v>
      </c>
      <c r="E803" s="388">
        <v>0</v>
      </c>
    </row>
    <row r="804" spans="1:5" x14ac:dyDescent="0.25">
      <c r="A804" t="s">
        <v>2045</v>
      </c>
      <c r="B804" t="s">
        <v>2046</v>
      </c>
      <c r="C804" t="s">
        <v>2791</v>
      </c>
      <c r="D804" s="388">
        <v>0</v>
      </c>
      <c r="E804" s="388">
        <v>0</v>
      </c>
    </row>
    <row r="805" spans="1:5" x14ac:dyDescent="0.25">
      <c r="A805" t="s">
        <v>2045</v>
      </c>
      <c r="B805" t="s">
        <v>3726</v>
      </c>
      <c r="C805" t="s">
        <v>3098</v>
      </c>
      <c r="D805" s="388">
        <v>0</v>
      </c>
      <c r="E805" s="388">
        <v>0</v>
      </c>
    </row>
    <row r="806" spans="1:5" x14ac:dyDescent="0.25">
      <c r="A806" t="s">
        <v>2045</v>
      </c>
      <c r="B806" t="s">
        <v>2058</v>
      </c>
      <c r="C806" t="s">
        <v>2792</v>
      </c>
      <c r="D806" s="388">
        <v>0</v>
      </c>
      <c r="E806" s="388">
        <v>0</v>
      </c>
    </row>
    <row r="807" spans="1:5" x14ac:dyDescent="0.25">
      <c r="A807" t="s">
        <v>2045</v>
      </c>
      <c r="B807" t="s">
        <v>2187</v>
      </c>
      <c r="C807" t="s">
        <v>2793</v>
      </c>
      <c r="D807" s="388">
        <v>0</v>
      </c>
      <c r="E807" s="388">
        <v>0</v>
      </c>
    </row>
    <row r="808" spans="1:5" x14ac:dyDescent="0.25">
      <c r="A808" t="s">
        <v>2045</v>
      </c>
      <c r="B808" t="s">
        <v>2046</v>
      </c>
      <c r="C808" t="s">
        <v>2794</v>
      </c>
      <c r="D808" s="388">
        <v>0</v>
      </c>
      <c r="E808" s="388">
        <v>0</v>
      </c>
    </row>
    <row r="809" spans="1:5" x14ac:dyDescent="0.25">
      <c r="A809" t="s">
        <v>2045</v>
      </c>
      <c r="B809" t="s">
        <v>2058</v>
      </c>
      <c r="C809" t="s">
        <v>2795</v>
      </c>
      <c r="D809" s="388">
        <v>0</v>
      </c>
      <c r="E809" s="388">
        <v>0</v>
      </c>
    </row>
    <row r="810" spans="1:5" x14ac:dyDescent="0.25">
      <c r="A810" t="s">
        <v>2045</v>
      </c>
      <c r="B810" t="s">
        <v>2046</v>
      </c>
      <c r="C810" t="s">
        <v>2796</v>
      </c>
      <c r="D810" s="388">
        <v>0</v>
      </c>
      <c r="E810" s="388">
        <v>0</v>
      </c>
    </row>
    <row r="811" spans="1:5" x14ac:dyDescent="0.25">
      <c r="A811" t="s">
        <v>2045</v>
      </c>
      <c r="B811" t="s">
        <v>2058</v>
      </c>
      <c r="C811" t="s">
        <v>2797</v>
      </c>
      <c r="D811" s="388">
        <v>0</v>
      </c>
      <c r="E811" s="388">
        <v>0</v>
      </c>
    </row>
    <row r="812" spans="1:5" x14ac:dyDescent="0.25">
      <c r="A812" t="s">
        <v>2045</v>
      </c>
      <c r="B812" t="s">
        <v>2187</v>
      </c>
      <c r="C812" t="s">
        <v>2798</v>
      </c>
      <c r="D812" s="388">
        <v>565301.93000000005</v>
      </c>
      <c r="E812" s="388">
        <v>0</v>
      </c>
    </row>
    <row r="813" spans="1:5" x14ac:dyDescent="0.25">
      <c r="A813" t="s">
        <v>2045</v>
      </c>
      <c r="B813" t="s">
        <v>3726</v>
      </c>
      <c r="C813" t="s">
        <v>3596</v>
      </c>
      <c r="D813" s="388">
        <v>0</v>
      </c>
      <c r="E813" s="388">
        <v>3503634.75</v>
      </c>
    </row>
    <row r="814" spans="1:5" x14ac:dyDescent="0.25">
      <c r="A814" t="s">
        <v>2045</v>
      </c>
      <c r="B814" t="s">
        <v>3743</v>
      </c>
      <c r="C814" t="s">
        <v>3139</v>
      </c>
      <c r="D814" s="388">
        <v>0</v>
      </c>
      <c r="E814" s="388">
        <v>0</v>
      </c>
    </row>
    <row r="815" spans="1:5" x14ac:dyDescent="0.25">
      <c r="A815" t="s">
        <v>2045</v>
      </c>
      <c r="B815" t="s">
        <v>3743</v>
      </c>
      <c r="C815" t="s">
        <v>3140</v>
      </c>
      <c r="D815" s="388">
        <v>0</v>
      </c>
      <c r="E815" s="388">
        <v>0</v>
      </c>
    </row>
    <row r="816" spans="1:5" x14ac:dyDescent="0.25">
      <c r="A816" t="s">
        <v>1012</v>
      </c>
      <c r="B816" t="s">
        <v>1012</v>
      </c>
      <c r="C816" t="s">
        <v>2799</v>
      </c>
      <c r="D816" s="388">
        <v>0</v>
      </c>
      <c r="E816" s="388">
        <v>0</v>
      </c>
    </row>
    <row r="817" spans="1:5" x14ac:dyDescent="0.25">
      <c r="A817" t="s">
        <v>953</v>
      </c>
      <c r="B817" t="s">
        <v>2064</v>
      </c>
      <c r="C817" t="s">
        <v>2800</v>
      </c>
      <c r="D817" s="388">
        <v>0</v>
      </c>
      <c r="E817" s="388">
        <v>0</v>
      </c>
    </row>
    <row r="818" spans="1:5" x14ac:dyDescent="0.25">
      <c r="A818" t="s">
        <v>2066</v>
      </c>
      <c r="B818" t="s">
        <v>2067</v>
      </c>
      <c r="C818" t="s">
        <v>2801</v>
      </c>
      <c r="D818" s="388">
        <v>0</v>
      </c>
      <c r="E818" s="388">
        <v>0</v>
      </c>
    </row>
    <row r="819" spans="1:5" x14ac:dyDescent="0.25">
      <c r="A819" t="s">
        <v>2066</v>
      </c>
      <c r="B819" t="s">
        <v>2069</v>
      </c>
      <c r="C819" t="s">
        <v>2802</v>
      </c>
      <c r="D819" s="388">
        <v>0</v>
      </c>
      <c r="E819" s="388">
        <v>0</v>
      </c>
    </row>
    <row r="820" spans="1:5" x14ac:dyDescent="0.25">
      <c r="A820" t="s">
        <v>953</v>
      </c>
      <c r="B820" t="s">
        <v>2064</v>
      </c>
      <c r="C820" t="s">
        <v>2803</v>
      </c>
      <c r="D820" s="388">
        <v>0</v>
      </c>
      <c r="E820" s="388">
        <v>0</v>
      </c>
    </row>
    <row r="821" spans="1:5" x14ac:dyDescent="0.25">
      <c r="A821" t="s">
        <v>2066</v>
      </c>
      <c r="B821" t="s">
        <v>2067</v>
      </c>
      <c r="C821" t="s">
        <v>2804</v>
      </c>
      <c r="D821" s="388">
        <v>0</v>
      </c>
      <c r="E821" s="388">
        <v>0</v>
      </c>
    </row>
    <row r="822" spans="1:5" x14ac:dyDescent="0.25">
      <c r="A822" t="s">
        <v>2066</v>
      </c>
      <c r="B822" t="s">
        <v>2069</v>
      </c>
      <c r="C822" t="s">
        <v>2805</v>
      </c>
      <c r="D822" s="388">
        <v>0</v>
      </c>
      <c r="E822" s="388">
        <v>0</v>
      </c>
    </row>
    <row r="823" spans="1:5" x14ac:dyDescent="0.25">
      <c r="A823" t="s">
        <v>2066</v>
      </c>
      <c r="B823" t="s">
        <v>2071</v>
      </c>
      <c r="C823" t="s">
        <v>2806</v>
      </c>
      <c r="D823" s="388">
        <v>0</v>
      </c>
      <c r="E823" s="388">
        <v>0</v>
      </c>
    </row>
    <row r="824" spans="1:5" x14ac:dyDescent="0.25">
      <c r="A824" t="s">
        <v>2066</v>
      </c>
      <c r="B824" t="s">
        <v>2069</v>
      </c>
      <c r="C824" t="s">
        <v>3141</v>
      </c>
      <c r="D824" s="388">
        <v>0</v>
      </c>
      <c r="E824" s="388">
        <v>0</v>
      </c>
    </row>
    <row r="825" spans="1:5" x14ac:dyDescent="0.25">
      <c r="A825" t="s">
        <v>1012</v>
      </c>
      <c r="B825" t="s">
        <v>1012</v>
      </c>
      <c r="C825" t="s">
        <v>2807</v>
      </c>
      <c r="D825" s="388">
        <v>-23600</v>
      </c>
      <c r="E825" s="388">
        <v>0</v>
      </c>
    </row>
    <row r="826" spans="1:5" x14ac:dyDescent="0.25">
      <c r="A826" t="s">
        <v>1012</v>
      </c>
      <c r="B826" t="s">
        <v>1012</v>
      </c>
      <c r="C826" t="s">
        <v>2808</v>
      </c>
      <c r="D826" s="388">
        <v>0</v>
      </c>
      <c r="E826" s="388">
        <v>0</v>
      </c>
    </row>
    <row r="827" spans="1:5" x14ac:dyDescent="0.25">
      <c r="A827" t="s">
        <v>2080</v>
      </c>
      <c r="B827" t="s">
        <v>2080</v>
      </c>
      <c r="C827" t="s">
        <v>2809</v>
      </c>
      <c r="D827" s="388">
        <v>2771113.18</v>
      </c>
      <c r="E827" s="388">
        <v>0</v>
      </c>
    </row>
    <row r="828" spans="1:5" x14ac:dyDescent="0.25">
      <c r="A828" t="s">
        <v>2080</v>
      </c>
      <c r="B828" t="s">
        <v>2177</v>
      </c>
      <c r="C828" t="s">
        <v>3142</v>
      </c>
      <c r="D828" s="388">
        <v>0</v>
      </c>
      <c r="E828" s="388">
        <v>0</v>
      </c>
    </row>
    <row r="829" spans="1:5" x14ac:dyDescent="0.25">
      <c r="A829" t="s">
        <v>2080</v>
      </c>
      <c r="B829" t="s">
        <v>2080</v>
      </c>
      <c r="C829" t="s">
        <v>3143</v>
      </c>
      <c r="D829" s="388">
        <v>0</v>
      </c>
      <c r="E829" s="388">
        <v>0</v>
      </c>
    </row>
    <row r="830" spans="1:5" x14ac:dyDescent="0.25">
      <c r="A830" t="s">
        <v>953</v>
      </c>
      <c r="B830" t="s">
        <v>2064</v>
      </c>
      <c r="C830" t="s">
        <v>3144</v>
      </c>
      <c r="D830" s="388">
        <v>0</v>
      </c>
      <c r="E830" s="388">
        <v>0</v>
      </c>
    </row>
    <row r="831" spans="1:5" x14ac:dyDescent="0.25">
      <c r="A831" t="s">
        <v>2066</v>
      </c>
      <c r="B831" t="s">
        <v>2069</v>
      </c>
      <c r="C831" t="s">
        <v>3145</v>
      </c>
      <c r="D831" s="388">
        <v>0</v>
      </c>
      <c r="E831" s="388">
        <v>0</v>
      </c>
    </row>
    <row r="832" spans="1:5" x14ac:dyDescent="0.25">
      <c r="A832" t="s">
        <v>953</v>
      </c>
      <c r="B832" t="s">
        <v>2064</v>
      </c>
      <c r="C832" t="s">
        <v>2810</v>
      </c>
      <c r="D832" s="388">
        <v>0</v>
      </c>
      <c r="E832" s="388">
        <v>0</v>
      </c>
    </row>
    <row r="833" spans="1:5" x14ac:dyDescent="0.25">
      <c r="A833" t="s">
        <v>2066</v>
      </c>
      <c r="B833" t="s">
        <v>2067</v>
      </c>
      <c r="C833" t="s">
        <v>2811</v>
      </c>
      <c r="D833" s="388">
        <v>0</v>
      </c>
      <c r="E833" s="388">
        <v>0</v>
      </c>
    </row>
    <row r="834" spans="1:5" x14ac:dyDescent="0.25">
      <c r="A834" t="s">
        <v>2066</v>
      </c>
      <c r="B834" t="s">
        <v>2071</v>
      </c>
      <c r="C834" t="s">
        <v>2812</v>
      </c>
      <c r="D834" s="388">
        <v>0</v>
      </c>
      <c r="E834" s="388">
        <v>0</v>
      </c>
    </row>
    <row r="835" spans="1:5" x14ac:dyDescent="0.25">
      <c r="A835" t="s">
        <v>2066</v>
      </c>
      <c r="B835" t="s">
        <v>2069</v>
      </c>
      <c r="C835" t="s">
        <v>2813</v>
      </c>
      <c r="D835" s="388">
        <v>0</v>
      </c>
      <c r="E835" s="388">
        <v>0</v>
      </c>
    </row>
    <row r="836" spans="1:5" x14ac:dyDescent="0.25">
      <c r="A836" t="s">
        <v>1012</v>
      </c>
      <c r="B836" t="s">
        <v>1012</v>
      </c>
      <c r="C836" t="s">
        <v>2814</v>
      </c>
      <c r="D836" s="388">
        <v>0</v>
      </c>
      <c r="E836" s="388">
        <v>0</v>
      </c>
    </row>
    <row r="837" spans="1:5" x14ac:dyDescent="0.25">
      <c r="A837" t="s">
        <v>1012</v>
      </c>
      <c r="B837" t="s">
        <v>1012</v>
      </c>
      <c r="C837" t="s">
        <v>2815</v>
      </c>
      <c r="D837" s="388">
        <v>0</v>
      </c>
      <c r="E837" s="388">
        <v>0</v>
      </c>
    </row>
    <row r="838" spans="1:5" x14ac:dyDescent="0.25">
      <c r="A838" t="s">
        <v>1012</v>
      </c>
      <c r="B838" t="s">
        <v>1012</v>
      </c>
      <c r="C838" t="s">
        <v>2816</v>
      </c>
      <c r="D838" s="388">
        <v>0</v>
      </c>
      <c r="E838" s="388">
        <v>0</v>
      </c>
    </row>
    <row r="839" spans="1:5" x14ac:dyDescent="0.25">
      <c r="A839" t="s">
        <v>953</v>
      </c>
      <c r="B839" t="s">
        <v>2064</v>
      </c>
      <c r="C839" t="s">
        <v>2817</v>
      </c>
      <c r="D839" s="388">
        <v>0</v>
      </c>
      <c r="E839" s="388">
        <v>0</v>
      </c>
    </row>
    <row r="840" spans="1:5" x14ac:dyDescent="0.25">
      <c r="A840" t="s">
        <v>2066</v>
      </c>
      <c r="B840" t="s">
        <v>2067</v>
      </c>
      <c r="C840" t="s">
        <v>2818</v>
      </c>
      <c r="D840" s="388">
        <v>0</v>
      </c>
      <c r="E840" s="388">
        <v>0</v>
      </c>
    </row>
    <row r="841" spans="1:5" x14ac:dyDescent="0.25">
      <c r="A841" t="s">
        <v>2066</v>
      </c>
      <c r="B841" t="s">
        <v>2069</v>
      </c>
      <c r="C841" t="s">
        <v>2819</v>
      </c>
      <c r="D841" s="388">
        <v>0</v>
      </c>
      <c r="E841" s="388">
        <v>0</v>
      </c>
    </row>
    <row r="842" spans="1:5" x14ac:dyDescent="0.25">
      <c r="A842" t="s">
        <v>953</v>
      </c>
      <c r="B842" t="s">
        <v>2064</v>
      </c>
      <c r="C842" t="s">
        <v>3146</v>
      </c>
      <c r="D842" s="388">
        <v>0</v>
      </c>
      <c r="E842" s="388">
        <v>0</v>
      </c>
    </row>
    <row r="843" spans="1:5" x14ac:dyDescent="0.25">
      <c r="A843" t="s">
        <v>2066</v>
      </c>
      <c r="B843" t="s">
        <v>2069</v>
      </c>
      <c r="C843" t="s">
        <v>3147</v>
      </c>
      <c r="D843" s="388">
        <v>0</v>
      </c>
      <c r="E843" s="388">
        <v>0</v>
      </c>
    </row>
    <row r="844" spans="1:5" x14ac:dyDescent="0.25">
      <c r="A844" t="s">
        <v>1012</v>
      </c>
      <c r="B844" t="s">
        <v>1012</v>
      </c>
      <c r="C844" t="s">
        <v>2820</v>
      </c>
      <c r="D844" s="388">
        <v>0</v>
      </c>
      <c r="E844" s="388">
        <v>0</v>
      </c>
    </row>
    <row r="845" spans="1:5" x14ac:dyDescent="0.25">
      <c r="A845" t="s">
        <v>2066</v>
      </c>
      <c r="B845" t="s">
        <v>2067</v>
      </c>
      <c r="C845" t="s">
        <v>2821</v>
      </c>
      <c r="D845" s="388">
        <v>0</v>
      </c>
      <c r="E845" s="388">
        <v>0</v>
      </c>
    </row>
    <row r="846" spans="1:5" x14ac:dyDescent="0.25">
      <c r="A846" t="s">
        <v>953</v>
      </c>
      <c r="B846" t="s">
        <v>2064</v>
      </c>
      <c r="C846" t="s">
        <v>2822</v>
      </c>
      <c r="D846" s="388">
        <v>0</v>
      </c>
      <c r="E846" s="388">
        <v>0</v>
      </c>
    </row>
    <row r="847" spans="1:5" x14ac:dyDescent="0.25">
      <c r="A847" t="s">
        <v>2066</v>
      </c>
      <c r="B847" t="s">
        <v>2067</v>
      </c>
      <c r="C847" t="s">
        <v>2823</v>
      </c>
      <c r="D847" s="388">
        <v>0</v>
      </c>
      <c r="E847" s="388">
        <v>0</v>
      </c>
    </row>
    <row r="848" spans="1:5" x14ac:dyDescent="0.25">
      <c r="A848" t="s">
        <v>2066</v>
      </c>
      <c r="B848" t="s">
        <v>2069</v>
      </c>
      <c r="C848" t="s">
        <v>2824</v>
      </c>
      <c r="D848" s="388">
        <v>0</v>
      </c>
      <c r="E848" s="388">
        <v>0</v>
      </c>
    </row>
    <row r="849" spans="1:5" x14ac:dyDescent="0.25">
      <c r="A849" t="s">
        <v>953</v>
      </c>
      <c r="B849" t="s">
        <v>2064</v>
      </c>
      <c r="C849" t="s">
        <v>2825</v>
      </c>
      <c r="D849" s="388">
        <v>0</v>
      </c>
      <c r="E849" s="388">
        <v>0</v>
      </c>
    </row>
    <row r="850" spans="1:5" x14ac:dyDescent="0.25">
      <c r="A850" t="s">
        <v>2066</v>
      </c>
      <c r="B850" t="s">
        <v>2067</v>
      </c>
      <c r="C850" t="s">
        <v>2826</v>
      </c>
      <c r="D850" s="388">
        <v>0</v>
      </c>
      <c r="E850" s="388">
        <v>0</v>
      </c>
    </row>
    <row r="851" spans="1:5" x14ac:dyDescent="0.25">
      <c r="A851" t="s">
        <v>2066</v>
      </c>
      <c r="B851" t="s">
        <v>2069</v>
      </c>
      <c r="C851" t="s">
        <v>2827</v>
      </c>
      <c r="D851" s="388">
        <v>0</v>
      </c>
      <c r="E851" s="388">
        <v>0</v>
      </c>
    </row>
    <row r="852" spans="1:5" x14ac:dyDescent="0.25">
      <c r="A852" t="s">
        <v>2066</v>
      </c>
      <c r="B852" t="s">
        <v>2071</v>
      </c>
      <c r="C852" t="s">
        <v>2828</v>
      </c>
      <c r="D852" s="388">
        <v>0</v>
      </c>
      <c r="E852" s="388">
        <v>0</v>
      </c>
    </row>
    <row r="853" spans="1:5" x14ac:dyDescent="0.25">
      <c r="A853" t="s">
        <v>953</v>
      </c>
      <c r="B853" t="s">
        <v>2064</v>
      </c>
      <c r="C853" t="s">
        <v>2829</v>
      </c>
      <c r="D853" s="388">
        <v>0</v>
      </c>
      <c r="E853" s="388">
        <v>0</v>
      </c>
    </row>
    <row r="854" spans="1:5" x14ac:dyDescent="0.25">
      <c r="A854" t="s">
        <v>2066</v>
      </c>
      <c r="B854" t="s">
        <v>2067</v>
      </c>
      <c r="C854" t="s">
        <v>2830</v>
      </c>
      <c r="D854" s="388">
        <v>0</v>
      </c>
      <c r="E854" s="388">
        <v>0</v>
      </c>
    </row>
    <row r="855" spans="1:5" x14ac:dyDescent="0.25">
      <c r="A855" t="s">
        <v>2066</v>
      </c>
      <c r="B855" t="s">
        <v>2456</v>
      </c>
      <c r="C855" t="s">
        <v>2831</v>
      </c>
      <c r="D855" s="388">
        <v>0</v>
      </c>
      <c r="E855" s="388">
        <v>0</v>
      </c>
    </row>
    <row r="856" spans="1:5" x14ac:dyDescent="0.25">
      <c r="A856" t="s">
        <v>953</v>
      </c>
      <c r="B856" t="s">
        <v>2112</v>
      </c>
      <c r="C856" t="s">
        <v>2832</v>
      </c>
      <c r="D856" s="388">
        <v>-9804</v>
      </c>
      <c r="E856" s="388">
        <v>0</v>
      </c>
    </row>
    <row r="857" spans="1:5" x14ac:dyDescent="0.25">
      <c r="A857" t="s">
        <v>2066</v>
      </c>
      <c r="B857" t="s">
        <v>2069</v>
      </c>
      <c r="C857" t="s">
        <v>2833</v>
      </c>
      <c r="D857" s="388">
        <v>0</v>
      </c>
      <c r="E857" s="388">
        <v>0</v>
      </c>
    </row>
    <row r="858" spans="1:5" x14ac:dyDescent="0.25">
      <c r="A858" t="s">
        <v>2066</v>
      </c>
      <c r="B858" t="s">
        <v>2071</v>
      </c>
      <c r="C858" t="s">
        <v>2834</v>
      </c>
      <c r="D858" s="388">
        <v>0</v>
      </c>
      <c r="E858" s="388">
        <v>0</v>
      </c>
    </row>
    <row r="859" spans="1:5" x14ac:dyDescent="0.25">
      <c r="A859" t="s">
        <v>1012</v>
      </c>
      <c r="B859" t="s">
        <v>1012</v>
      </c>
      <c r="C859" t="s">
        <v>2835</v>
      </c>
      <c r="D859" s="388">
        <v>0</v>
      </c>
      <c r="E859" s="388">
        <v>0</v>
      </c>
    </row>
    <row r="860" spans="1:5" x14ac:dyDescent="0.25">
      <c r="A860" t="s">
        <v>2066</v>
      </c>
      <c r="B860" t="s">
        <v>2069</v>
      </c>
      <c r="C860" t="s">
        <v>3148</v>
      </c>
      <c r="D860" s="388">
        <v>0</v>
      </c>
      <c r="E860" s="388">
        <v>0</v>
      </c>
    </row>
    <row r="861" spans="1:5" x14ac:dyDescent="0.25">
      <c r="A861" t="s">
        <v>953</v>
      </c>
      <c r="B861" t="s">
        <v>2064</v>
      </c>
      <c r="C861" t="s">
        <v>3101</v>
      </c>
      <c r="D861" s="388">
        <v>0</v>
      </c>
      <c r="E861" s="388">
        <v>-275008</v>
      </c>
    </row>
    <row r="862" spans="1:5" x14ac:dyDescent="0.25">
      <c r="A862" t="s">
        <v>2080</v>
      </c>
      <c r="B862" t="s">
        <v>2177</v>
      </c>
      <c r="C862" t="s">
        <v>2836</v>
      </c>
      <c r="D862" s="388">
        <v>0</v>
      </c>
      <c r="E862" s="388">
        <v>0</v>
      </c>
    </row>
    <row r="863" spans="1:5" x14ac:dyDescent="0.25">
      <c r="A863" t="s">
        <v>2298</v>
      </c>
      <c r="B863" t="s">
        <v>2298</v>
      </c>
      <c r="C863" t="s">
        <v>2837</v>
      </c>
      <c r="D863" s="388">
        <v>0</v>
      </c>
      <c r="E863" s="388">
        <v>0</v>
      </c>
    </row>
    <row r="864" spans="1:5" x14ac:dyDescent="0.25">
      <c r="A864" t="s">
        <v>2298</v>
      </c>
      <c r="B864" t="s">
        <v>2300</v>
      </c>
      <c r="C864" t="s">
        <v>2838</v>
      </c>
      <c r="D864" s="388">
        <v>0</v>
      </c>
      <c r="E864" s="388">
        <v>-15443674.32</v>
      </c>
    </row>
    <row r="865" spans="1:5" x14ac:dyDescent="0.25">
      <c r="A865" t="s">
        <v>2298</v>
      </c>
      <c r="B865" t="s">
        <v>2302</v>
      </c>
      <c r="C865" t="s">
        <v>2839</v>
      </c>
      <c r="D865" s="388">
        <v>0</v>
      </c>
      <c r="E865" s="388">
        <v>-2900139.38</v>
      </c>
    </row>
    <row r="866" spans="1:5" x14ac:dyDescent="0.25">
      <c r="A866" t="s">
        <v>2298</v>
      </c>
      <c r="B866" t="s">
        <v>2300</v>
      </c>
      <c r="C866" t="s">
        <v>2840</v>
      </c>
      <c r="D866" s="388">
        <v>0</v>
      </c>
      <c r="E866" s="388">
        <v>0</v>
      </c>
    </row>
    <row r="867" spans="1:5" x14ac:dyDescent="0.25">
      <c r="A867" t="s">
        <v>2298</v>
      </c>
      <c r="B867" t="s">
        <v>2300</v>
      </c>
      <c r="C867" t="s">
        <v>2841</v>
      </c>
      <c r="D867" s="388">
        <v>0</v>
      </c>
      <c r="E867" s="388">
        <v>-128743932.2</v>
      </c>
    </row>
    <row r="868" spans="1:5" x14ac:dyDescent="0.25">
      <c r="A868" t="s">
        <v>2298</v>
      </c>
      <c r="B868" t="s">
        <v>2302</v>
      </c>
      <c r="C868" t="s">
        <v>2842</v>
      </c>
      <c r="D868" s="388">
        <v>0</v>
      </c>
      <c r="E868" s="388">
        <v>-97827502.140000001</v>
      </c>
    </row>
    <row r="869" spans="1:5" x14ac:dyDescent="0.25">
      <c r="A869" t="s">
        <v>2298</v>
      </c>
      <c r="B869" t="s">
        <v>2300</v>
      </c>
      <c r="C869" t="s">
        <v>2843</v>
      </c>
      <c r="D869" s="388">
        <v>0</v>
      </c>
      <c r="E869" s="388">
        <v>-195327.52</v>
      </c>
    </row>
    <row r="870" spans="1:5" x14ac:dyDescent="0.25">
      <c r="A870" t="s">
        <v>953</v>
      </c>
      <c r="B870" t="s">
        <v>2064</v>
      </c>
      <c r="C870" t="s">
        <v>2844</v>
      </c>
      <c r="D870" s="388">
        <v>0</v>
      </c>
      <c r="E870" s="388">
        <v>0</v>
      </c>
    </row>
    <row r="871" spans="1:5" x14ac:dyDescent="0.25">
      <c r="A871" t="s">
        <v>2066</v>
      </c>
      <c r="B871" t="s">
        <v>2067</v>
      </c>
      <c r="C871" t="s">
        <v>2845</v>
      </c>
      <c r="D871" s="388">
        <v>0</v>
      </c>
      <c r="E871" s="388">
        <v>0</v>
      </c>
    </row>
    <row r="872" spans="1:5" x14ac:dyDescent="0.25">
      <c r="A872" t="s">
        <v>2066</v>
      </c>
      <c r="B872" t="s">
        <v>2069</v>
      </c>
      <c r="C872" t="s">
        <v>2846</v>
      </c>
      <c r="D872" s="388">
        <v>0</v>
      </c>
      <c r="E872" s="388">
        <v>0</v>
      </c>
    </row>
    <row r="873" spans="1:5" x14ac:dyDescent="0.25">
      <c r="A873" t="s">
        <v>1012</v>
      </c>
      <c r="B873" t="s">
        <v>1012</v>
      </c>
      <c r="C873" t="s">
        <v>2847</v>
      </c>
      <c r="D873" s="388">
        <v>0</v>
      </c>
      <c r="E873" s="388">
        <v>0</v>
      </c>
    </row>
    <row r="874" spans="1:5" x14ac:dyDescent="0.25">
      <c r="A874" t="s">
        <v>2128</v>
      </c>
      <c r="B874" t="s">
        <v>2129</v>
      </c>
      <c r="C874" t="s">
        <v>2848</v>
      </c>
      <c r="D874" s="388">
        <v>1044.5</v>
      </c>
      <c r="E874" s="388">
        <v>1044.5</v>
      </c>
    </row>
    <row r="875" spans="1:5" x14ac:dyDescent="0.25">
      <c r="A875" t="s">
        <v>2128</v>
      </c>
      <c r="B875" t="s">
        <v>2129</v>
      </c>
      <c r="C875" t="s">
        <v>2849</v>
      </c>
      <c r="D875" s="388">
        <v>1357.5</v>
      </c>
      <c r="E875" s="388">
        <v>1357.5</v>
      </c>
    </row>
    <row r="876" spans="1:5" x14ac:dyDescent="0.25">
      <c r="A876" t="s">
        <v>2128</v>
      </c>
      <c r="B876" t="s">
        <v>2129</v>
      </c>
      <c r="C876" t="s">
        <v>2850</v>
      </c>
      <c r="D876" s="388">
        <v>4182.37</v>
      </c>
      <c r="E876" s="388">
        <v>4182.37</v>
      </c>
    </row>
    <row r="877" spans="1:5" x14ac:dyDescent="0.25">
      <c r="A877" t="s">
        <v>1012</v>
      </c>
      <c r="B877" t="s">
        <v>1012</v>
      </c>
      <c r="C877" t="s">
        <v>3149</v>
      </c>
      <c r="D877" s="388">
        <v>0</v>
      </c>
      <c r="E877" s="388">
        <v>0</v>
      </c>
    </row>
    <row r="878" spans="1:5" x14ac:dyDescent="0.25">
      <c r="A878" t="s">
        <v>1012</v>
      </c>
      <c r="B878" t="s">
        <v>1012</v>
      </c>
      <c r="C878" t="s">
        <v>2851</v>
      </c>
      <c r="D878" s="388">
        <v>0</v>
      </c>
      <c r="E878" s="388">
        <v>16400</v>
      </c>
    </row>
    <row r="879" spans="1:5" x14ac:dyDescent="0.25">
      <c r="A879" t="s">
        <v>1012</v>
      </c>
      <c r="B879" t="s">
        <v>1012</v>
      </c>
      <c r="C879" t="s">
        <v>2852</v>
      </c>
      <c r="D879" s="388">
        <v>0</v>
      </c>
      <c r="E879" s="388">
        <v>-3333553.79</v>
      </c>
    </row>
    <row r="880" spans="1:5" x14ac:dyDescent="0.25">
      <c r="A880" t="s">
        <v>1012</v>
      </c>
      <c r="B880" t="s">
        <v>1012</v>
      </c>
      <c r="C880" t="s">
        <v>2853</v>
      </c>
      <c r="D880" s="388">
        <v>-3333555.44</v>
      </c>
      <c r="E880" s="388">
        <v>-111118.54</v>
      </c>
    </row>
    <row r="881" spans="1:5" x14ac:dyDescent="0.25">
      <c r="A881" t="s">
        <v>2080</v>
      </c>
      <c r="B881" t="s">
        <v>2080</v>
      </c>
      <c r="C881" t="s">
        <v>2854</v>
      </c>
      <c r="D881" s="388">
        <v>0</v>
      </c>
      <c r="E881" s="388">
        <v>0</v>
      </c>
    </row>
    <row r="882" spans="1:5" x14ac:dyDescent="0.25">
      <c r="A882" t="s">
        <v>2298</v>
      </c>
      <c r="B882" t="s">
        <v>2300</v>
      </c>
      <c r="C882" t="s">
        <v>2855</v>
      </c>
      <c r="D882" s="388">
        <v>0</v>
      </c>
      <c r="E882" s="388">
        <v>0</v>
      </c>
    </row>
    <row r="883" spans="1:5" x14ac:dyDescent="0.25">
      <c r="A883" t="s">
        <v>2128</v>
      </c>
      <c r="B883" t="s">
        <v>2131</v>
      </c>
      <c r="C883" t="s">
        <v>2856</v>
      </c>
      <c r="D883" s="388">
        <v>390.9</v>
      </c>
      <c r="E883" s="388">
        <v>275.89999999999998</v>
      </c>
    </row>
    <row r="884" spans="1:5" x14ac:dyDescent="0.25">
      <c r="A884" t="s">
        <v>1012</v>
      </c>
      <c r="B884" t="s">
        <v>1012</v>
      </c>
      <c r="C884" t="s">
        <v>2857</v>
      </c>
      <c r="D884" s="388">
        <v>0</v>
      </c>
      <c r="E884" s="388">
        <v>0</v>
      </c>
    </row>
    <row r="885" spans="1:5" x14ac:dyDescent="0.25">
      <c r="A885" t="s">
        <v>2066</v>
      </c>
      <c r="B885" t="s">
        <v>2066</v>
      </c>
      <c r="C885" t="s">
        <v>2858</v>
      </c>
      <c r="D885" s="388">
        <v>0</v>
      </c>
      <c r="E885" s="388">
        <v>0</v>
      </c>
    </row>
    <row r="886" spans="1:5" x14ac:dyDescent="0.25">
      <c r="A886" t="s">
        <v>1012</v>
      </c>
      <c r="B886" t="s">
        <v>1012</v>
      </c>
      <c r="C886" t="s">
        <v>3150</v>
      </c>
      <c r="D886" s="388">
        <v>0</v>
      </c>
      <c r="E886" s="388">
        <v>0</v>
      </c>
    </row>
    <row r="887" spans="1:5" x14ac:dyDescent="0.25">
      <c r="A887" t="s">
        <v>2128</v>
      </c>
      <c r="B887" t="s">
        <v>2214</v>
      </c>
      <c r="C887" t="s">
        <v>2859</v>
      </c>
      <c r="D887" s="388">
        <v>0</v>
      </c>
      <c r="E887" s="388">
        <v>0</v>
      </c>
    </row>
    <row r="888" spans="1:5" x14ac:dyDescent="0.25">
      <c r="A888" t="s">
        <v>2045</v>
      </c>
      <c r="B888" t="s">
        <v>2045</v>
      </c>
      <c r="C888" t="s">
        <v>2860</v>
      </c>
      <c r="D888" s="388">
        <v>0</v>
      </c>
      <c r="E888" s="388">
        <v>0</v>
      </c>
    </row>
    <row r="889" spans="1:5" x14ac:dyDescent="0.25">
      <c r="A889" t="s">
        <v>2045</v>
      </c>
      <c r="B889" t="s">
        <v>2200</v>
      </c>
      <c r="C889" t="s">
        <v>2861</v>
      </c>
      <c r="D889" s="388">
        <v>0</v>
      </c>
      <c r="E889" s="388">
        <v>0</v>
      </c>
    </row>
    <row r="890" spans="1:5" x14ac:dyDescent="0.25">
      <c r="A890" t="s">
        <v>2080</v>
      </c>
      <c r="B890" t="s">
        <v>2781</v>
      </c>
      <c r="C890" t="s">
        <v>2862</v>
      </c>
      <c r="D890" s="388">
        <v>0</v>
      </c>
      <c r="E890" s="388">
        <v>0</v>
      </c>
    </row>
    <row r="891" spans="1:5" x14ac:dyDescent="0.25">
      <c r="A891" t="s">
        <v>2066</v>
      </c>
      <c r="B891" t="s">
        <v>2066</v>
      </c>
      <c r="C891" t="s">
        <v>3151</v>
      </c>
      <c r="D891" s="388">
        <v>0</v>
      </c>
      <c r="E891" s="388">
        <v>0</v>
      </c>
    </row>
    <row r="892" spans="1:5" x14ac:dyDescent="0.25">
      <c r="A892" t="s">
        <v>1012</v>
      </c>
      <c r="B892" t="s">
        <v>1012</v>
      </c>
      <c r="C892" t="s">
        <v>2863</v>
      </c>
      <c r="D892" s="388">
        <v>0</v>
      </c>
      <c r="E892" s="388">
        <v>0</v>
      </c>
    </row>
    <row r="893" spans="1:5" x14ac:dyDescent="0.25">
      <c r="A893" t="s">
        <v>1012</v>
      </c>
      <c r="B893" t="s">
        <v>1012</v>
      </c>
      <c r="C893" t="s">
        <v>2864</v>
      </c>
      <c r="D893" s="388">
        <v>-338.46</v>
      </c>
      <c r="E893" s="388">
        <v>471.95</v>
      </c>
    </row>
    <row r="894" spans="1:5" x14ac:dyDescent="0.25">
      <c r="A894" t="s">
        <v>1012</v>
      </c>
      <c r="B894" t="s">
        <v>1012</v>
      </c>
      <c r="C894" t="s">
        <v>2865</v>
      </c>
      <c r="D894" s="388">
        <v>0</v>
      </c>
      <c r="E894" s="388">
        <v>0</v>
      </c>
    </row>
    <row r="895" spans="1:5" x14ac:dyDescent="0.25">
      <c r="A895" t="s">
        <v>2080</v>
      </c>
      <c r="B895" t="s">
        <v>2080</v>
      </c>
      <c r="C895" t="s">
        <v>2866</v>
      </c>
      <c r="D895" s="388">
        <v>0</v>
      </c>
      <c r="E895" s="388">
        <v>0</v>
      </c>
    </row>
    <row r="896" spans="1:5" x14ac:dyDescent="0.25">
      <c r="A896" t="s">
        <v>2080</v>
      </c>
      <c r="B896" t="s">
        <v>2080</v>
      </c>
      <c r="C896" t="s">
        <v>3152</v>
      </c>
      <c r="D896" s="388">
        <v>0</v>
      </c>
      <c r="E896" s="388">
        <v>0</v>
      </c>
    </row>
    <row r="897" spans="1:5" x14ac:dyDescent="0.25">
      <c r="A897" t="s">
        <v>953</v>
      </c>
      <c r="B897" t="s">
        <v>3761</v>
      </c>
      <c r="C897" t="s">
        <v>2867</v>
      </c>
      <c r="D897" s="388">
        <v>0</v>
      </c>
      <c r="E897" s="388">
        <v>0</v>
      </c>
    </row>
    <row r="898" spans="1:5" x14ac:dyDescent="0.25">
      <c r="A898" t="s">
        <v>2066</v>
      </c>
      <c r="B898" t="s">
        <v>2066</v>
      </c>
      <c r="C898" t="s">
        <v>2868</v>
      </c>
      <c r="D898" s="388">
        <v>0</v>
      </c>
      <c r="E898" s="388">
        <v>124182.17</v>
      </c>
    </row>
    <row r="899" spans="1:5" x14ac:dyDescent="0.25">
      <c r="A899" t="s">
        <v>1012</v>
      </c>
      <c r="B899" t="s">
        <v>1012</v>
      </c>
      <c r="C899" t="s">
        <v>2869</v>
      </c>
      <c r="D899" s="388">
        <v>0</v>
      </c>
      <c r="E899" s="388">
        <v>0</v>
      </c>
    </row>
    <row r="900" spans="1:5" x14ac:dyDescent="0.25">
      <c r="A900" t="s">
        <v>2080</v>
      </c>
      <c r="B900" t="s">
        <v>2080</v>
      </c>
      <c r="C900" t="s">
        <v>2870</v>
      </c>
      <c r="D900" s="388">
        <v>0</v>
      </c>
      <c r="E900" s="388">
        <v>0</v>
      </c>
    </row>
    <row r="901" spans="1:5" x14ac:dyDescent="0.25">
      <c r="A901" t="s">
        <v>953</v>
      </c>
      <c r="B901" t="s">
        <v>2064</v>
      </c>
      <c r="C901" t="s">
        <v>2871</v>
      </c>
      <c r="D901" s="388">
        <v>0</v>
      </c>
      <c r="E901" s="388">
        <v>0</v>
      </c>
    </row>
    <row r="902" spans="1:5" x14ac:dyDescent="0.25">
      <c r="A902" t="s">
        <v>2066</v>
      </c>
      <c r="B902" t="s">
        <v>2067</v>
      </c>
      <c r="C902" t="s">
        <v>2872</v>
      </c>
      <c r="D902" s="388">
        <v>0</v>
      </c>
      <c r="E902" s="388">
        <v>0</v>
      </c>
    </row>
    <row r="903" spans="1:5" x14ac:dyDescent="0.25">
      <c r="A903" t="s">
        <v>2066</v>
      </c>
      <c r="B903" t="s">
        <v>2069</v>
      </c>
      <c r="C903" t="s">
        <v>2873</v>
      </c>
      <c r="D903" s="388">
        <v>0</v>
      </c>
      <c r="E903" s="388">
        <v>0</v>
      </c>
    </row>
    <row r="904" spans="1:5" x14ac:dyDescent="0.25">
      <c r="A904" t="s">
        <v>2066</v>
      </c>
      <c r="B904" t="s">
        <v>2066</v>
      </c>
      <c r="C904" t="s">
        <v>2874</v>
      </c>
      <c r="D904" s="388">
        <v>0</v>
      </c>
      <c r="E904" s="388">
        <v>0</v>
      </c>
    </row>
    <row r="905" spans="1:5" x14ac:dyDescent="0.25">
      <c r="A905" t="s">
        <v>953</v>
      </c>
      <c r="B905" t="s">
        <v>2064</v>
      </c>
      <c r="C905" t="s">
        <v>2875</v>
      </c>
      <c r="D905" s="388">
        <v>0</v>
      </c>
      <c r="E905" s="388">
        <v>0</v>
      </c>
    </row>
    <row r="906" spans="1:5" x14ac:dyDescent="0.25">
      <c r="A906" t="s">
        <v>2066</v>
      </c>
      <c r="B906" t="s">
        <v>2069</v>
      </c>
      <c r="C906" t="s">
        <v>2876</v>
      </c>
      <c r="D906" s="388">
        <v>0</v>
      </c>
      <c r="E906" s="388">
        <v>0</v>
      </c>
    </row>
    <row r="907" spans="1:5" x14ac:dyDescent="0.25">
      <c r="A907" t="s">
        <v>2066</v>
      </c>
      <c r="B907" t="s">
        <v>2071</v>
      </c>
      <c r="C907" t="s">
        <v>2877</v>
      </c>
      <c r="D907" s="388">
        <v>0</v>
      </c>
      <c r="E907" s="388">
        <v>0</v>
      </c>
    </row>
    <row r="908" spans="1:5" x14ac:dyDescent="0.25">
      <c r="A908" t="s">
        <v>1012</v>
      </c>
      <c r="B908" t="s">
        <v>1012</v>
      </c>
      <c r="C908" t="s">
        <v>2878</v>
      </c>
      <c r="D908" s="388">
        <v>0</v>
      </c>
      <c r="E908" s="388">
        <v>0</v>
      </c>
    </row>
    <row r="909" spans="1:5" x14ac:dyDescent="0.25">
      <c r="A909" t="s">
        <v>2879</v>
      </c>
      <c r="B909" t="s">
        <v>2879</v>
      </c>
      <c r="C909" t="s">
        <v>2879</v>
      </c>
      <c r="D909" s="388">
        <v>0</v>
      </c>
      <c r="E909" s="388">
        <v>0</v>
      </c>
    </row>
    <row r="910" spans="1:5" x14ac:dyDescent="0.25">
      <c r="A910" t="s">
        <v>2045</v>
      </c>
      <c r="B910" t="s">
        <v>2200</v>
      </c>
      <c r="C910" t="s">
        <v>2880</v>
      </c>
      <c r="D910" s="388">
        <v>0</v>
      </c>
      <c r="E910" s="388">
        <v>0</v>
      </c>
    </row>
    <row r="911" spans="1:5" x14ac:dyDescent="0.25">
      <c r="A911" t="s">
        <v>2066</v>
      </c>
      <c r="B911" t="s">
        <v>2066</v>
      </c>
      <c r="C911" t="s">
        <v>2881</v>
      </c>
      <c r="D911" s="388">
        <v>0</v>
      </c>
      <c r="E911" s="388">
        <v>2500</v>
      </c>
    </row>
    <row r="912" spans="1:5" x14ac:dyDescent="0.25">
      <c r="A912" t="s">
        <v>1012</v>
      </c>
      <c r="B912" t="s">
        <v>1012</v>
      </c>
      <c r="C912" t="s">
        <v>2882</v>
      </c>
      <c r="D912" s="388">
        <v>0</v>
      </c>
      <c r="E912" s="388">
        <v>0</v>
      </c>
    </row>
    <row r="913" spans="1:5" x14ac:dyDescent="0.25">
      <c r="A913" t="s">
        <v>2080</v>
      </c>
      <c r="B913" t="s">
        <v>2080</v>
      </c>
      <c r="C913" t="s">
        <v>2883</v>
      </c>
      <c r="D913" s="388">
        <v>0</v>
      </c>
      <c r="E913" s="388">
        <v>0</v>
      </c>
    </row>
    <row r="914" spans="1:5" x14ac:dyDescent="0.25">
      <c r="A914" t="s">
        <v>1012</v>
      </c>
      <c r="B914" t="s">
        <v>1012</v>
      </c>
      <c r="C914" t="s">
        <v>2884</v>
      </c>
      <c r="D914" s="388">
        <v>0</v>
      </c>
      <c r="E914" s="388">
        <v>0</v>
      </c>
    </row>
    <row r="915" spans="1:5" x14ac:dyDescent="0.25">
      <c r="A915" t="s">
        <v>1012</v>
      </c>
      <c r="B915" t="s">
        <v>1012</v>
      </c>
      <c r="C915" t="s">
        <v>3153</v>
      </c>
      <c r="D915" s="388">
        <v>0</v>
      </c>
      <c r="E915" s="388">
        <v>-117</v>
      </c>
    </row>
    <row r="916" spans="1:5" x14ac:dyDescent="0.25">
      <c r="A916" t="s">
        <v>2045</v>
      </c>
      <c r="B916" t="s">
        <v>2885</v>
      </c>
      <c r="C916" t="s">
        <v>2886</v>
      </c>
      <c r="D916" s="388">
        <v>0</v>
      </c>
      <c r="E916" s="388">
        <v>0</v>
      </c>
    </row>
    <row r="917" spans="1:5" x14ac:dyDescent="0.25">
      <c r="A917" t="s">
        <v>2045</v>
      </c>
      <c r="B917" t="s">
        <v>2885</v>
      </c>
      <c r="C917" t="s">
        <v>2887</v>
      </c>
      <c r="D917" s="388">
        <v>130.33000000000001</v>
      </c>
      <c r="E917" s="388">
        <v>0</v>
      </c>
    </row>
    <row r="918" spans="1:5" x14ac:dyDescent="0.25">
      <c r="A918" t="s">
        <v>2045</v>
      </c>
      <c r="B918" t="s">
        <v>2885</v>
      </c>
      <c r="C918" t="s">
        <v>2888</v>
      </c>
      <c r="D918" s="388">
        <v>0</v>
      </c>
      <c r="E918" s="388">
        <v>0</v>
      </c>
    </row>
    <row r="919" spans="1:5" x14ac:dyDescent="0.25">
      <c r="A919" t="s">
        <v>2045</v>
      </c>
      <c r="B919" t="s">
        <v>2889</v>
      </c>
      <c r="C919" t="s">
        <v>2890</v>
      </c>
      <c r="D919" s="388">
        <v>0</v>
      </c>
      <c r="E919" s="388">
        <v>0</v>
      </c>
    </row>
    <row r="920" spans="1:5" x14ac:dyDescent="0.25">
      <c r="A920" t="s">
        <v>2045</v>
      </c>
      <c r="B920" t="s">
        <v>2885</v>
      </c>
      <c r="C920" t="s">
        <v>2891</v>
      </c>
      <c r="D920" s="388">
        <v>0</v>
      </c>
      <c r="E920" s="388">
        <v>0</v>
      </c>
    </row>
    <row r="921" spans="1:5" x14ac:dyDescent="0.25">
      <c r="A921" t="s">
        <v>1013</v>
      </c>
      <c r="B921" t="s">
        <v>2892</v>
      </c>
      <c r="C921" t="s">
        <v>2893</v>
      </c>
      <c r="D921" s="388">
        <v>0</v>
      </c>
      <c r="E921" s="388">
        <v>0</v>
      </c>
    </row>
    <row r="922" spans="1:5" x14ac:dyDescent="0.25">
      <c r="A922" t="s">
        <v>1013</v>
      </c>
      <c r="B922" t="s">
        <v>2894</v>
      </c>
      <c r="C922" t="s">
        <v>2895</v>
      </c>
      <c r="D922" s="388">
        <v>0</v>
      </c>
      <c r="E922" s="388">
        <v>0</v>
      </c>
    </row>
    <row r="923" spans="1:5" x14ac:dyDescent="0.25">
      <c r="A923" t="s">
        <v>1013</v>
      </c>
      <c r="B923" t="s">
        <v>2896</v>
      </c>
      <c r="C923" t="s">
        <v>2897</v>
      </c>
      <c r="D923" s="388">
        <v>0</v>
      </c>
      <c r="E923" s="388">
        <v>0</v>
      </c>
    </row>
    <row r="924" spans="1:5" x14ac:dyDescent="0.25">
      <c r="A924" t="s">
        <v>2045</v>
      </c>
      <c r="B924" t="s">
        <v>2885</v>
      </c>
      <c r="C924" t="s">
        <v>2898</v>
      </c>
      <c r="D924" s="388">
        <v>-5152</v>
      </c>
      <c r="E924" s="388">
        <v>0</v>
      </c>
    </row>
    <row r="925" spans="1:5" x14ac:dyDescent="0.25">
      <c r="A925" t="s">
        <v>2045</v>
      </c>
      <c r="B925" t="s">
        <v>2889</v>
      </c>
      <c r="C925" t="s">
        <v>2899</v>
      </c>
      <c r="D925" s="388">
        <v>90</v>
      </c>
      <c r="E925" s="388">
        <v>0</v>
      </c>
    </row>
    <row r="926" spans="1:5" x14ac:dyDescent="0.25">
      <c r="A926" t="s">
        <v>2281</v>
      </c>
      <c r="B926" t="s">
        <v>2282</v>
      </c>
      <c r="C926" t="s">
        <v>2900</v>
      </c>
      <c r="D926" s="388">
        <v>0</v>
      </c>
      <c r="E926" s="388">
        <v>0</v>
      </c>
    </row>
    <row r="927" spans="1:5" x14ac:dyDescent="0.25">
      <c r="A927" t="s">
        <v>1013</v>
      </c>
      <c r="B927" t="s">
        <v>2901</v>
      </c>
      <c r="C927" t="s">
        <v>2902</v>
      </c>
      <c r="D927" s="388">
        <v>0</v>
      </c>
      <c r="E927" s="388">
        <v>0</v>
      </c>
    </row>
    <row r="928" spans="1:5" x14ac:dyDescent="0.25">
      <c r="A928" t="s">
        <v>1013</v>
      </c>
      <c r="B928" t="s">
        <v>2896</v>
      </c>
      <c r="C928" t="s">
        <v>2903</v>
      </c>
      <c r="D928" s="388">
        <v>0</v>
      </c>
      <c r="E928" s="388">
        <v>0</v>
      </c>
    </row>
    <row r="929" spans="1:5" x14ac:dyDescent="0.25">
      <c r="A929" t="s">
        <v>1013</v>
      </c>
      <c r="B929" t="s">
        <v>2892</v>
      </c>
      <c r="C929" t="s">
        <v>2904</v>
      </c>
      <c r="D929" s="388">
        <v>0</v>
      </c>
      <c r="E929" s="388">
        <v>0</v>
      </c>
    </row>
    <row r="930" spans="1:5" x14ac:dyDescent="0.25">
      <c r="A930" t="s">
        <v>1013</v>
      </c>
      <c r="B930" t="s">
        <v>2894</v>
      </c>
      <c r="C930" t="s">
        <v>2905</v>
      </c>
      <c r="D930" s="388">
        <v>7548.13</v>
      </c>
      <c r="E930" s="388">
        <v>0</v>
      </c>
    </row>
    <row r="931" spans="1:5" x14ac:dyDescent="0.25">
      <c r="A931" t="s">
        <v>2066</v>
      </c>
      <c r="B931" t="s">
        <v>2066</v>
      </c>
      <c r="C931" t="s">
        <v>2906</v>
      </c>
      <c r="D931" s="388">
        <v>0</v>
      </c>
      <c r="E931" s="388">
        <v>3101</v>
      </c>
    </row>
    <row r="932" spans="1:5" x14ac:dyDescent="0.25">
      <c r="A932" t="s">
        <v>2045</v>
      </c>
      <c r="B932" t="s">
        <v>3740</v>
      </c>
      <c r="C932" t="s">
        <v>3597</v>
      </c>
      <c r="D932" s="388">
        <v>0</v>
      </c>
      <c r="E932" s="388">
        <v>-81710.7</v>
      </c>
    </row>
    <row r="933" spans="1:5" x14ac:dyDescent="0.25">
      <c r="A933" t="s">
        <v>1013</v>
      </c>
      <c r="B933" t="s">
        <v>2901</v>
      </c>
      <c r="C933" t="s">
        <v>2907</v>
      </c>
      <c r="D933" s="388">
        <v>0</v>
      </c>
      <c r="E933" s="388">
        <v>0</v>
      </c>
    </row>
    <row r="934" spans="1:5" x14ac:dyDescent="0.25">
      <c r="A934" t="s">
        <v>1013</v>
      </c>
      <c r="B934" t="s">
        <v>2896</v>
      </c>
      <c r="C934" t="s">
        <v>2908</v>
      </c>
      <c r="D934" s="388">
        <v>0</v>
      </c>
      <c r="E934" s="388">
        <v>0</v>
      </c>
    </row>
    <row r="935" spans="1:5" x14ac:dyDescent="0.25">
      <c r="A935" t="s">
        <v>1013</v>
      </c>
      <c r="B935" t="s">
        <v>2892</v>
      </c>
      <c r="C935" t="s">
        <v>2909</v>
      </c>
      <c r="D935" s="388">
        <v>0</v>
      </c>
      <c r="E935" s="388">
        <v>0</v>
      </c>
    </row>
    <row r="936" spans="1:5" x14ac:dyDescent="0.25">
      <c r="A936" t="s">
        <v>1013</v>
      </c>
      <c r="B936" t="s">
        <v>2894</v>
      </c>
      <c r="C936" t="s">
        <v>2910</v>
      </c>
      <c r="D936" s="388">
        <v>6614033.96</v>
      </c>
      <c r="E936" s="388">
        <v>0</v>
      </c>
    </row>
    <row r="937" spans="1:5" x14ac:dyDescent="0.25">
      <c r="A937" t="s">
        <v>1013</v>
      </c>
      <c r="B937" t="s">
        <v>2911</v>
      </c>
      <c r="C937" t="s">
        <v>2912</v>
      </c>
      <c r="D937" s="388">
        <v>1723824.09</v>
      </c>
      <c r="E937" s="388">
        <v>0</v>
      </c>
    </row>
    <row r="938" spans="1:5" x14ac:dyDescent="0.25">
      <c r="A938" t="s">
        <v>1013</v>
      </c>
      <c r="B938" t="s">
        <v>3107</v>
      </c>
      <c r="C938" t="s">
        <v>3154</v>
      </c>
      <c r="D938" s="388">
        <v>0</v>
      </c>
      <c r="E938" s="388">
        <v>2322128.04</v>
      </c>
    </row>
    <row r="939" spans="1:5" x14ac:dyDescent="0.25">
      <c r="A939" t="s">
        <v>2045</v>
      </c>
      <c r="B939" t="s">
        <v>3762</v>
      </c>
      <c r="C939" t="s">
        <v>3155</v>
      </c>
      <c r="D939" s="388">
        <v>0</v>
      </c>
      <c r="E939" s="388">
        <v>0</v>
      </c>
    </row>
    <row r="940" spans="1:5" x14ac:dyDescent="0.25">
      <c r="A940" t="s">
        <v>2045</v>
      </c>
      <c r="B940" t="s">
        <v>3762</v>
      </c>
      <c r="C940" t="s">
        <v>3156</v>
      </c>
      <c r="D940" s="388">
        <v>0</v>
      </c>
      <c r="E940" s="388">
        <v>0</v>
      </c>
    </row>
    <row r="941" spans="1:5" x14ac:dyDescent="0.25">
      <c r="A941" t="s">
        <v>2045</v>
      </c>
      <c r="B941" t="s">
        <v>3762</v>
      </c>
      <c r="C941" t="s">
        <v>3157</v>
      </c>
      <c r="D941" s="388">
        <v>0</v>
      </c>
      <c r="E941" s="388">
        <v>0</v>
      </c>
    </row>
    <row r="942" spans="1:5" x14ac:dyDescent="0.25">
      <c r="A942" t="s">
        <v>1013</v>
      </c>
      <c r="B942" t="s">
        <v>2896</v>
      </c>
      <c r="C942" t="s">
        <v>2913</v>
      </c>
      <c r="D942" s="388">
        <v>0</v>
      </c>
      <c r="E942" s="388">
        <v>0</v>
      </c>
    </row>
    <row r="943" spans="1:5" x14ac:dyDescent="0.25">
      <c r="A943" t="s">
        <v>1013</v>
      </c>
      <c r="B943" t="s">
        <v>2892</v>
      </c>
      <c r="C943" t="s">
        <v>2914</v>
      </c>
      <c r="D943" s="388">
        <v>0</v>
      </c>
      <c r="E943" s="388">
        <v>0</v>
      </c>
    </row>
    <row r="944" spans="1:5" x14ac:dyDescent="0.25">
      <c r="A944" t="s">
        <v>1013</v>
      </c>
      <c r="B944" t="s">
        <v>2894</v>
      </c>
      <c r="C944" t="s">
        <v>2915</v>
      </c>
      <c r="D944" s="388">
        <v>179937</v>
      </c>
      <c r="E944" s="388">
        <v>0</v>
      </c>
    </row>
    <row r="945" spans="1:5" x14ac:dyDescent="0.25">
      <c r="A945" t="s">
        <v>2045</v>
      </c>
      <c r="B945" t="s">
        <v>3740</v>
      </c>
      <c r="C945" t="s">
        <v>3102</v>
      </c>
      <c r="D945" s="388">
        <v>0</v>
      </c>
      <c r="E945" s="388">
        <v>-3742.84</v>
      </c>
    </row>
    <row r="946" spans="1:5" x14ac:dyDescent="0.25">
      <c r="A946" t="s">
        <v>2045</v>
      </c>
      <c r="B946" t="s">
        <v>2916</v>
      </c>
      <c r="C946" t="s">
        <v>2917</v>
      </c>
      <c r="D946" s="388">
        <v>0</v>
      </c>
      <c r="E946" s="388">
        <v>0</v>
      </c>
    </row>
    <row r="947" spans="1:5" x14ac:dyDescent="0.25">
      <c r="A947" t="s">
        <v>2045</v>
      </c>
      <c r="B947" t="s">
        <v>2918</v>
      </c>
      <c r="C947" t="s">
        <v>2919</v>
      </c>
      <c r="D947" s="388">
        <v>0</v>
      </c>
      <c r="E947" s="388">
        <v>0</v>
      </c>
    </row>
    <row r="948" spans="1:5" x14ac:dyDescent="0.25">
      <c r="A948" t="s">
        <v>2045</v>
      </c>
      <c r="B948" t="s">
        <v>2920</v>
      </c>
      <c r="C948" t="s">
        <v>2921</v>
      </c>
      <c r="D948" s="388">
        <v>-3549</v>
      </c>
      <c r="E948" s="388">
        <v>0</v>
      </c>
    </row>
    <row r="949" spans="1:5" x14ac:dyDescent="0.25">
      <c r="A949" t="s">
        <v>2045</v>
      </c>
      <c r="B949" t="s">
        <v>3740</v>
      </c>
      <c r="C949" t="s">
        <v>3103</v>
      </c>
      <c r="D949" s="388">
        <v>0</v>
      </c>
      <c r="E949" s="388">
        <v>-26237.97</v>
      </c>
    </row>
    <row r="950" spans="1:5" x14ac:dyDescent="0.25">
      <c r="A950" t="s">
        <v>2045</v>
      </c>
      <c r="B950" t="s">
        <v>3740</v>
      </c>
      <c r="C950" t="s">
        <v>3158</v>
      </c>
      <c r="D950" s="388">
        <v>0</v>
      </c>
      <c r="E950" s="388">
        <v>0</v>
      </c>
    </row>
    <row r="951" spans="1:5" x14ac:dyDescent="0.25">
      <c r="A951" t="s">
        <v>2045</v>
      </c>
      <c r="B951" t="s">
        <v>3740</v>
      </c>
      <c r="C951" t="s">
        <v>3104</v>
      </c>
      <c r="D951" s="388">
        <v>0</v>
      </c>
      <c r="E951" s="388">
        <v>-0.15</v>
      </c>
    </row>
    <row r="952" spans="1:5" x14ac:dyDescent="0.25">
      <c r="A952" t="s">
        <v>2045</v>
      </c>
      <c r="B952" t="s">
        <v>3740</v>
      </c>
      <c r="C952" t="s">
        <v>3159</v>
      </c>
      <c r="D952" s="388">
        <v>0</v>
      </c>
      <c r="E952" s="388">
        <v>0</v>
      </c>
    </row>
    <row r="953" spans="1:5" x14ac:dyDescent="0.25">
      <c r="A953" t="s">
        <v>2045</v>
      </c>
      <c r="B953" t="s">
        <v>3740</v>
      </c>
      <c r="C953" t="s">
        <v>3106</v>
      </c>
      <c r="D953" s="388">
        <v>0</v>
      </c>
      <c r="E953" s="388">
        <v>-72925</v>
      </c>
    </row>
    <row r="954" spans="1:5" x14ac:dyDescent="0.25">
      <c r="A954" t="s">
        <v>1013</v>
      </c>
      <c r="B954" t="s">
        <v>3107</v>
      </c>
      <c r="C954" t="s">
        <v>3108</v>
      </c>
      <c r="D954" s="388">
        <v>0</v>
      </c>
      <c r="E954" s="388">
        <v>17.16</v>
      </c>
    </row>
    <row r="955" spans="1:5" x14ac:dyDescent="0.25">
      <c r="A955" t="s">
        <v>1013</v>
      </c>
      <c r="B955" t="s">
        <v>2911</v>
      </c>
      <c r="C955" t="s">
        <v>2922</v>
      </c>
      <c r="D955" s="388">
        <v>13137.79</v>
      </c>
      <c r="E955" s="388">
        <v>0</v>
      </c>
    </row>
    <row r="956" spans="1:5" x14ac:dyDescent="0.25">
      <c r="A956" t="s">
        <v>1012</v>
      </c>
      <c r="B956" t="s">
        <v>1012</v>
      </c>
      <c r="C956" t="s">
        <v>2923</v>
      </c>
      <c r="D956" s="388">
        <v>0</v>
      </c>
      <c r="E956" s="388">
        <v>0</v>
      </c>
    </row>
    <row r="957" spans="1:5" x14ac:dyDescent="0.25">
      <c r="A957" t="s">
        <v>953</v>
      </c>
      <c r="B957" t="s">
        <v>2064</v>
      </c>
      <c r="C957" t="s">
        <v>2924</v>
      </c>
      <c r="D957" s="388">
        <v>0</v>
      </c>
      <c r="E957" s="388">
        <v>0</v>
      </c>
    </row>
    <row r="958" spans="1:5" x14ac:dyDescent="0.25">
      <c r="A958" t="s">
        <v>2066</v>
      </c>
      <c r="B958" t="s">
        <v>2067</v>
      </c>
      <c r="C958" t="s">
        <v>2925</v>
      </c>
      <c r="D958" s="388">
        <v>0</v>
      </c>
      <c r="E958" s="388">
        <v>0</v>
      </c>
    </row>
    <row r="959" spans="1:5" x14ac:dyDescent="0.25">
      <c r="A959" t="s">
        <v>2066</v>
      </c>
      <c r="B959" t="s">
        <v>2069</v>
      </c>
      <c r="C959" t="s">
        <v>2926</v>
      </c>
      <c r="D959" s="388">
        <v>0</v>
      </c>
      <c r="E959" s="388">
        <v>0</v>
      </c>
    </row>
    <row r="960" spans="1:5" x14ac:dyDescent="0.25">
      <c r="A960" t="s">
        <v>953</v>
      </c>
      <c r="B960" t="s">
        <v>2064</v>
      </c>
      <c r="C960" t="s">
        <v>2927</v>
      </c>
      <c r="D960" s="388">
        <v>0</v>
      </c>
      <c r="E960" s="388">
        <v>0</v>
      </c>
    </row>
    <row r="961" spans="1:5" x14ac:dyDescent="0.25">
      <c r="A961" t="s">
        <v>2066</v>
      </c>
      <c r="B961" t="s">
        <v>2069</v>
      </c>
      <c r="C961" t="s">
        <v>2928</v>
      </c>
      <c r="D961" s="388">
        <v>0</v>
      </c>
      <c r="E961" s="388">
        <v>0</v>
      </c>
    </row>
    <row r="962" spans="1:5" x14ac:dyDescent="0.25">
      <c r="A962" t="s">
        <v>1012</v>
      </c>
      <c r="B962" t="s">
        <v>1012</v>
      </c>
      <c r="C962" t="s">
        <v>2929</v>
      </c>
      <c r="D962" s="388">
        <v>0</v>
      </c>
      <c r="E962" s="388">
        <v>0</v>
      </c>
    </row>
    <row r="963" spans="1:5" x14ac:dyDescent="0.25">
      <c r="A963" t="s">
        <v>953</v>
      </c>
      <c r="B963" t="s">
        <v>2064</v>
      </c>
      <c r="C963" t="s">
        <v>2930</v>
      </c>
      <c r="D963" s="388">
        <v>0</v>
      </c>
      <c r="E963" s="388">
        <v>0</v>
      </c>
    </row>
    <row r="964" spans="1:5" x14ac:dyDescent="0.25">
      <c r="A964" t="s">
        <v>2066</v>
      </c>
      <c r="B964" t="s">
        <v>2067</v>
      </c>
      <c r="C964" t="s">
        <v>2931</v>
      </c>
      <c r="D964" s="388">
        <v>0</v>
      </c>
      <c r="E964" s="388">
        <v>0</v>
      </c>
    </row>
    <row r="965" spans="1:5" x14ac:dyDescent="0.25">
      <c r="A965" t="s">
        <v>2066</v>
      </c>
      <c r="B965" t="s">
        <v>2069</v>
      </c>
      <c r="C965" t="s">
        <v>2932</v>
      </c>
      <c r="D965" s="388">
        <v>0</v>
      </c>
      <c r="E965" s="388">
        <v>0</v>
      </c>
    </row>
    <row r="966" spans="1:5" x14ac:dyDescent="0.25">
      <c r="A966" t="s">
        <v>1012</v>
      </c>
      <c r="B966" t="s">
        <v>1012</v>
      </c>
      <c r="C966" t="s">
        <v>2933</v>
      </c>
      <c r="D966" s="388">
        <v>0</v>
      </c>
      <c r="E966" s="388">
        <v>0</v>
      </c>
    </row>
    <row r="967" spans="1:5" x14ac:dyDescent="0.25">
      <c r="A967" t="s">
        <v>2045</v>
      </c>
      <c r="B967" t="s">
        <v>2934</v>
      </c>
      <c r="C967" t="s">
        <v>2935</v>
      </c>
      <c r="D967" s="388">
        <v>0</v>
      </c>
      <c r="E967" s="388">
        <v>0</v>
      </c>
    </row>
    <row r="968" spans="1:5" x14ac:dyDescent="0.25">
      <c r="A968" t="s">
        <v>2045</v>
      </c>
      <c r="B968" t="s">
        <v>2916</v>
      </c>
      <c r="C968" t="s">
        <v>2936</v>
      </c>
      <c r="D968" s="388">
        <v>0</v>
      </c>
      <c r="E968" s="388">
        <v>0</v>
      </c>
    </row>
    <row r="969" spans="1:5" x14ac:dyDescent="0.25">
      <c r="A969" t="s">
        <v>2045</v>
      </c>
      <c r="B969" t="s">
        <v>2918</v>
      </c>
      <c r="C969" t="s">
        <v>2937</v>
      </c>
      <c r="D969" s="388">
        <v>0</v>
      </c>
      <c r="E969" s="388">
        <v>0</v>
      </c>
    </row>
    <row r="970" spans="1:5" x14ac:dyDescent="0.25">
      <c r="A970" t="s">
        <v>2045</v>
      </c>
      <c r="B970" t="s">
        <v>2920</v>
      </c>
      <c r="C970" t="s">
        <v>2938</v>
      </c>
      <c r="D970" s="388">
        <v>-1163483</v>
      </c>
      <c r="E970" s="388">
        <v>149494</v>
      </c>
    </row>
    <row r="971" spans="1:5" x14ac:dyDescent="0.25">
      <c r="A971" t="s">
        <v>2045</v>
      </c>
      <c r="B971" t="s">
        <v>3762</v>
      </c>
      <c r="C971" t="s">
        <v>3160</v>
      </c>
      <c r="D971" s="388">
        <v>0</v>
      </c>
      <c r="E971" s="388">
        <v>0</v>
      </c>
    </row>
    <row r="972" spans="1:5" x14ac:dyDescent="0.25">
      <c r="A972" t="s">
        <v>2045</v>
      </c>
      <c r="B972" t="s">
        <v>3762</v>
      </c>
      <c r="C972" t="s">
        <v>3161</v>
      </c>
      <c r="D972" s="388">
        <v>0</v>
      </c>
      <c r="E972" s="388">
        <v>0</v>
      </c>
    </row>
    <row r="973" spans="1:5" x14ac:dyDescent="0.25">
      <c r="A973" t="s">
        <v>2045</v>
      </c>
      <c r="B973" t="s">
        <v>3762</v>
      </c>
      <c r="C973" t="s">
        <v>3162</v>
      </c>
      <c r="D973" s="388">
        <v>0</v>
      </c>
      <c r="E973" s="388">
        <v>0</v>
      </c>
    </row>
    <row r="974" spans="1:5" x14ac:dyDescent="0.25">
      <c r="A974" t="s">
        <v>2045</v>
      </c>
      <c r="B974" t="s">
        <v>2939</v>
      </c>
      <c r="C974" t="s">
        <v>2940</v>
      </c>
      <c r="D974" s="388">
        <v>-423.62</v>
      </c>
      <c r="E974" s="388">
        <v>-423.62</v>
      </c>
    </row>
    <row r="975" spans="1:5" x14ac:dyDescent="0.25">
      <c r="A975" t="s">
        <v>2045</v>
      </c>
      <c r="B975" t="s">
        <v>2934</v>
      </c>
      <c r="C975" t="s">
        <v>2941</v>
      </c>
      <c r="D975" s="388">
        <v>7.0000000000000007E-2</v>
      </c>
      <c r="E975" s="388">
        <v>7.0000000000000007E-2</v>
      </c>
    </row>
    <row r="976" spans="1:5" x14ac:dyDescent="0.25">
      <c r="A976" t="s">
        <v>2045</v>
      </c>
      <c r="B976" t="s">
        <v>2916</v>
      </c>
      <c r="C976" t="s">
        <v>2942</v>
      </c>
      <c r="D976" s="388">
        <v>0</v>
      </c>
      <c r="E976" s="388">
        <v>0</v>
      </c>
    </row>
    <row r="977" spans="1:5" x14ac:dyDescent="0.25">
      <c r="A977" t="s">
        <v>2045</v>
      </c>
      <c r="B977" t="s">
        <v>2918</v>
      </c>
      <c r="C977" t="s">
        <v>2943</v>
      </c>
      <c r="D977" s="388">
        <v>0</v>
      </c>
      <c r="E977" s="388">
        <v>0</v>
      </c>
    </row>
    <row r="978" spans="1:5" x14ac:dyDescent="0.25">
      <c r="A978" t="s">
        <v>2045</v>
      </c>
      <c r="B978" t="s">
        <v>2920</v>
      </c>
      <c r="C978" t="s">
        <v>2944</v>
      </c>
      <c r="D978" s="388">
        <v>-2642</v>
      </c>
      <c r="E978" s="388">
        <v>-1098</v>
      </c>
    </row>
    <row r="979" spans="1:5" x14ac:dyDescent="0.25">
      <c r="A979" t="s">
        <v>2045</v>
      </c>
      <c r="B979" t="s">
        <v>2939</v>
      </c>
      <c r="C979" t="s">
        <v>2945</v>
      </c>
      <c r="D979" s="388">
        <v>1909</v>
      </c>
      <c r="E979" s="388">
        <v>1909</v>
      </c>
    </row>
    <row r="980" spans="1:5" x14ac:dyDescent="0.25">
      <c r="A980" t="s">
        <v>2045</v>
      </c>
      <c r="B980" t="s">
        <v>2939</v>
      </c>
      <c r="C980" t="s">
        <v>2946</v>
      </c>
      <c r="D980" s="388">
        <v>4423.93</v>
      </c>
      <c r="E980" s="388">
        <v>4423.93</v>
      </c>
    </row>
    <row r="981" spans="1:5" x14ac:dyDescent="0.25">
      <c r="A981" t="s">
        <v>2045</v>
      </c>
      <c r="B981" t="s">
        <v>2934</v>
      </c>
      <c r="C981" t="s">
        <v>2947</v>
      </c>
      <c r="D981" s="388">
        <v>158.5</v>
      </c>
      <c r="E981" s="388">
        <v>158.5</v>
      </c>
    </row>
    <row r="982" spans="1:5" x14ac:dyDescent="0.25">
      <c r="A982" t="s">
        <v>2045</v>
      </c>
      <c r="B982" t="s">
        <v>2916</v>
      </c>
      <c r="C982" t="s">
        <v>2948</v>
      </c>
      <c r="D982" s="388">
        <v>-11569</v>
      </c>
      <c r="E982" s="388">
        <v>-11569</v>
      </c>
    </row>
    <row r="983" spans="1:5" x14ac:dyDescent="0.25">
      <c r="A983" t="s">
        <v>2045</v>
      </c>
      <c r="B983" t="s">
        <v>2918</v>
      </c>
      <c r="C983" t="s">
        <v>2949</v>
      </c>
      <c r="D983" s="388">
        <v>212</v>
      </c>
      <c r="E983" s="388">
        <v>212</v>
      </c>
    </row>
    <row r="984" spans="1:5" x14ac:dyDescent="0.25">
      <c r="A984" t="s">
        <v>2045</v>
      </c>
      <c r="B984" t="s">
        <v>2920</v>
      </c>
      <c r="C984" t="s">
        <v>2950</v>
      </c>
      <c r="D984" s="388">
        <v>-276945.56</v>
      </c>
      <c r="E984" s="388">
        <v>21113.439999999999</v>
      </c>
    </row>
    <row r="985" spans="1:5" x14ac:dyDescent="0.25">
      <c r="A985" t="s">
        <v>2045</v>
      </c>
      <c r="B985" t="s">
        <v>3740</v>
      </c>
      <c r="C985" t="s">
        <v>3109</v>
      </c>
      <c r="D985" s="388">
        <v>0</v>
      </c>
      <c r="E985" s="388">
        <v>-3497.61</v>
      </c>
    </row>
    <row r="986" spans="1:5" x14ac:dyDescent="0.25">
      <c r="A986" t="s">
        <v>2045</v>
      </c>
      <c r="B986" t="s">
        <v>2939</v>
      </c>
      <c r="C986" t="s">
        <v>2951</v>
      </c>
      <c r="D986" s="388">
        <v>0.5</v>
      </c>
      <c r="E986" s="388">
        <v>0.5</v>
      </c>
    </row>
    <row r="987" spans="1:5" x14ac:dyDescent="0.25">
      <c r="A987" t="s">
        <v>2045</v>
      </c>
      <c r="B987" t="s">
        <v>2934</v>
      </c>
      <c r="C987" t="s">
        <v>2952</v>
      </c>
      <c r="D987" s="388">
        <v>0</v>
      </c>
      <c r="E987" s="388">
        <v>0</v>
      </c>
    </row>
    <row r="988" spans="1:5" x14ac:dyDescent="0.25">
      <c r="A988" t="s">
        <v>2045</v>
      </c>
      <c r="B988" t="s">
        <v>2916</v>
      </c>
      <c r="C988" t="s">
        <v>2953</v>
      </c>
      <c r="D988" s="388">
        <v>0</v>
      </c>
      <c r="E988" s="388">
        <v>0</v>
      </c>
    </row>
    <row r="989" spans="1:5" x14ac:dyDescent="0.25">
      <c r="A989" t="s">
        <v>2045</v>
      </c>
      <c r="B989" t="s">
        <v>2918</v>
      </c>
      <c r="C989" t="s">
        <v>2954</v>
      </c>
      <c r="D989" s="388">
        <v>0</v>
      </c>
      <c r="E989" s="388">
        <v>0</v>
      </c>
    </row>
    <row r="990" spans="1:5" x14ac:dyDescent="0.25">
      <c r="A990" t="s">
        <v>2045</v>
      </c>
      <c r="B990" t="s">
        <v>2920</v>
      </c>
      <c r="C990" t="s">
        <v>2955</v>
      </c>
      <c r="D990" s="388">
        <v>-76866</v>
      </c>
      <c r="E990" s="388">
        <v>-944</v>
      </c>
    </row>
    <row r="991" spans="1:5" x14ac:dyDescent="0.25">
      <c r="A991" t="s">
        <v>2045</v>
      </c>
      <c r="B991" t="s">
        <v>2939</v>
      </c>
      <c r="C991" t="s">
        <v>2956</v>
      </c>
      <c r="D991" s="388">
        <v>0</v>
      </c>
      <c r="E991" s="388">
        <v>0</v>
      </c>
    </row>
    <row r="992" spans="1:5" x14ac:dyDescent="0.25">
      <c r="A992" t="s">
        <v>2045</v>
      </c>
      <c r="B992" t="s">
        <v>2934</v>
      </c>
      <c r="C992" t="s">
        <v>2957</v>
      </c>
      <c r="D992" s="388">
        <v>0</v>
      </c>
      <c r="E992" s="388">
        <v>0</v>
      </c>
    </row>
    <row r="993" spans="1:5" x14ac:dyDescent="0.25">
      <c r="A993" t="s">
        <v>2045</v>
      </c>
      <c r="B993" t="s">
        <v>2916</v>
      </c>
      <c r="C993" t="s">
        <v>2958</v>
      </c>
      <c r="D993" s="388">
        <v>3.22</v>
      </c>
      <c r="E993" s="388">
        <v>3.22</v>
      </c>
    </row>
    <row r="994" spans="1:5" x14ac:dyDescent="0.25">
      <c r="A994" t="s">
        <v>2045</v>
      </c>
      <c r="B994" t="s">
        <v>2918</v>
      </c>
      <c r="C994" t="s">
        <v>2959</v>
      </c>
      <c r="D994" s="388">
        <v>171634.59</v>
      </c>
      <c r="E994" s="388">
        <v>171634.59</v>
      </c>
    </row>
    <row r="995" spans="1:5" x14ac:dyDescent="0.25">
      <c r="A995" t="s">
        <v>2045</v>
      </c>
      <c r="B995" t="s">
        <v>2920</v>
      </c>
      <c r="C995" t="s">
        <v>2960</v>
      </c>
      <c r="D995" s="388">
        <v>691936.21</v>
      </c>
      <c r="E995" s="388">
        <v>691936.21</v>
      </c>
    </row>
    <row r="996" spans="1:5" x14ac:dyDescent="0.25">
      <c r="A996" t="s">
        <v>2045</v>
      </c>
      <c r="B996" t="s">
        <v>3740</v>
      </c>
      <c r="C996" t="s">
        <v>3111</v>
      </c>
      <c r="D996" s="388">
        <v>0</v>
      </c>
      <c r="E996" s="388">
        <v>-1781311</v>
      </c>
    </row>
    <row r="997" spans="1:5" x14ac:dyDescent="0.25">
      <c r="A997" t="s">
        <v>1012</v>
      </c>
      <c r="B997" t="s">
        <v>1012</v>
      </c>
      <c r="C997" t="s">
        <v>3112</v>
      </c>
      <c r="D997" s="388">
        <v>0</v>
      </c>
      <c r="E997" s="388">
        <v>-4753251.7</v>
      </c>
    </row>
    <row r="998" spans="1:5" x14ac:dyDescent="0.25">
      <c r="A998" t="s">
        <v>1012</v>
      </c>
      <c r="B998" t="s">
        <v>1012</v>
      </c>
      <c r="C998" t="s">
        <v>2961</v>
      </c>
      <c r="D998" s="388">
        <v>-493835.8</v>
      </c>
      <c r="E998" s="388">
        <v>-0.45</v>
      </c>
    </row>
    <row r="999" spans="1:5" x14ac:dyDescent="0.25">
      <c r="A999" t="s">
        <v>2080</v>
      </c>
      <c r="B999" t="s">
        <v>2080</v>
      </c>
      <c r="C999" t="s">
        <v>2962</v>
      </c>
      <c r="D999" s="388">
        <v>3564166.98</v>
      </c>
      <c r="E999" s="388">
        <v>0</v>
      </c>
    </row>
    <row r="1000" spans="1:5" x14ac:dyDescent="0.25">
      <c r="A1000" t="s">
        <v>1012</v>
      </c>
      <c r="B1000" t="s">
        <v>1012</v>
      </c>
      <c r="C1000" t="s">
        <v>2963</v>
      </c>
      <c r="D1000" s="388">
        <v>0</v>
      </c>
      <c r="E1000" s="388">
        <v>0</v>
      </c>
    </row>
    <row r="1001" spans="1:5" x14ac:dyDescent="0.25">
      <c r="A1001" t="s">
        <v>1012</v>
      </c>
      <c r="B1001" t="s">
        <v>1012</v>
      </c>
      <c r="C1001" t="s">
        <v>2964</v>
      </c>
      <c r="D1001" s="388">
        <v>0</v>
      </c>
      <c r="E1001" s="388">
        <v>0</v>
      </c>
    </row>
    <row r="1002" spans="1:5" x14ac:dyDescent="0.25">
      <c r="A1002" t="s">
        <v>1012</v>
      </c>
      <c r="B1002" t="s">
        <v>1012</v>
      </c>
      <c r="C1002" t="s">
        <v>2965</v>
      </c>
      <c r="D1002" s="388">
        <v>0</v>
      </c>
      <c r="E1002" s="388">
        <v>0</v>
      </c>
    </row>
    <row r="1003" spans="1:5" x14ac:dyDescent="0.25">
      <c r="A1003" t="s">
        <v>1012</v>
      </c>
      <c r="B1003" t="s">
        <v>1012</v>
      </c>
      <c r="C1003" t="s">
        <v>2966</v>
      </c>
      <c r="D1003" s="388">
        <v>0</v>
      </c>
      <c r="E1003" s="388">
        <v>0</v>
      </c>
    </row>
    <row r="1004" spans="1:5" x14ac:dyDescent="0.25">
      <c r="A1004" t="s">
        <v>2066</v>
      </c>
      <c r="B1004" t="s">
        <v>2066</v>
      </c>
      <c r="C1004" t="s">
        <v>2967</v>
      </c>
      <c r="D1004" s="388">
        <v>0</v>
      </c>
      <c r="E1004" s="388">
        <v>19697.98</v>
      </c>
    </row>
    <row r="1005" spans="1:5" x14ac:dyDescent="0.25">
      <c r="A1005" t="s">
        <v>2066</v>
      </c>
      <c r="B1005" t="s">
        <v>2066</v>
      </c>
      <c r="C1005" t="s">
        <v>2968</v>
      </c>
      <c r="D1005" s="388">
        <v>0</v>
      </c>
      <c r="E1005" s="388">
        <v>46444.26</v>
      </c>
    </row>
    <row r="1006" spans="1:5" x14ac:dyDescent="0.25">
      <c r="A1006" t="s">
        <v>2080</v>
      </c>
      <c r="B1006" t="s">
        <v>2080</v>
      </c>
      <c r="C1006" t="s">
        <v>2969</v>
      </c>
      <c r="D1006" s="388">
        <v>0</v>
      </c>
      <c r="E1006" s="388">
        <v>0</v>
      </c>
    </row>
    <row r="1007" spans="1:5" x14ac:dyDescent="0.25">
      <c r="A1007" t="s">
        <v>2080</v>
      </c>
      <c r="B1007" t="s">
        <v>2080</v>
      </c>
      <c r="C1007" t="s">
        <v>2970</v>
      </c>
      <c r="D1007" s="388">
        <v>0</v>
      </c>
      <c r="E1007" s="388">
        <v>0</v>
      </c>
    </row>
    <row r="1008" spans="1:5" x14ac:dyDescent="0.25">
      <c r="A1008" t="s">
        <v>2066</v>
      </c>
      <c r="B1008" t="s">
        <v>2066</v>
      </c>
      <c r="C1008" t="s">
        <v>2971</v>
      </c>
      <c r="D1008" s="388">
        <v>0</v>
      </c>
      <c r="E1008" s="388">
        <v>41386.51</v>
      </c>
    </row>
    <row r="1009" spans="1:5" x14ac:dyDescent="0.25">
      <c r="A1009" t="s">
        <v>2080</v>
      </c>
      <c r="B1009" t="s">
        <v>2080</v>
      </c>
      <c r="C1009" t="s">
        <v>2972</v>
      </c>
      <c r="D1009" s="388">
        <v>0</v>
      </c>
      <c r="E1009" s="388">
        <v>0</v>
      </c>
    </row>
    <row r="1010" spans="1:5" x14ac:dyDescent="0.25">
      <c r="A1010" t="s">
        <v>1012</v>
      </c>
      <c r="B1010" t="s">
        <v>1012</v>
      </c>
      <c r="C1010" t="s">
        <v>2973</v>
      </c>
      <c r="D1010" s="388">
        <v>0</v>
      </c>
      <c r="E1010" s="388">
        <v>0</v>
      </c>
    </row>
    <row r="1011" spans="1:5" x14ac:dyDescent="0.25">
      <c r="A1011" t="s">
        <v>2080</v>
      </c>
      <c r="B1011" t="s">
        <v>2080</v>
      </c>
      <c r="C1011" t="s">
        <v>2974</v>
      </c>
      <c r="D1011" s="388">
        <v>15089.84</v>
      </c>
      <c r="E1011" s="388">
        <v>0</v>
      </c>
    </row>
    <row r="1012" spans="1:5" x14ac:dyDescent="0.25">
      <c r="A1012" t="s">
        <v>2066</v>
      </c>
      <c r="B1012" t="s">
        <v>2066</v>
      </c>
      <c r="C1012" t="s">
        <v>2975</v>
      </c>
      <c r="D1012" s="388">
        <v>0</v>
      </c>
      <c r="E1012" s="388">
        <v>0</v>
      </c>
    </row>
    <row r="1013" spans="1:5" x14ac:dyDescent="0.25">
      <c r="A1013" t="s">
        <v>2066</v>
      </c>
      <c r="B1013" t="s">
        <v>2066</v>
      </c>
      <c r="C1013" t="s">
        <v>2976</v>
      </c>
      <c r="D1013" s="388">
        <v>0</v>
      </c>
      <c r="E1013" s="388">
        <v>125583.6</v>
      </c>
    </row>
    <row r="1014" spans="1:5" x14ac:dyDescent="0.25">
      <c r="A1014" t="s">
        <v>2066</v>
      </c>
      <c r="B1014" t="s">
        <v>2066</v>
      </c>
      <c r="C1014" t="s">
        <v>2977</v>
      </c>
      <c r="D1014" s="388">
        <v>0</v>
      </c>
      <c r="E1014" s="388">
        <v>0</v>
      </c>
    </row>
    <row r="1015" spans="1:5" x14ac:dyDescent="0.25">
      <c r="A1015" t="s">
        <v>2066</v>
      </c>
      <c r="B1015" t="s">
        <v>2066</v>
      </c>
      <c r="C1015" t="s">
        <v>2978</v>
      </c>
      <c r="D1015" s="388">
        <v>0</v>
      </c>
      <c r="E1015" s="388">
        <v>0</v>
      </c>
    </row>
    <row r="1016" spans="1:5" x14ac:dyDescent="0.25">
      <c r="A1016" t="s">
        <v>2066</v>
      </c>
      <c r="B1016" t="s">
        <v>2066</v>
      </c>
      <c r="C1016" t="s">
        <v>2979</v>
      </c>
      <c r="D1016" s="388">
        <v>0</v>
      </c>
      <c r="E1016" s="388">
        <v>0</v>
      </c>
    </row>
    <row r="1017" spans="1:5" x14ac:dyDescent="0.25">
      <c r="A1017" t="s">
        <v>2080</v>
      </c>
      <c r="B1017" t="s">
        <v>2080</v>
      </c>
      <c r="C1017" t="s">
        <v>2980</v>
      </c>
      <c r="D1017" s="388">
        <v>0</v>
      </c>
      <c r="E1017" s="388">
        <v>0</v>
      </c>
    </row>
    <row r="1018" spans="1:5" x14ac:dyDescent="0.25">
      <c r="A1018" t="s">
        <v>2080</v>
      </c>
      <c r="B1018" t="s">
        <v>2080</v>
      </c>
      <c r="C1018" t="s">
        <v>2981</v>
      </c>
      <c r="D1018" s="388">
        <v>0</v>
      </c>
      <c r="E1018" s="388">
        <v>0</v>
      </c>
    </row>
    <row r="1019" spans="1:5" x14ac:dyDescent="0.25">
      <c r="A1019" t="s">
        <v>2080</v>
      </c>
      <c r="B1019" t="s">
        <v>2080</v>
      </c>
      <c r="C1019" t="s">
        <v>2982</v>
      </c>
      <c r="D1019" s="388">
        <v>0</v>
      </c>
      <c r="E1019" s="388">
        <v>0</v>
      </c>
    </row>
    <row r="1020" spans="1:5" x14ac:dyDescent="0.25">
      <c r="A1020" t="s">
        <v>1012</v>
      </c>
      <c r="B1020" t="s">
        <v>1012</v>
      </c>
      <c r="C1020" t="s">
        <v>2983</v>
      </c>
      <c r="D1020" s="388">
        <v>0</v>
      </c>
      <c r="E1020" s="388">
        <v>0</v>
      </c>
    </row>
    <row r="1021" spans="1:5" x14ac:dyDescent="0.25">
      <c r="A1021" t="s">
        <v>1012</v>
      </c>
      <c r="B1021" t="s">
        <v>1012</v>
      </c>
      <c r="C1021" t="s">
        <v>2984</v>
      </c>
      <c r="D1021" s="388">
        <v>0</v>
      </c>
      <c r="E1021" s="388">
        <v>0</v>
      </c>
    </row>
    <row r="1022" spans="1:5" x14ac:dyDescent="0.25">
      <c r="A1022" t="s">
        <v>1013</v>
      </c>
      <c r="B1022" t="s">
        <v>1013</v>
      </c>
      <c r="C1022" t="s">
        <v>3113</v>
      </c>
      <c r="D1022" s="388">
        <v>0</v>
      </c>
      <c r="E1022" s="388">
        <v>0</v>
      </c>
    </row>
    <row r="1023" spans="1:5" x14ac:dyDescent="0.25">
      <c r="A1023" t="s">
        <v>1013</v>
      </c>
      <c r="B1023" t="s">
        <v>1013</v>
      </c>
      <c r="C1023" t="s">
        <v>3618</v>
      </c>
      <c r="D1023" s="388">
        <v>0</v>
      </c>
      <c r="E1023" s="388">
        <v>-2916207.33</v>
      </c>
    </row>
    <row r="1024" spans="1:5" x14ac:dyDescent="0.25">
      <c r="A1024" t="s">
        <v>1012</v>
      </c>
      <c r="B1024" t="s">
        <v>1012</v>
      </c>
      <c r="C1024" t="s">
        <v>3763</v>
      </c>
      <c r="D1024" s="388">
        <v>0</v>
      </c>
      <c r="E1024" s="388">
        <v>0</v>
      </c>
    </row>
    <row r="1025" spans="1:5" x14ac:dyDescent="0.25">
      <c r="A1025" t="s">
        <v>2066</v>
      </c>
      <c r="B1025" t="s">
        <v>2066</v>
      </c>
      <c r="C1025" t="s">
        <v>2985</v>
      </c>
      <c r="D1025" s="388">
        <v>0</v>
      </c>
      <c r="E1025" s="388">
        <v>49703</v>
      </c>
    </row>
    <row r="1026" spans="1:5" x14ac:dyDescent="0.25">
      <c r="A1026" t="s">
        <v>1012</v>
      </c>
      <c r="B1026" t="s">
        <v>1012</v>
      </c>
      <c r="C1026" t="s">
        <v>3764</v>
      </c>
      <c r="D1026" s="388">
        <v>0</v>
      </c>
      <c r="E1026" s="388">
        <v>0</v>
      </c>
    </row>
    <row r="1027" spans="1:5" x14ac:dyDescent="0.25">
      <c r="A1027" t="s">
        <v>1012</v>
      </c>
      <c r="B1027" t="s">
        <v>1012</v>
      </c>
      <c r="C1027" t="s">
        <v>2986</v>
      </c>
      <c r="D1027" s="388">
        <v>0</v>
      </c>
      <c r="E1027" s="388">
        <v>0</v>
      </c>
    </row>
    <row r="1028" spans="1:5" x14ac:dyDescent="0.25">
      <c r="A1028" t="s">
        <v>953</v>
      </c>
      <c r="B1028" t="s">
        <v>2064</v>
      </c>
      <c r="C1028" t="s">
        <v>2987</v>
      </c>
      <c r="D1028" s="388">
        <v>0</v>
      </c>
      <c r="E1028" s="388">
        <v>0</v>
      </c>
    </row>
    <row r="1029" spans="1:5" x14ac:dyDescent="0.25">
      <c r="A1029" t="s">
        <v>2066</v>
      </c>
      <c r="B1029" t="s">
        <v>2069</v>
      </c>
      <c r="C1029" t="s">
        <v>2988</v>
      </c>
      <c r="D1029" s="388">
        <v>0</v>
      </c>
      <c r="E1029" s="388">
        <v>0</v>
      </c>
    </row>
    <row r="1030" spans="1:5" x14ac:dyDescent="0.25">
      <c r="A1030" t="s">
        <v>2066</v>
      </c>
      <c r="B1030" t="s">
        <v>2067</v>
      </c>
      <c r="C1030" t="s">
        <v>2989</v>
      </c>
      <c r="D1030" s="388">
        <v>0</v>
      </c>
      <c r="E1030" s="388">
        <v>0</v>
      </c>
    </row>
    <row r="1031" spans="1:5" x14ac:dyDescent="0.25">
      <c r="A1031" t="s">
        <v>953</v>
      </c>
      <c r="B1031" t="s">
        <v>2064</v>
      </c>
      <c r="C1031" t="s">
        <v>2990</v>
      </c>
      <c r="D1031" s="388">
        <v>0</v>
      </c>
      <c r="E1031" s="388">
        <v>0</v>
      </c>
    </row>
    <row r="1032" spans="1:5" x14ac:dyDescent="0.25">
      <c r="A1032" t="s">
        <v>2066</v>
      </c>
      <c r="B1032" t="s">
        <v>2067</v>
      </c>
      <c r="C1032" t="s">
        <v>2991</v>
      </c>
      <c r="D1032" s="388">
        <v>0</v>
      </c>
      <c r="E1032" s="388">
        <v>0</v>
      </c>
    </row>
    <row r="1033" spans="1:5" x14ac:dyDescent="0.25">
      <c r="A1033" t="s">
        <v>2066</v>
      </c>
      <c r="B1033" t="s">
        <v>2456</v>
      </c>
      <c r="C1033" t="s">
        <v>2992</v>
      </c>
      <c r="D1033" s="388">
        <v>0</v>
      </c>
      <c r="E1033" s="388">
        <v>0</v>
      </c>
    </row>
    <row r="1034" spans="1:5" x14ac:dyDescent="0.25">
      <c r="A1034" t="s">
        <v>2066</v>
      </c>
      <c r="B1034" t="s">
        <v>2069</v>
      </c>
      <c r="C1034" t="s">
        <v>2993</v>
      </c>
      <c r="D1034" s="388">
        <v>0</v>
      </c>
      <c r="E1034" s="388">
        <v>0</v>
      </c>
    </row>
    <row r="1035" spans="1:5" x14ac:dyDescent="0.25">
      <c r="A1035" t="s">
        <v>2066</v>
      </c>
      <c r="B1035" t="s">
        <v>2071</v>
      </c>
      <c r="C1035" t="s">
        <v>2994</v>
      </c>
      <c r="D1035" s="388">
        <v>0</v>
      </c>
      <c r="E1035" s="388">
        <v>0</v>
      </c>
    </row>
    <row r="1036" spans="1:5" x14ac:dyDescent="0.25">
      <c r="A1036" t="s">
        <v>953</v>
      </c>
      <c r="B1036" t="s">
        <v>2064</v>
      </c>
      <c r="C1036" t="s">
        <v>2995</v>
      </c>
      <c r="D1036" s="388">
        <v>0</v>
      </c>
      <c r="E1036" s="388">
        <v>0</v>
      </c>
    </row>
    <row r="1037" spans="1:5" x14ac:dyDescent="0.25">
      <c r="A1037" t="s">
        <v>2066</v>
      </c>
      <c r="B1037" t="s">
        <v>2067</v>
      </c>
      <c r="C1037" t="s">
        <v>2996</v>
      </c>
      <c r="D1037" s="388">
        <v>0</v>
      </c>
      <c r="E1037" s="388">
        <v>0</v>
      </c>
    </row>
    <row r="1038" spans="1:5" x14ac:dyDescent="0.25">
      <c r="A1038" t="s">
        <v>2066</v>
      </c>
      <c r="B1038" t="s">
        <v>2069</v>
      </c>
      <c r="C1038" t="s">
        <v>2997</v>
      </c>
      <c r="D1038" s="388">
        <v>0</v>
      </c>
      <c r="E1038" s="388">
        <v>0</v>
      </c>
    </row>
    <row r="1039" spans="1:5" x14ac:dyDescent="0.25">
      <c r="A1039" t="s">
        <v>953</v>
      </c>
      <c r="B1039" t="s">
        <v>2064</v>
      </c>
      <c r="C1039" t="s">
        <v>2998</v>
      </c>
      <c r="D1039" s="388">
        <v>0</v>
      </c>
      <c r="E1039" s="388">
        <v>0</v>
      </c>
    </row>
    <row r="1040" spans="1:5" x14ac:dyDescent="0.25">
      <c r="A1040" t="s">
        <v>2066</v>
      </c>
      <c r="B1040" t="s">
        <v>2067</v>
      </c>
      <c r="C1040" t="s">
        <v>2999</v>
      </c>
      <c r="D1040" s="388">
        <v>0</v>
      </c>
      <c r="E1040" s="388">
        <v>0</v>
      </c>
    </row>
    <row r="1041" spans="1:5" x14ac:dyDescent="0.25">
      <c r="A1041" t="s">
        <v>2066</v>
      </c>
      <c r="B1041" t="s">
        <v>2069</v>
      </c>
      <c r="C1041" t="s">
        <v>3000</v>
      </c>
      <c r="D1041" s="388">
        <v>0</v>
      </c>
      <c r="E1041" s="388">
        <v>0</v>
      </c>
    </row>
    <row r="1042" spans="1:5" x14ac:dyDescent="0.25">
      <c r="A1042" t="s">
        <v>2066</v>
      </c>
      <c r="B1042" t="s">
        <v>2071</v>
      </c>
      <c r="C1042" t="s">
        <v>3001</v>
      </c>
      <c r="D1042" s="388">
        <v>0</v>
      </c>
      <c r="E1042" s="388">
        <v>0</v>
      </c>
    </row>
    <row r="1043" spans="1:5" x14ac:dyDescent="0.25">
      <c r="A1043" t="s">
        <v>2080</v>
      </c>
      <c r="B1043" t="s">
        <v>2080</v>
      </c>
      <c r="C1043" t="s">
        <v>3002</v>
      </c>
      <c r="D1043" s="388">
        <v>0</v>
      </c>
      <c r="E1043" s="388">
        <v>0</v>
      </c>
    </row>
    <row r="1044" spans="1:5" x14ac:dyDescent="0.25">
      <c r="A1044" t="s">
        <v>953</v>
      </c>
      <c r="B1044" t="s">
        <v>2064</v>
      </c>
      <c r="C1044" t="s">
        <v>3003</v>
      </c>
      <c r="D1044" s="388">
        <v>0</v>
      </c>
      <c r="E1044" s="388">
        <v>0</v>
      </c>
    </row>
    <row r="1045" spans="1:5" x14ac:dyDescent="0.25">
      <c r="A1045" t="s">
        <v>2066</v>
      </c>
      <c r="B1045" t="s">
        <v>2069</v>
      </c>
      <c r="C1045" t="s">
        <v>3004</v>
      </c>
      <c r="D1045" s="388">
        <v>0</v>
      </c>
      <c r="E1045" s="388">
        <v>0</v>
      </c>
    </row>
    <row r="1046" spans="1:5" x14ac:dyDescent="0.25">
      <c r="A1046" t="s">
        <v>2080</v>
      </c>
      <c r="B1046" t="s">
        <v>2080</v>
      </c>
      <c r="C1046" t="s">
        <v>3005</v>
      </c>
      <c r="D1046" s="388">
        <v>0</v>
      </c>
      <c r="E1046" s="388">
        <v>0</v>
      </c>
    </row>
    <row r="1047" spans="1:5" x14ac:dyDescent="0.25">
      <c r="A1047" t="s">
        <v>953</v>
      </c>
      <c r="B1047" t="s">
        <v>2064</v>
      </c>
      <c r="C1047" t="s">
        <v>3006</v>
      </c>
      <c r="D1047" s="388">
        <v>0</v>
      </c>
      <c r="E1047" s="388">
        <v>0</v>
      </c>
    </row>
    <row r="1048" spans="1:5" x14ac:dyDescent="0.25">
      <c r="A1048" t="s">
        <v>2066</v>
      </c>
      <c r="B1048" t="s">
        <v>2067</v>
      </c>
      <c r="C1048" t="s">
        <v>3007</v>
      </c>
      <c r="D1048" s="388">
        <v>0</v>
      </c>
      <c r="E1048" s="388">
        <v>0</v>
      </c>
    </row>
    <row r="1049" spans="1:5" x14ac:dyDescent="0.25">
      <c r="A1049" t="s">
        <v>2066</v>
      </c>
      <c r="B1049" t="s">
        <v>2069</v>
      </c>
      <c r="C1049" t="s">
        <v>3008</v>
      </c>
      <c r="D1049" s="388">
        <v>0</v>
      </c>
      <c r="E1049" s="388">
        <v>0</v>
      </c>
    </row>
    <row r="1050" spans="1:5" x14ac:dyDescent="0.25">
      <c r="A1050" t="s">
        <v>953</v>
      </c>
      <c r="B1050" t="s">
        <v>2064</v>
      </c>
      <c r="C1050" t="s">
        <v>3009</v>
      </c>
      <c r="D1050" s="388">
        <v>0</v>
      </c>
      <c r="E1050" s="388">
        <v>0</v>
      </c>
    </row>
    <row r="1051" spans="1:5" x14ac:dyDescent="0.25">
      <c r="A1051" t="s">
        <v>2066</v>
      </c>
      <c r="B1051" t="s">
        <v>2067</v>
      </c>
      <c r="C1051" t="s">
        <v>3010</v>
      </c>
      <c r="D1051" s="388">
        <v>0</v>
      </c>
      <c r="E1051" s="388">
        <v>0</v>
      </c>
    </row>
    <row r="1052" spans="1:5" x14ac:dyDescent="0.25">
      <c r="A1052" t="s">
        <v>2066</v>
      </c>
      <c r="B1052" t="s">
        <v>2069</v>
      </c>
      <c r="C1052" t="s">
        <v>3011</v>
      </c>
      <c r="D1052" s="388">
        <v>0</v>
      </c>
      <c r="E1052" s="388">
        <v>0</v>
      </c>
    </row>
    <row r="1053" spans="1:5" x14ac:dyDescent="0.25">
      <c r="A1053" t="s">
        <v>2066</v>
      </c>
      <c r="B1053" t="s">
        <v>2069</v>
      </c>
      <c r="C1053" t="s">
        <v>3012</v>
      </c>
      <c r="D1053" s="388">
        <v>0</v>
      </c>
      <c r="E1053" s="388">
        <v>0</v>
      </c>
    </row>
    <row r="1054" spans="1:5" x14ac:dyDescent="0.25">
      <c r="A1054" t="s">
        <v>953</v>
      </c>
      <c r="B1054" t="s">
        <v>2064</v>
      </c>
      <c r="C1054" t="s">
        <v>3013</v>
      </c>
      <c r="D1054" s="388">
        <v>0</v>
      </c>
      <c r="E1054" s="388">
        <v>0</v>
      </c>
    </row>
    <row r="1055" spans="1:5" x14ac:dyDescent="0.25">
      <c r="A1055" t="s">
        <v>2066</v>
      </c>
      <c r="B1055" t="s">
        <v>2071</v>
      </c>
      <c r="C1055" t="s">
        <v>3014</v>
      </c>
      <c r="D1055" s="388">
        <v>0</v>
      </c>
      <c r="E1055" s="388">
        <v>0</v>
      </c>
    </row>
    <row r="1056" spans="1:5" x14ac:dyDescent="0.25">
      <c r="A1056" t="s">
        <v>2066</v>
      </c>
      <c r="B1056" t="s">
        <v>2069</v>
      </c>
      <c r="C1056" t="s">
        <v>3163</v>
      </c>
      <c r="D1056" s="388">
        <v>0</v>
      </c>
      <c r="E1056" s="388">
        <v>0</v>
      </c>
    </row>
    <row r="1057" spans="1:5" x14ac:dyDescent="0.25">
      <c r="A1057" t="s">
        <v>2066</v>
      </c>
      <c r="B1057" t="s">
        <v>2069</v>
      </c>
      <c r="C1057" t="s">
        <v>3164</v>
      </c>
      <c r="D1057" s="388">
        <v>0</v>
      </c>
      <c r="E1057" s="388">
        <v>0</v>
      </c>
    </row>
    <row r="1058" spans="1:5" x14ac:dyDescent="0.25">
      <c r="A1058" t="s">
        <v>953</v>
      </c>
      <c r="B1058" t="s">
        <v>2064</v>
      </c>
      <c r="C1058" t="s">
        <v>3015</v>
      </c>
      <c r="D1058" s="388">
        <v>0</v>
      </c>
      <c r="E1058" s="388">
        <v>0</v>
      </c>
    </row>
    <row r="1059" spans="1:5" x14ac:dyDescent="0.25">
      <c r="A1059" t="s">
        <v>2066</v>
      </c>
      <c r="B1059" t="s">
        <v>2067</v>
      </c>
      <c r="C1059" t="s">
        <v>3016</v>
      </c>
      <c r="D1059" s="388">
        <v>0</v>
      </c>
      <c r="E1059" s="388">
        <v>0</v>
      </c>
    </row>
    <row r="1060" spans="1:5" x14ac:dyDescent="0.25">
      <c r="A1060" t="s">
        <v>2066</v>
      </c>
      <c r="B1060" t="s">
        <v>2069</v>
      </c>
      <c r="C1060" t="s">
        <v>3017</v>
      </c>
      <c r="D1060" s="388">
        <v>0</v>
      </c>
      <c r="E1060" s="388">
        <v>0</v>
      </c>
    </row>
    <row r="1061" spans="1:5" x14ac:dyDescent="0.25">
      <c r="A1061" t="s">
        <v>2066</v>
      </c>
      <c r="B1061" t="s">
        <v>2071</v>
      </c>
      <c r="C1061" t="s">
        <v>3018</v>
      </c>
      <c r="D1061" s="388">
        <v>0</v>
      </c>
      <c r="E1061" s="388">
        <v>0</v>
      </c>
    </row>
    <row r="1062" spans="1:5" x14ac:dyDescent="0.25">
      <c r="A1062" t="s">
        <v>1012</v>
      </c>
      <c r="B1062" t="s">
        <v>2216</v>
      </c>
      <c r="C1062" t="s">
        <v>3019</v>
      </c>
      <c r="D1062" s="388">
        <v>0</v>
      </c>
      <c r="E1062" s="388">
        <v>0</v>
      </c>
    </row>
    <row r="1063" spans="1:5" x14ac:dyDescent="0.25">
      <c r="A1063" t="s">
        <v>953</v>
      </c>
      <c r="B1063" t="s">
        <v>2064</v>
      </c>
      <c r="C1063" t="s">
        <v>3020</v>
      </c>
      <c r="D1063" s="388">
        <v>0</v>
      </c>
      <c r="E1063" s="388">
        <v>0</v>
      </c>
    </row>
    <row r="1064" spans="1:5" x14ac:dyDescent="0.25">
      <c r="A1064" t="s">
        <v>2066</v>
      </c>
      <c r="B1064" t="s">
        <v>2069</v>
      </c>
      <c r="C1064" t="s">
        <v>3021</v>
      </c>
      <c r="D1064" s="388">
        <v>0</v>
      </c>
      <c r="E1064" s="388">
        <v>0</v>
      </c>
    </row>
    <row r="1065" spans="1:5" x14ac:dyDescent="0.25">
      <c r="A1065" t="s">
        <v>2080</v>
      </c>
      <c r="B1065" t="s">
        <v>2080</v>
      </c>
      <c r="C1065" t="s">
        <v>3165</v>
      </c>
      <c r="D1065" s="388">
        <v>0</v>
      </c>
      <c r="E1065" s="388">
        <v>0</v>
      </c>
    </row>
    <row r="1066" spans="1:5" x14ac:dyDescent="0.25">
      <c r="A1066" t="s">
        <v>1012</v>
      </c>
      <c r="B1066" t="s">
        <v>1012</v>
      </c>
      <c r="C1066" t="s">
        <v>3022</v>
      </c>
      <c r="D1066" s="388">
        <v>0</v>
      </c>
      <c r="E1066" s="388">
        <v>0</v>
      </c>
    </row>
    <row r="1067" spans="1:5" x14ac:dyDescent="0.25">
      <c r="A1067" t="s">
        <v>2261</v>
      </c>
      <c r="B1067" t="s">
        <v>2261</v>
      </c>
      <c r="C1067" t="s">
        <v>3023</v>
      </c>
      <c r="D1067" s="388">
        <v>0</v>
      </c>
      <c r="E1067" s="388">
        <v>0</v>
      </c>
    </row>
    <row r="1068" spans="1:5" x14ac:dyDescent="0.25">
      <c r="A1068" t="s">
        <v>1012</v>
      </c>
      <c r="B1068" t="s">
        <v>1012</v>
      </c>
      <c r="C1068" t="s">
        <v>3166</v>
      </c>
      <c r="D1068" s="388">
        <v>0</v>
      </c>
      <c r="E1068" s="388">
        <v>0</v>
      </c>
    </row>
    <row r="1069" spans="1:5" x14ac:dyDescent="0.25">
      <c r="A1069" t="s">
        <v>953</v>
      </c>
      <c r="B1069" t="s">
        <v>2112</v>
      </c>
      <c r="C1069" t="s">
        <v>3024</v>
      </c>
      <c r="D1069" s="388">
        <v>-1783</v>
      </c>
      <c r="E1069" s="388">
        <v>0</v>
      </c>
    </row>
    <row r="1070" spans="1:5" x14ac:dyDescent="0.25">
      <c r="A1070" t="s">
        <v>953</v>
      </c>
      <c r="B1070" t="s">
        <v>2064</v>
      </c>
      <c r="C1070" t="s">
        <v>3025</v>
      </c>
      <c r="D1070" s="388">
        <v>0</v>
      </c>
      <c r="E1070" s="388">
        <v>0</v>
      </c>
    </row>
    <row r="1071" spans="1:5" x14ac:dyDescent="0.25">
      <c r="A1071" t="s">
        <v>1012</v>
      </c>
      <c r="B1071" t="s">
        <v>1012</v>
      </c>
      <c r="C1071" t="s">
        <v>3765</v>
      </c>
      <c r="D1071" s="388">
        <v>0</v>
      </c>
      <c r="E1071" s="388">
        <v>0</v>
      </c>
    </row>
    <row r="1072" spans="1:5" x14ac:dyDescent="0.25">
      <c r="A1072" t="s">
        <v>953</v>
      </c>
      <c r="B1072" t="s">
        <v>2112</v>
      </c>
      <c r="C1072" t="s">
        <v>3114</v>
      </c>
      <c r="D1072" s="388">
        <v>0</v>
      </c>
      <c r="E1072" s="388">
        <v>-8334</v>
      </c>
    </row>
    <row r="1073" spans="1:5" x14ac:dyDescent="0.25">
      <c r="A1073" t="s">
        <v>2080</v>
      </c>
      <c r="B1073" t="s">
        <v>2080</v>
      </c>
      <c r="C1073" t="s">
        <v>3026</v>
      </c>
      <c r="D1073" s="388">
        <v>0</v>
      </c>
      <c r="E1073" s="388">
        <v>0</v>
      </c>
    </row>
    <row r="1074" spans="1:5" x14ac:dyDescent="0.25">
      <c r="A1074" t="s">
        <v>1012</v>
      </c>
      <c r="B1074" t="s">
        <v>1012</v>
      </c>
      <c r="C1074" t="s">
        <v>3027</v>
      </c>
      <c r="D1074" s="388">
        <v>0</v>
      </c>
      <c r="E1074" s="388">
        <v>0</v>
      </c>
    </row>
    <row r="1075" spans="1:5" x14ac:dyDescent="0.25">
      <c r="A1075" t="s">
        <v>2080</v>
      </c>
      <c r="B1075" t="s">
        <v>2080</v>
      </c>
      <c r="C1075" t="s">
        <v>3028</v>
      </c>
      <c r="D1075" s="388">
        <v>0</v>
      </c>
      <c r="E1075" s="388">
        <v>0</v>
      </c>
    </row>
    <row r="1076" spans="1:5" x14ac:dyDescent="0.25">
      <c r="A1076" t="s">
        <v>2128</v>
      </c>
      <c r="B1076" t="s">
        <v>2131</v>
      </c>
      <c r="C1076" t="s">
        <v>3029</v>
      </c>
      <c r="D1076" s="388">
        <v>0</v>
      </c>
      <c r="E1076" s="388">
        <v>0</v>
      </c>
    </row>
    <row r="1077" spans="1:5" x14ac:dyDescent="0.25">
      <c r="A1077" t="s">
        <v>2080</v>
      </c>
      <c r="B1077" t="s">
        <v>2080</v>
      </c>
      <c r="C1077" t="s">
        <v>3167</v>
      </c>
      <c r="D1077" s="388">
        <v>0</v>
      </c>
      <c r="E1077" s="388">
        <v>0</v>
      </c>
    </row>
    <row r="1078" spans="1:5" x14ac:dyDescent="0.25">
      <c r="A1078" t="s">
        <v>2080</v>
      </c>
      <c r="B1078" t="s">
        <v>2080</v>
      </c>
      <c r="C1078" t="s">
        <v>3030</v>
      </c>
      <c r="D1078" s="388">
        <v>0</v>
      </c>
      <c r="E1078" s="388">
        <v>0</v>
      </c>
    </row>
    <row r="1079" spans="1:5" x14ac:dyDescent="0.25">
      <c r="A1079" t="s">
        <v>2281</v>
      </c>
      <c r="B1079" t="s">
        <v>2282</v>
      </c>
      <c r="C1079" t="s">
        <v>3031</v>
      </c>
      <c r="D1079" s="388">
        <v>0</v>
      </c>
      <c r="E1079" s="388">
        <v>0</v>
      </c>
    </row>
    <row r="1080" spans="1:5" x14ac:dyDescent="0.25">
      <c r="A1080" t="s">
        <v>2128</v>
      </c>
      <c r="B1080" t="s">
        <v>2214</v>
      </c>
      <c r="C1080" t="s">
        <v>3032</v>
      </c>
      <c r="D1080" s="388">
        <v>2667</v>
      </c>
      <c r="E1080" s="388">
        <v>0</v>
      </c>
    </row>
    <row r="1081" spans="1:5" x14ac:dyDescent="0.25">
      <c r="A1081" t="s">
        <v>2080</v>
      </c>
      <c r="B1081" t="s">
        <v>2080</v>
      </c>
      <c r="C1081" t="s">
        <v>3033</v>
      </c>
      <c r="D1081" s="388">
        <v>0</v>
      </c>
      <c r="E1081" s="388">
        <v>0</v>
      </c>
    </row>
    <row r="1082" spans="1:5" x14ac:dyDescent="0.25">
      <c r="A1082" t="s">
        <v>1012</v>
      </c>
      <c r="B1082" t="s">
        <v>1012</v>
      </c>
      <c r="C1082" t="s">
        <v>3034</v>
      </c>
      <c r="D1082" s="388">
        <v>0</v>
      </c>
      <c r="E1082" s="388">
        <v>0</v>
      </c>
    </row>
    <row r="1083" spans="1:5" x14ac:dyDescent="0.25">
      <c r="A1083" t="s">
        <v>2080</v>
      </c>
      <c r="B1083" t="s">
        <v>2177</v>
      </c>
      <c r="C1083" t="s">
        <v>3035</v>
      </c>
      <c r="D1083" s="388">
        <v>0</v>
      </c>
      <c r="E1083" s="388">
        <v>0</v>
      </c>
    </row>
    <row r="1084" spans="1:5" x14ac:dyDescent="0.25">
      <c r="A1084" t="s">
        <v>1012</v>
      </c>
      <c r="B1084" t="s">
        <v>1012</v>
      </c>
      <c r="C1084" t="s">
        <v>3036</v>
      </c>
      <c r="D1084" s="388">
        <v>0</v>
      </c>
      <c r="E1084" s="388">
        <v>0</v>
      </c>
    </row>
    <row r="1085" spans="1:5" x14ac:dyDescent="0.25">
      <c r="A1085" t="s">
        <v>2080</v>
      </c>
      <c r="B1085" t="s">
        <v>2080</v>
      </c>
      <c r="C1085" t="s">
        <v>3037</v>
      </c>
      <c r="D1085" s="388">
        <v>0</v>
      </c>
      <c r="E1085" s="388">
        <v>0</v>
      </c>
    </row>
    <row r="1086" spans="1:5" x14ac:dyDescent="0.25">
      <c r="A1086" t="s">
        <v>2080</v>
      </c>
      <c r="B1086" t="s">
        <v>2080</v>
      </c>
      <c r="C1086" t="s">
        <v>3168</v>
      </c>
      <c r="D1086" s="388">
        <v>0</v>
      </c>
      <c r="E1086" s="388">
        <v>0</v>
      </c>
    </row>
    <row r="1087" spans="1:5" x14ac:dyDescent="0.25">
      <c r="A1087" t="s">
        <v>1012</v>
      </c>
      <c r="B1087" t="s">
        <v>1012</v>
      </c>
      <c r="C1087" t="s">
        <v>3038</v>
      </c>
      <c r="D1087" s="388">
        <v>0</v>
      </c>
      <c r="E1087" s="388">
        <v>0</v>
      </c>
    </row>
    <row r="1088" spans="1:5" x14ac:dyDescent="0.25">
      <c r="A1088" t="s">
        <v>1013</v>
      </c>
      <c r="B1088" t="s">
        <v>2636</v>
      </c>
      <c r="C1088" t="s">
        <v>3039</v>
      </c>
      <c r="D1088" s="388">
        <v>0</v>
      </c>
      <c r="E1088" s="388">
        <v>0</v>
      </c>
    </row>
    <row r="6954" spans="7:11" x14ac:dyDescent="0.25">
      <c r="G6954" t="s">
        <v>953</v>
      </c>
      <c r="H6954" t="s">
        <v>2112</v>
      </c>
      <c r="I6954" t="s">
        <v>2113</v>
      </c>
      <c r="J6954">
        <v>0</v>
      </c>
      <c r="K6954">
        <v>-6919</v>
      </c>
    </row>
    <row r="6955" spans="7:11" x14ac:dyDescent="0.25">
      <c r="G6955" t="s">
        <v>953</v>
      </c>
      <c r="H6955" t="s">
        <v>2064</v>
      </c>
      <c r="I6955" t="s">
        <v>2117</v>
      </c>
      <c r="J6955">
        <v>-99999.96</v>
      </c>
      <c r="K6955">
        <v>-180000</v>
      </c>
    </row>
    <row r="6956" spans="7:11" x14ac:dyDescent="0.25">
      <c r="G6956" t="s">
        <v>100</v>
      </c>
      <c r="H6956" t="s">
        <v>100</v>
      </c>
      <c r="I6956" t="s">
        <v>2119</v>
      </c>
      <c r="J6956">
        <v>600304</v>
      </c>
      <c r="K6956">
        <v>1483740</v>
      </c>
    </row>
    <row r="6957" spans="7:11" x14ac:dyDescent="0.25">
      <c r="G6957" t="s">
        <v>2120</v>
      </c>
      <c r="H6957" t="s">
        <v>2120</v>
      </c>
      <c r="I6957" t="s">
        <v>2121</v>
      </c>
      <c r="J6957">
        <v>65736</v>
      </c>
      <c r="K6957">
        <v>0</v>
      </c>
    </row>
    <row r="6958" spans="7:11" x14ac:dyDescent="0.25">
      <c r="G6958" t="s">
        <v>2120</v>
      </c>
      <c r="H6958" t="s">
        <v>2120</v>
      </c>
      <c r="I6958" t="s">
        <v>2125</v>
      </c>
      <c r="J6958">
        <v>29125</v>
      </c>
      <c r="K6958">
        <v>29125</v>
      </c>
    </row>
    <row r="6959" spans="7:11" x14ac:dyDescent="0.25">
      <c r="G6959" t="s">
        <v>2128</v>
      </c>
      <c r="H6959" t="s">
        <v>2129</v>
      </c>
      <c r="I6959" t="s">
        <v>2130</v>
      </c>
      <c r="J6959">
        <v>16645.330000000002</v>
      </c>
      <c r="K6959">
        <v>0</v>
      </c>
    </row>
    <row r="6960" spans="7:11" x14ac:dyDescent="0.25">
      <c r="G6960" t="s">
        <v>2128</v>
      </c>
      <c r="H6960" t="s">
        <v>2131</v>
      </c>
      <c r="I6960" t="s">
        <v>2132</v>
      </c>
      <c r="J6960">
        <v>1445</v>
      </c>
      <c r="K6960">
        <v>792</v>
      </c>
    </row>
    <row r="6961" spans="7:11" x14ac:dyDescent="0.25">
      <c r="G6961" t="s">
        <v>2128</v>
      </c>
      <c r="H6961" t="s">
        <v>2131</v>
      </c>
      <c r="I6961" t="s">
        <v>2133</v>
      </c>
      <c r="J6961">
        <v>9653.94</v>
      </c>
      <c r="K6961">
        <v>5302.94</v>
      </c>
    </row>
    <row r="6962" spans="7:11" x14ac:dyDescent="0.25">
      <c r="G6962" t="s">
        <v>2066</v>
      </c>
      <c r="H6962" t="s">
        <v>2066</v>
      </c>
      <c r="I6962" t="s">
        <v>2135</v>
      </c>
      <c r="J6962">
        <v>0</v>
      </c>
      <c r="K6962">
        <v>1403529.96</v>
      </c>
    </row>
    <row r="6963" spans="7:11" x14ac:dyDescent="0.25">
      <c r="G6963" t="s">
        <v>2080</v>
      </c>
      <c r="H6963" t="s">
        <v>2080</v>
      </c>
      <c r="I6963" t="s">
        <v>2151</v>
      </c>
      <c r="J6963">
        <v>306800</v>
      </c>
      <c r="K6963">
        <v>0</v>
      </c>
    </row>
    <row r="6964" spans="7:11" x14ac:dyDescent="0.25">
      <c r="G6964" t="s">
        <v>2080</v>
      </c>
      <c r="H6964" t="s">
        <v>2080</v>
      </c>
      <c r="I6964" t="s">
        <v>2152</v>
      </c>
      <c r="J6964">
        <v>1327500</v>
      </c>
      <c r="K6964">
        <v>0</v>
      </c>
    </row>
    <row r="6965" spans="7:11" x14ac:dyDescent="0.25">
      <c r="G6965" t="s">
        <v>2066</v>
      </c>
      <c r="H6965" t="s">
        <v>2066</v>
      </c>
      <c r="I6965" t="s">
        <v>2168</v>
      </c>
      <c r="J6965">
        <v>0</v>
      </c>
      <c r="K6965">
        <v>113836.74</v>
      </c>
    </row>
    <row r="6966" spans="7:11" x14ac:dyDescent="0.25">
      <c r="G6966" t="s">
        <v>2169</v>
      </c>
      <c r="H6966" t="s">
        <v>2169</v>
      </c>
      <c r="I6966" t="s">
        <v>2170</v>
      </c>
      <c r="J6966">
        <v>0</v>
      </c>
      <c r="K6966">
        <v>-5754298.4000000004</v>
      </c>
    </row>
    <row r="6967" spans="7:11" x14ac:dyDescent="0.25">
      <c r="G6967" t="s">
        <v>2066</v>
      </c>
      <c r="H6967" t="s">
        <v>2066</v>
      </c>
      <c r="I6967" t="s">
        <v>2172</v>
      </c>
      <c r="J6967">
        <v>0</v>
      </c>
      <c r="K6967">
        <v>177580.5</v>
      </c>
    </row>
    <row r="6968" spans="7:11" x14ac:dyDescent="0.25">
      <c r="G6968" t="s">
        <v>1012</v>
      </c>
      <c r="H6968" t="s">
        <v>1012</v>
      </c>
      <c r="I6968" t="s">
        <v>2174</v>
      </c>
      <c r="J6968">
        <v>-242874</v>
      </c>
      <c r="K6968">
        <v>-106443.94</v>
      </c>
    </row>
    <row r="6969" spans="7:11" x14ac:dyDescent="0.25">
      <c r="G6969" t="s">
        <v>1012</v>
      </c>
      <c r="H6969" t="s">
        <v>1012</v>
      </c>
      <c r="I6969" t="s">
        <v>2175</v>
      </c>
      <c r="J6969">
        <v>-1440</v>
      </c>
      <c r="K6969">
        <v>-638661.64</v>
      </c>
    </row>
    <row r="6970" spans="7:11" x14ac:dyDescent="0.25">
      <c r="G6970" t="s">
        <v>1012</v>
      </c>
      <c r="H6970" t="s">
        <v>1012</v>
      </c>
      <c r="I6970" t="s">
        <v>2176</v>
      </c>
      <c r="J6970">
        <v>-17532.599999999999</v>
      </c>
      <c r="K6970">
        <v>-106443.94</v>
      </c>
    </row>
    <row r="6971" spans="7:11" x14ac:dyDescent="0.25">
      <c r="G6971" t="s">
        <v>2066</v>
      </c>
      <c r="H6971" t="s">
        <v>2066</v>
      </c>
      <c r="I6971" t="s">
        <v>2181</v>
      </c>
      <c r="J6971">
        <v>0</v>
      </c>
      <c r="K6971">
        <v>424000</v>
      </c>
    </row>
    <row r="6972" spans="7:11" x14ac:dyDescent="0.25">
      <c r="G6972" t="s">
        <v>2080</v>
      </c>
      <c r="H6972" t="s">
        <v>2080</v>
      </c>
      <c r="I6972" t="s">
        <v>2182</v>
      </c>
      <c r="J6972">
        <v>934201.24</v>
      </c>
      <c r="K6972">
        <v>0</v>
      </c>
    </row>
    <row r="6973" spans="7:11" x14ac:dyDescent="0.25">
      <c r="G6973" t="s">
        <v>2045</v>
      </c>
      <c r="H6973" t="s">
        <v>2187</v>
      </c>
      <c r="I6973" t="s">
        <v>2193</v>
      </c>
      <c r="J6973">
        <v>0</v>
      </c>
      <c r="K6973">
        <v>735958.65</v>
      </c>
    </row>
    <row r="6974" spans="7:11" x14ac:dyDescent="0.25">
      <c r="G6974" t="s">
        <v>2080</v>
      </c>
      <c r="H6974" t="s">
        <v>2080</v>
      </c>
      <c r="I6974" t="s">
        <v>2197</v>
      </c>
      <c r="J6974">
        <v>0</v>
      </c>
      <c r="K6974">
        <v>466556.32</v>
      </c>
    </row>
    <row r="6975" spans="7:11" x14ac:dyDescent="0.25">
      <c r="G6975" t="s">
        <v>1012</v>
      </c>
      <c r="H6975" t="s">
        <v>1012</v>
      </c>
      <c r="I6975" t="s">
        <v>2203</v>
      </c>
      <c r="J6975">
        <v>0</v>
      </c>
      <c r="K6975">
        <v>-792</v>
      </c>
    </row>
    <row r="6976" spans="7:11" x14ac:dyDescent="0.25">
      <c r="G6976" t="s">
        <v>2045</v>
      </c>
      <c r="H6976" t="s">
        <v>2045</v>
      </c>
      <c r="I6976" t="s">
        <v>2205</v>
      </c>
      <c r="J6976">
        <v>48056.14</v>
      </c>
      <c r="K6976">
        <v>0</v>
      </c>
    </row>
    <row r="6977" spans="7:11" x14ac:dyDescent="0.25">
      <c r="G6977" t="s">
        <v>2080</v>
      </c>
      <c r="H6977" t="s">
        <v>2080</v>
      </c>
      <c r="I6977" t="s">
        <v>2206</v>
      </c>
      <c r="J6977">
        <v>303357.96000000002</v>
      </c>
      <c r="K6977">
        <v>0</v>
      </c>
    </row>
    <row r="6978" spans="7:11" x14ac:dyDescent="0.25">
      <c r="G6978" t="s">
        <v>2066</v>
      </c>
      <c r="H6978" t="s">
        <v>2066</v>
      </c>
      <c r="I6978" t="s">
        <v>2209</v>
      </c>
      <c r="J6978">
        <v>0</v>
      </c>
      <c r="K6978">
        <v>18483692.120000001</v>
      </c>
    </row>
    <row r="6979" spans="7:11" x14ac:dyDescent="0.25">
      <c r="G6979" t="s">
        <v>953</v>
      </c>
      <c r="H6979" t="s">
        <v>2064</v>
      </c>
      <c r="I6979" t="s">
        <v>2210</v>
      </c>
      <c r="J6979">
        <v>-125301.34</v>
      </c>
      <c r="K6979">
        <v>-277059.64</v>
      </c>
    </row>
    <row r="6980" spans="7:11" x14ac:dyDescent="0.25">
      <c r="G6980" t="s">
        <v>2066</v>
      </c>
      <c r="H6980" t="s">
        <v>2066</v>
      </c>
      <c r="I6980" t="s">
        <v>2211</v>
      </c>
      <c r="J6980">
        <v>0</v>
      </c>
      <c r="K6980">
        <v>3444511.3</v>
      </c>
    </row>
    <row r="6981" spans="7:11" x14ac:dyDescent="0.25">
      <c r="G6981" t="s">
        <v>2128</v>
      </c>
      <c r="H6981" t="s">
        <v>2214</v>
      </c>
      <c r="I6981" t="s">
        <v>2215</v>
      </c>
      <c r="J6981">
        <v>8844.35</v>
      </c>
      <c r="K6981">
        <v>8844.35</v>
      </c>
    </row>
    <row r="6982" spans="7:11" x14ac:dyDescent="0.25">
      <c r="G6982" t="s">
        <v>1012</v>
      </c>
      <c r="H6982" t="s">
        <v>2216</v>
      </c>
      <c r="I6982" t="s">
        <v>2217</v>
      </c>
      <c r="J6982">
        <v>0</v>
      </c>
      <c r="K6982">
        <v>-690521.39</v>
      </c>
    </row>
    <row r="6983" spans="7:11" x14ac:dyDescent="0.25">
      <c r="G6983" t="s">
        <v>1012</v>
      </c>
      <c r="H6983" t="s">
        <v>2218</v>
      </c>
      <c r="I6983" t="s">
        <v>2219</v>
      </c>
      <c r="J6983">
        <v>0</v>
      </c>
      <c r="K6983">
        <v>-109946.8</v>
      </c>
    </row>
    <row r="6984" spans="7:11" x14ac:dyDescent="0.25">
      <c r="G6984" t="s">
        <v>953</v>
      </c>
      <c r="H6984" t="s">
        <v>2064</v>
      </c>
      <c r="I6984" t="s">
        <v>2222</v>
      </c>
      <c r="J6984">
        <v>-4227.04</v>
      </c>
      <c r="K6984">
        <v>-4227.04</v>
      </c>
    </row>
    <row r="6985" spans="7:11" x14ac:dyDescent="0.25">
      <c r="G6985" t="s">
        <v>2066</v>
      </c>
      <c r="H6985" t="s">
        <v>2066</v>
      </c>
      <c r="I6985" t="s">
        <v>2223</v>
      </c>
      <c r="J6985">
        <v>0</v>
      </c>
      <c r="K6985">
        <v>418124</v>
      </c>
    </row>
    <row r="6986" spans="7:11" x14ac:dyDescent="0.25">
      <c r="G6986" t="s">
        <v>2128</v>
      </c>
      <c r="H6986" t="s">
        <v>2131</v>
      </c>
      <c r="I6986" t="s">
        <v>2239</v>
      </c>
      <c r="J6986">
        <v>539</v>
      </c>
      <c r="K6986">
        <v>300</v>
      </c>
    </row>
    <row r="6987" spans="7:11" x14ac:dyDescent="0.25">
      <c r="G6987" t="s">
        <v>1013</v>
      </c>
      <c r="H6987" t="s">
        <v>1013</v>
      </c>
      <c r="I6987" t="s">
        <v>2253</v>
      </c>
      <c r="J6987">
        <v>37880</v>
      </c>
      <c r="K6987">
        <v>35941</v>
      </c>
    </row>
    <row r="6988" spans="7:11" x14ac:dyDescent="0.25">
      <c r="G6988" t="s">
        <v>2066</v>
      </c>
      <c r="H6988" t="s">
        <v>2066</v>
      </c>
      <c r="I6988" t="s">
        <v>2254</v>
      </c>
      <c r="J6988">
        <v>0</v>
      </c>
      <c r="K6988">
        <v>1939</v>
      </c>
    </row>
    <row r="6989" spans="7:11" x14ac:dyDescent="0.25">
      <c r="G6989" t="s">
        <v>2128</v>
      </c>
      <c r="H6989" t="s">
        <v>2257</v>
      </c>
      <c r="I6989" t="s">
        <v>2258</v>
      </c>
      <c r="J6989">
        <v>29445</v>
      </c>
      <c r="K6989">
        <v>10848</v>
      </c>
    </row>
    <row r="6990" spans="7:11" x14ac:dyDescent="0.25">
      <c r="G6990" t="s">
        <v>2128</v>
      </c>
      <c r="H6990" t="s">
        <v>2131</v>
      </c>
      <c r="I6990" t="s">
        <v>2259</v>
      </c>
      <c r="J6990">
        <v>608</v>
      </c>
      <c r="K6990">
        <v>334</v>
      </c>
    </row>
    <row r="6991" spans="7:11" x14ac:dyDescent="0.25">
      <c r="G6991" t="s">
        <v>2128</v>
      </c>
      <c r="H6991" t="s">
        <v>2129</v>
      </c>
      <c r="I6991" t="s">
        <v>2260</v>
      </c>
      <c r="J6991">
        <v>15000</v>
      </c>
      <c r="K6991">
        <v>15000</v>
      </c>
    </row>
    <row r="6992" spans="7:11" x14ac:dyDescent="0.25">
      <c r="G6992" t="s">
        <v>2261</v>
      </c>
      <c r="H6992" t="s">
        <v>2261</v>
      </c>
      <c r="I6992" t="s">
        <v>2262</v>
      </c>
      <c r="J6992">
        <v>1064000</v>
      </c>
      <c r="K6992">
        <v>1064000</v>
      </c>
    </row>
    <row r="6993" spans="7:11" x14ac:dyDescent="0.25">
      <c r="G6993" t="s">
        <v>2261</v>
      </c>
      <c r="H6993" t="s">
        <v>2261</v>
      </c>
      <c r="I6993" t="s">
        <v>2263</v>
      </c>
      <c r="J6993">
        <v>600000</v>
      </c>
      <c r="K6993">
        <v>600000</v>
      </c>
    </row>
    <row r="6994" spans="7:11" x14ac:dyDescent="0.25">
      <c r="G6994" t="s">
        <v>2066</v>
      </c>
      <c r="H6994" t="s">
        <v>2066</v>
      </c>
      <c r="I6994" t="s">
        <v>2264</v>
      </c>
      <c r="J6994">
        <v>0</v>
      </c>
      <c r="K6994">
        <v>50772</v>
      </c>
    </row>
    <row r="6995" spans="7:11" x14ac:dyDescent="0.25">
      <c r="G6995" t="s">
        <v>1012</v>
      </c>
      <c r="H6995" t="s">
        <v>1012</v>
      </c>
      <c r="I6995" t="s">
        <v>2265</v>
      </c>
      <c r="J6995">
        <v>0</v>
      </c>
      <c r="K6995">
        <v>-10856</v>
      </c>
    </row>
    <row r="6996" spans="7:11" x14ac:dyDescent="0.25">
      <c r="G6996" t="s">
        <v>1960</v>
      </c>
      <c r="H6996" t="s">
        <v>1960</v>
      </c>
      <c r="I6996" t="s">
        <v>2291</v>
      </c>
      <c r="J6996">
        <v>-15000000</v>
      </c>
      <c r="K6996">
        <v>-15000000</v>
      </c>
    </row>
    <row r="6997" spans="7:11" x14ac:dyDescent="0.25">
      <c r="G6997" t="s">
        <v>953</v>
      </c>
      <c r="H6997" t="s">
        <v>953</v>
      </c>
      <c r="I6997" t="s">
        <v>2293</v>
      </c>
      <c r="J6997">
        <v>-6422930</v>
      </c>
      <c r="K6997">
        <v>-4765580</v>
      </c>
    </row>
    <row r="6998" spans="7:11" x14ac:dyDescent="0.25">
      <c r="G6998" t="s">
        <v>2080</v>
      </c>
      <c r="H6998" t="s">
        <v>2273</v>
      </c>
      <c r="I6998" t="s">
        <v>2294</v>
      </c>
      <c r="J6998">
        <v>-4265099.8600000003</v>
      </c>
      <c r="K6998">
        <v>-6947999.1699999999</v>
      </c>
    </row>
    <row r="6999" spans="7:11" x14ac:dyDescent="0.25">
      <c r="G6999" t="s">
        <v>1012</v>
      </c>
      <c r="H6999" t="s">
        <v>1012</v>
      </c>
      <c r="I6999" t="s">
        <v>2295</v>
      </c>
      <c r="J6999">
        <v>-64749.24</v>
      </c>
      <c r="K6999">
        <v>-72883.039999999994</v>
      </c>
    </row>
    <row r="7000" spans="7:11" x14ac:dyDescent="0.25">
      <c r="G7000" t="s">
        <v>2298</v>
      </c>
      <c r="H7000" t="s">
        <v>2300</v>
      </c>
      <c r="I7000" t="s">
        <v>2301</v>
      </c>
      <c r="J7000">
        <v>0</v>
      </c>
      <c r="K7000">
        <v>-16148163.1</v>
      </c>
    </row>
    <row r="7001" spans="7:11" x14ac:dyDescent="0.25">
      <c r="G7001" t="s">
        <v>2298</v>
      </c>
      <c r="H7001" t="s">
        <v>2302</v>
      </c>
      <c r="I7001" t="s">
        <v>2303</v>
      </c>
      <c r="J7001">
        <v>0</v>
      </c>
      <c r="K7001">
        <v>-6885080.8799999999</v>
      </c>
    </row>
    <row r="7002" spans="7:11" x14ac:dyDescent="0.25">
      <c r="G7002" t="s">
        <v>2298</v>
      </c>
      <c r="H7002" t="s">
        <v>2300</v>
      </c>
      <c r="I7002" t="s">
        <v>2304</v>
      </c>
      <c r="J7002">
        <v>0</v>
      </c>
      <c r="K7002">
        <v>-15844868.300000001</v>
      </c>
    </row>
    <row r="7003" spans="7:11" x14ac:dyDescent="0.25">
      <c r="G7003" t="s">
        <v>2298</v>
      </c>
      <c r="H7003" t="s">
        <v>2302</v>
      </c>
      <c r="I7003" t="s">
        <v>2305</v>
      </c>
      <c r="J7003">
        <v>0</v>
      </c>
      <c r="K7003">
        <v>-8524291.5199999996</v>
      </c>
    </row>
    <row r="7004" spans="7:11" x14ac:dyDescent="0.25">
      <c r="G7004" t="s">
        <v>2298</v>
      </c>
      <c r="H7004" t="s">
        <v>2302</v>
      </c>
      <c r="I7004" t="s">
        <v>2306</v>
      </c>
      <c r="J7004">
        <v>0</v>
      </c>
      <c r="K7004">
        <v>-289463.55</v>
      </c>
    </row>
    <row r="7005" spans="7:11" x14ac:dyDescent="0.25">
      <c r="G7005" t="s">
        <v>2066</v>
      </c>
      <c r="H7005" t="s">
        <v>2066</v>
      </c>
      <c r="I7005" t="s">
        <v>2310</v>
      </c>
      <c r="J7005">
        <v>0</v>
      </c>
      <c r="K7005">
        <v>29293.91</v>
      </c>
    </row>
    <row r="7006" spans="7:11" x14ac:dyDescent="0.25">
      <c r="G7006" t="s">
        <v>100</v>
      </c>
      <c r="H7006" t="s">
        <v>100</v>
      </c>
      <c r="I7006" t="s">
        <v>2312</v>
      </c>
      <c r="J7006">
        <v>61590000</v>
      </c>
      <c r="K7006">
        <v>93458728</v>
      </c>
    </row>
    <row r="7007" spans="7:11" x14ac:dyDescent="0.25">
      <c r="G7007" t="s">
        <v>2080</v>
      </c>
      <c r="H7007" t="s">
        <v>2080</v>
      </c>
      <c r="I7007" t="s">
        <v>2316</v>
      </c>
      <c r="J7007">
        <v>-85258.559999999998</v>
      </c>
      <c r="K7007">
        <v>0</v>
      </c>
    </row>
    <row r="7008" spans="7:11" x14ac:dyDescent="0.25">
      <c r="G7008" t="s">
        <v>1012</v>
      </c>
      <c r="H7008" t="s">
        <v>1012</v>
      </c>
      <c r="I7008" t="s">
        <v>2317</v>
      </c>
      <c r="J7008">
        <v>0</v>
      </c>
      <c r="K7008">
        <v>0.1</v>
      </c>
    </row>
    <row r="7009" spans="7:11" x14ac:dyDescent="0.25">
      <c r="G7009" t="s">
        <v>2128</v>
      </c>
      <c r="H7009" t="s">
        <v>2214</v>
      </c>
      <c r="I7009" t="s">
        <v>2321</v>
      </c>
      <c r="J7009">
        <v>2129.59</v>
      </c>
      <c r="K7009">
        <v>0</v>
      </c>
    </row>
    <row r="7010" spans="7:11" x14ac:dyDescent="0.25">
      <c r="G7010" t="s">
        <v>2066</v>
      </c>
      <c r="H7010" t="s">
        <v>2066</v>
      </c>
      <c r="I7010" t="s">
        <v>2322</v>
      </c>
      <c r="J7010">
        <v>0</v>
      </c>
      <c r="K7010">
        <v>4754079.5199999996</v>
      </c>
    </row>
    <row r="7011" spans="7:11" x14ac:dyDescent="0.25">
      <c r="G7011" t="s">
        <v>2323</v>
      </c>
      <c r="H7011" t="s">
        <v>2323</v>
      </c>
      <c r="I7011" t="s">
        <v>2324</v>
      </c>
      <c r="J7011">
        <v>0</v>
      </c>
      <c r="K7011">
        <v>28804.48</v>
      </c>
    </row>
    <row r="7012" spans="7:11" x14ac:dyDescent="0.25">
      <c r="G7012" t="s">
        <v>2323</v>
      </c>
      <c r="H7012" t="s">
        <v>2323</v>
      </c>
      <c r="I7012" t="s">
        <v>2325</v>
      </c>
      <c r="J7012">
        <v>0</v>
      </c>
      <c r="K7012">
        <v>47243.96</v>
      </c>
    </row>
    <row r="7013" spans="7:11" x14ac:dyDescent="0.25">
      <c r="G7013" t="s">
        <v>2080</v>
      </c>
      <c r="H7013" t="s">
        <v>2080</v>
      </c>
      <c r="I7013" t="s">
        <v>2334</v>
      </c>
      <c r="J7013">
        <v>2633479.64</v>
      </c>
      <c r="K7013">
        <v>1871535</v>
      </c>
    </row>
    <row r="7014" spans="7:11" x14ac:dyDescent="0.25">
      <c r="G7014" t="s">
        <v>2066</v>
      </c>
      <c r="H7014" t="s">
        <v>2066</v>
      </c>
      <c r="I7014" t="s">
        <v>2337</v>
      </c>
      <c r="J7014">
        <v>0</v>
      </c>
      <c r="K7014">
        <v>5356.67</v>
      </c>
    </row>
    <row r="7015" spans="7:11" x14ac:dyDescent="0.25">
      <c r="G7015" t="s">
        <v>2045</v>
      </c>
      <c r="H7015" t="s">
        <v>2341</v>
      </c>
      <c r="I7015" t="s">
        <v>2343</v>
      </c>
      <c r="J7015">
        <v>8481847.0399999991</v>
      </c>
      <c r="K7015">
        <v>0</v>
      </c>
    </row>
    <row r="7016" spans="7:11" x14ac:dyDescent="0.25">
      <c r="G7016" t="s">
        <v>2045</v>
      </c>
      <c r="H7016" t="s">
        <v>2187</v>
      </c>
      <c r="I7016" t="s">
        <v>2344</v>
      </c>
      <c r="J7016">
        <v>0</v>
      </c>
      <c r="K7016">
        <v>11398</v>
      </c>
    </row>
    <row r="7017" spans="7:11" x14ac:dyDescent="0.25">
      <c r="G7017" t="s">
        <v>2045</v>
      </c>
      <c r="H7017" t="s">
        <v>2058</v>
      </c>
      <c r="I7017" t="s">
        <v>2346</v>
      </c>
      <c r="J7017">
        <v>13005.56</v>
      </c>
      <c r="K7017">
        <v>0</v>
      </c>
    </row>
    <row r="7018" spans="7:11" x14ac:dyDescent="0.25">
      <c r="G7018" t="s">
        <v>2080</v>
      </c>
      <c r="H7018" t="s">
        <v>2080</v>
      </c>
      <c r="I7018" t="s">
        <v>2358</v>
      </c>
      <c r="J7018">
        <v>26002.5</v>
      </c>
      <c r="K7018">
        <v>27840</v>
      </c>
    </row>
    <row r="7019" spans="7:11" x14ac:dyDescent="0.25">
      <c r="G7019" t="s">
        <v>2080</v>
      </c>
      <c r="H7019" t="s">
        <v>2080</v>
      </c>
      <c r="I7019" t="s">
        <v>2360</v>
      </c>
      <c r="J7019">
        <v>0</v>
      </c>
      <c r="K7019">
        <v>210866</v>
      </c>
    </row>
    <row r="7020" spans="7:11" x14ac:dyDescent="0.25">
      <c r="G7020" t="s">
        <v>2066</v>
      </c>
      <c r="H7020" t="s">
        <v>2066</v>
      </c>
      <c r="I7020" t="s">
        <v>2361</v>
      </c>
      <c r="J7020">
        <v>0</v>
      </c>
      <c r="K7020">
        <v>1813797</v>
      </c>
    </row>
    <row r="7021" spans="7:11" x14ac:dyDescent="0.25">
      <c r="G7021" t="s">
        <v>2066</v>
      </c>
      <c r="H7021" t="s">
        <v>2066</v>
      </c>
      <c r="I7021" t="s">
        <v>2363</v>
      </c>
      <c r="J7021">
        <v>0</v>
      </c>
      <c r="K7021">
        <v>12314</v>
      </c>
    </row>
    <row r="7022" spans="7:11" x14ac:dyDescent="0.25">
      <c r="G7022" t="s">
        <v>2045</v>
      </c>
      <c r="H7022" t="s">
        <v>2058</v>
      </c>
      <c r="I7022" t="s">
        <v>2366</v>
      </c>
      <c r="J7022">
        <v>3687798.24</v>
      </c>
      <c r="K7022">
        <v>0</v>
      </c>
    </row>
    <row r="7023" spans="7:11" x14ac:dyDescent="0.25">
      <c r="G7023" t="s">
        <v>2045</v>
      </c>
      <c r="H7023" t="s">
        <v>2187</v>
      </c>
      <c r="I7023" t="s">
        <v>2367</v>
      </c>
      <c r="J7023">
        <v>0</v>
      </c>
      <c r="K7023">
        <v>-8530.7199999999993</v>
      </c>
    </row>
    <row r="7024" spans="7:11" x14ac:dyDescent="0.25">
      <c r="G7024" t="s">
        <v>2045</v>
      </c>
      <c r="H7024" t="s">
        <v>2045</v>
      </c>
      <c r="I7024" t="s">
        <v>2368</v>
      </c>
      <c r="J7024">
        <v>-39493.25</v>
      </c>
      <c r="K7024">
        <v>-39493.25</v>
      </c>
    </row>
    <row r="7025" spans="7:11" x14ac:dyDescent="0.25">
      <c r="G7025" t="s">
        <v>2066</v>
      </c>
      <c r="H7025" t="s">
        <v>2069</v>
      </c>
      <c r="I7025" t="s">
        <v>2373</v>
      </c>
      <c r="J7025">
        <v>0</v>
      </c>
      <c r="K7025">
        <v>732660</v>
      </c>
    </row>
    <row r="7026" spans="7:11" x14ac:dyDescent="0.25">
      <c r="G7026" t="s">
        <v>2128</v>
      </c>
      <c r="H7026" t="s">
        <v>2129</v>
      </c>
      <c r="I7026" t="s">
        <v>2379</v>
      </c>
      <c r="J7026">
        <v>2425</v>
      </c>
      <c r="K7026">
        <v>0</v>
      </c>
    </row>
    <row r="7027" spans="7:11" x14ac:dyDescent="0.25">
      <c r="G7027" t="s">
        <v>2128</v>
      </c>
      <c r="H7027" t="s">
        <v>2131</v>
      </c>
      <c r="I7027" t="s">
        <v>2381</v>
      </c>
      <c r="J7027">
        <v>278.95</v>
      </c>
      <c r="K7027">
        <v>278.95</v>
      </c>
    </row>
    <row r="7028" spans="7:11" x14ac:dyDescent="0.25">
      <c r="G7028" t="s">
        <v>2080</v>
      </c>
      <c r="H7028" t="s">
        <v>2080</v>
      </c>
      <c r="I7028" t="s">
        <v>2382</v>
      </c>
      <c r="J7028">
        <v>442533.13</v>
      </c>
      <c r="K7028">
        <v>169477.5</v>
      </c>
    </row>
    <row r="7029" spans="7:11" x14ac:dyDescent="0.25">
      <c r="G7029" t="s">
        <v>2045</v>
      </c>
      <c r="H7029" t="s">
        <v>2187</v>
      </c>
      <c r="I7029" t="s">
        <v>2391</v>
      </c>
      <c r="J7029">
        <v>0</v>
      </c>
      <c r="K7029">
        <v>-396.5</v>
      </c>
    </row>
    <row r="7030" spans="7:11" x14ac:dyDescent="0.25">
      <c r="G7030" t="s">
        <v>2080</v>
      </c>
      <c r="H7030" t="s">
        <v>2080</v>
      </c>
      <c r="I7030" t="s">
        <v>2395</v>
      </c>
      <c r="J7030">
        <v>5152</v>
      </c>
      <c r="K7030">
        <v>5152</v>
      </c>
    </row>
    <row r="7031" spans="7:11" x14ac:dyDescent="0.25">
      <c r="G7031" t="s">
        <v>1012</v>
      </c>
      <c r="H7031" t="s">
        <v>1012</v>
      </c>
      <c r="I7031" t="s">
        <v>2397</v>
      </c>
      <c r="J7031">
        <v>-2090871.16</v>
      </c>
      <c r="K7031">
        <v>-3473925.26</v>
      </c>
    </row>
    <row r="7032" spans="7:11" x14ac:dyDescent="0.25">
      <c r="G7032" t="s">
        <v>2045</v>
      </c>
      <c r="H7032" t="s">
        <v>2058</v>
      </c>
      <c r="I7032" t="s">
        <v>2402</v>
      </c>
      <c r="J7032">
        <v>35387.660000000003</v>
      </c>
      <c r="K7032">
        <v>427.5</v>
      </c>
    </row>
    <row r="7033" spans="7:11" x14ac:dyDescent="0.25">
      <c r="G7033" t="s">
        <v>2045</v>
      </c>
      <c r="H7033" t="s">
        <v>2187</v>
      </c>
      <c r="I7033" t="s">
        <v>2403</v>
      </c>
      <c r="J7033">
        <v>0</v>
      </c>
      <c r="K7033">
        <v>23273.759999999998</v>
      </c>
    </row>
    <row r="7034" spans="7:11" x14ac:dyDescent="0.25">
      <c r="G7034" t="s">
        <v>2066</v>
      </c>
      <c r="H7034" t="s">
        <v>2066</v>
      </c>
      <c r="I7034" t="s">
        <v>2409</v>
      </c>
      <c r="J7034">
        <v>0</v>
      </c>
      <c r="K7034">
        <v>8000000</v>
      </c>
    </row>
    <row r="7035" spans="7:11" x14ac:dyDescent="0.25">
      <c r="G7035" t="s">
        <v>2066</v>
      </c>
      <c r="H7035" t="s">
        <v>2066</v>
      </c>
      <c r="I7035" t="s">
        <v>2410</v>
      </c>
      <c r="J7035">
        <v>0</v>
      </c>
      <c r="K7035">
        <v>-493292</v>
      </c>
    </row>
    <row r="7036" spans="7:11" x14ac:dyDescent="0.25">
      <c r="G7036" t="s">
        <v>1012</v>
      </c>
      <c r="H7036" t="s">
        <v>1012</v>
      </c>
      <c r="I7036" t="s">
        <v>2414</v>
      </c>
      <c r="J7036">
        <v>-20159</v>
      </c>
      <c r="K7036">
        <v>-297401</v>
      </c>
    </row>
    <row r="7037" spans="7:11" x14ac:dyDescent="0.25">
      <c r="G7037" t="s">
        <v>1012</v>
      </c>
      <c r="H7037" t="s">
        <v>1012</v>
      </c>
      <c r="I7037" t="s">
        <v>2415</v>
      </c>
      <c r="J7037">
        <v>-27976.62</v>
      </c>
      <c r="K7037">
        <v>-2217934</v>
      </c>
    </row>
    <row r="7038" spans="7:11" x14ac:dyDescent="0.25">
      <c r="G7038" t="s">
        <v>1012</v>
      </c>
      <c r="H7038" t="s">
        <v>1012</v>
      </c>
      <c r="I7038" t="s">
        <v>2417</v>
      </c>
      <c r="J7038">
        <v>-666548</v>
      </c>
      <c r="K7038">
        <v>0</v>
      </c>
    </row>
    <row r="7039" spans="7:11" x14ac:dyDescent="0.25">
      <c r="G7039" t="s">
        <v>2066</v>
      </c>
      <c r="H7039" t="s">
        <v>2066</v>
      </c>
      <c r="I7039" t="s">
        <v>2418</v>
      </c>
      <c r="J7039">
        <v>0</v>
      </c>
      <c r="K7039">
        <v>436416</v>
      </c>
    </row>
    <row r="7040" spans="7:11" x14ac:dyDescent="0.25">
      <c r="G7040" t="s">
        <v>1012</v>
      </c>
      <c r="H7040" t="s">
        <v>1012</v>
      </c>
      <c r="I7040" t="s">
        <v>2419</v>
      </c>
      <c r="J7040">
        <v>14040</v>
      </c>
      <c r="K7040">
        <v>0</v>
      </c>
    </row>
    <row r="7041" spans="7:11" x14ac:dyDescent="0.25">
      <c r="G7041" t="s">
        <v>2169</v>
      </c>
      <c r="H7041" t="s">
        <v>2169</v>
      </c>
      <c r="I7041" t="s">
        <v>2420</v>
      </c>
      <c r="J7041">
        <v>0</v>
      </c>
      <c r="K7041">
        <v>-3224727</v>
      </c>
    </row>
    <row r="7042" spans="7:11" x14ac:dyDescent="0.25">
      <c r="G7042" t="s">
        <v>2169</v>
      </c>
      <c r="H7042" t="s">
        <v>2422</v>
      </c>
      <c r="I7042" t="s">
        <v>2423</v>
      </c>
      <c r="J7042">
        <v>0</v>
      </c>
      <c r="K7042">
        <v>-236600</v>
      </c>
    </row>
    <row r="7043" spans="7:11" x14ac:dyDescent="0.25">
      <c r="G7043" t="s">
        <v>2066</v>
      </c>
      <c r="H7043" t="s">
        <v>2066</v>
      </c>
      <c r="I7043" t="s">
        <v>2425</v>
      </c>
      <c r="J7043">
        <v>0</v>
      </c>
      <c r="K7043">
        <v>32401.32</v>
      </c>
    </row>
    <row r="7044" spans="7:11" x14ac:dyDescent="0.25">
      <c r="G7044" t="s">
        <v>2128</v>
      </c>
      <c r="H7044" t="s">
        <v>2131</v>
      </c>
      <c r="I7044" t="s">
        <v>2429</v>
      </c>
      <c r="J7044">
        <v>2593</v>
      </c>
      <c r="K7044">
        <v>1424</v>
      </c>
    </row>
    <row r="7045" spans="7:11" x14ac:dyDescent="0.25">
      <c r="G7045" t="s">
        <v>1012</v>
      </c>
      <c r="H7045" t="s">
        <v>1012</v>
      </c>
      <c r="I7045" t="s">
        <v>2435</v>
      </c>
      <c r="J7045">
        <v>0</v>
      </c>
      <c r="K7045">
        <v>-7316</v>
      </c>
    </row>
    <row r="7046" spans="7:11" x14ac:dyDescent="0.25">
      <c r="G7046" t="s">
        <v>1012</v>
      </c>
      <c r="H7046" t="s">
        <v>1012</v>
      </c>
      <c r="I7046" t="s">
        <v>2440</v>
      </c>
      <c r="J7046">
        <v>0</v>
      </c>
      <c r="K7046">
        <v>-92040</v>
      </c>
    </row>
    <row r="7047" spans="7:11" x14ac:dyDescent="0.25">
      <c r="G7047" t="s">
        <v>2080</v>
      </c>
      <c r="H7047" t="s">
        <v>2080</v>
      </c>
      <c r="I7047" t="s">
        <v>2450</v>
      </c>
      <c r="J7047">
        <v>0</v>
      </c>
      <c r="K7047">
        <v>103840</v>
      </c>
    </row>
    <row r="7048" spans="7:11" x14ac:dyDescent="0.25">
      <c r="G7048" t="s">
        <v>953</v>
      </c>
      <c r="H7048" t="s">
        <v>2112</v>
      </c>
      <c r="I7048" t="s">
        <v>2458</v>
      </c>
      <c r="J7048">
        <v>0</v>
      </c>
      <c r="K7048">
        <v>-4807</v>
      </c>
    </row>
    <row r="7049" spans="7:11" x14ac:dyDescent="0.25">
      <c r="G7049" t="s">
        <v>2470</v>
      </c>
      <c r="H7049" t="s">
        <v>2470</v>
      </c>
      <c r="I7049" t="s">
        <v>2471</v>
      </c>
      <c r="J7049">
        <v>5006986.22</v>
      </c>
      <c r="K7049">
        <v>5004254.82</v>
      </c>
    </row>
    <row r="7050" spans="7:11" x14ac:dyDescent="0.25">
      <c r="G7050" t="s">
        <v>2128</v>
      </c>
      <c r="H7050" t="s">
        <v>2257</v>
      </c>
      <c r="I7050" t="s">
        <v>2474</v>
      </c>
      <c r="J7050">
        <v>7960</v>
      </c>
      <c r="K7050">
        <v>3000</v>
      </c>
    </row>
    <row r="7051" spans="7:11" x14ac:dyDescent="0.25">
      <c r="G7051" t="s">
        <v>2128</v>
      </c>
      <c r="H7051" t="s">
        <v>2257</v>
      </c>
      <c r="I7051" t="s">
        <v>2475</v>
      </c>
      <c r="J7051">
        <v>7960</v>
      </c>
      <c r="K7051">
        <v>3000</v>
      </c>
    </row>
    <row r="7052" spans="7:11" x14ac:dyDescent="0.25">
      <c r="G7052" t="s">
        <v>2128</v>
      </c>
      <c r="H7052" t="s">
        <v>2129</v>
      </c>
      <c r="I7052" t="s">
        <v>2479</v>
      </c>
      <c r="J7052">
        <v>7250</v>
      </c>
      <c r="K7052">
        <v>7250</v>
      </c>
    </row>
    <row r="7053" spans="7:11" x14ac:dyDescent="0.25">
      <c r="G7053" t="s">
        <v>2128</v>
      </c>
      <c r="H7053" t="s">
        <v>2129</v>
      </c>
      <c r="I7053" t="s">
        <v>2480</v>
      </c>
      <c r="J7053">
        <v>8948.75</v>
      </c>
      <c r="K7053">
        <v>7286.25</v>
      </c>
    </row>
    <row r="7054" spans="7:11" x14ac:dyDescent="0.25">
      <c r="G7054" t="s">
        <v>2128</v>
      </c>
      <c r="H7054" t="s">
        <v>2129</v>
      </c>
      <c r="I7054" t="s">
        <v>2481</v>
      </c>
      <c r="J7054">
        <v>3572</v>
      </c>
      <c r="K7054">
        <v>3572</v>
      </c>
    </row>
    <row r="7055" spans="7:11" x14ac:dyDescent="0.25">
      <c r="G7055" t="s">
        <v>2066</v>
      </c>
      <c r="H7055" t="s">
        <v>2069</v>
      </c>
      <c r="I7055" t="s">
        <v>2500</v>
      </c>
      <c r="J7055">
        <v>0</v>
      </c>
      <c r="K7055">
        <v>1215560</v>
      </c>
    </row>
    <row r="7056" spans="7:11" x14ac:dyDescent="0.25">
      <c r="G7056" t="s">
        <v>953</v>
      </c>
      <c r="H7056" t="s">
        <v>2064</v>
      </c>
      <c r="I7056" t="s">
        <v>2504</v>
      </c>
      <c r="J7056">
        <v>40795</v>
      </c>
      <c r="K7056">
        <v>0</v>
      </c>
    </row>
    <row r="7057" spans="7:11" x14ac:dyDescent="0.25">
      <c r="G7057" t="s">
        <v>953</v>
      </c>
      <c r="H7057" t="s">
        <v>2064</v>
      </c>
      <c r="I7057" t="s">
        <v>2513</v>
      </c>
      <c r="J7057">
        <v>-67500</v>
      </c>
      <c r="K7057">
        <v>-42750</v>
      </c>
    </row>
    <row r="7058" spans="7:11" x14ac:dyDescent="0.25">
      <c r="G7058" t="s">
        <v>2080</v>
      </c>
      <c r="H7058" t="s">
        <v>2080</v>
      </c>
      <c r="I7058" t="s">
        <v>2515</v>
      </c>
      <c r="J7058">
        <v>428103.9</v>
      </c>
      <c r="K7058">
        <v>0</v>
      </c>
    </row>
    <row r="7059" spans="7:11" x14ac:dyDescent="0.25">
      <c r="G7059" t="s">
        <v>2066</v>
      </c>
      <c r="H7059" t="s">
        <v>2066</v>
      </c>
      <c r="I7059" t="s">
        <v>2517</v>
      </c>
      <c r="J7059">
        <v>0</v>
      </c>
      <c r="K7059">
        <v>15573977</v>
      </c>
    </row>
    <row r="7060" spans="7:11" x14ac:dyDescent="0.25">
      <c r="G7060" t="s">
        <v>953</v>
      </c>
      <c r="H7060" t="s">
        <v>2064</v>
      </c>
      <c r="I7060" t="s">
        <v>2518</v>
      </c>
      <c r="J7060">
        <v>0</v>
      </c>
      <c r="K7060">
        <v>-15573977</v>
      </c>
    </row>
    <row r="7061" spans="7:11" x14ac:dyDescent="0.25">
      <c r="G7061" t="s">
        <v>2080</v>
      </c>
      <c r="H7061" t="s">
        <v>2080</v>
      </c>
      <c r="I7061" t="s">
        <v>2521</v>
      </c>
      <c r="J7061">
        <v>1447774.8</v>
      </c>
      <c r="K7061">
        <v>-215.25</v>
      </c>
    </row>
    <row r="7062" spans="7:11" x14ac:dyDescent="0.25">
      <c r="G7062" t="s">
        <v>2080</v>
      </c>
      <c r="H7062" t="s">
        <v>2080</v>
      </c>
      <c r="I7062" t="s">
        <v>2522</v>
      </c>
      <c r="J7062">
        <v>2693484.71</v>
      </c>
      <c r="K7062">
        <v>3631359.57</v>
      </c>
    </row>
    <row r="7063" spans="7:11" x14ac:dyDescent="0.25">
      <c r="G7063" t="s">
        <v>2080</v>
      </c>
      <c r="H7063" t="s">
        <v>2080</v>
      </c>
      <c r="I7063" t="s">
        <v>2523</v>
      </c>
      <c r="J7063">
        <v>581238.5</v>
      </c>
      <c r="K7063">
        <v>0</v>
      </c>
    </row>
    <row r="7064" spans="7:11" x14ac:dyDescent="0.25">
      <c r="G7064" t="s">
        <v>2066</v>
      </c>
      <c r="H7064" t="s">
        <v>2066</v>
      </c>
      <c r="I7064" t="s">
        <v>2526</v>
      </c>
      <c r="J7064">
        <v>0</v>
      </c>
      <c r="K7064">
        <v>36540.44</v>
      </c>
    </row>
    <row r="7065" spans="7:11" x14ac:dyDescent="0.25">
      <c r="G7065" t="s">
        <v>1012</v>
      </c>
      <c r="H7065" t="s">
        <v>2218</v>
      </c>
      <c r="I7065" t="s">
        <v>2528</v>
      </c>
      <c r="J7065">
        <v>-9077204.0700000003</v>
      </c>
      <c r="K7065">
        <v>-157736.71</v>
      </c>
    </row>
    <row r="7066" spans="7:11" x14ac:dyDescent="0.25">
      <c r="G7066" t="s">
        <v>2080</v>
      </c>
      <c r="H7066" t="s">
        <v>2177</v>
      </c>
      <c r="I7066" t="s">
        <v>2529</v>
      </c>
      <c r="J7066">
        <v>171916.43</v>
      </c>
      <c r="K7066">
        <v>13484.35</v>
      </c>
    </row>
    <row r="7067" spans="7:11" x14ac:dyDescent="0.25">
      <c r="G7067" t="s">
        <v>1012</v>
      </c>
      <c r="H7067" t="s">
        <v>2218</v>
      </c>
      <c r="I7067" t="s">
        <v>2530</v>
      </c>
      <c r="J7067">
        <v>-1807256.57</v>
      </c>
      <c r="K7067">
        <v>0</v>
      </c>
    </row>
    <row r="7068" spans="7:11" x14ac:dyDescent="0.25">
      <c r="G7068" t="s">
        <v>2080</v>
      </c>
      <c r="H7068" t="s">
        <v>2177</v>
      </c>
      <c r="I7068" t="s">
        <v>2532</v>
      </c>
      <c r="J7068">
        <v>14275050.640000001</v>
      </c>
      <c r="K7068">
        <v>26544026.890000001</v>
      </c>
    </row>
    <row r="7069" spans="7:11" x14ac:dyDescent="0.25">
      <c r="G7069" t="s">
        <v>2080</v>
      </c>
      <c r="H7069" t="s">
        <v>2177</v>
      </c>
      <c r="I7069" t="s">
        <v>2534</v>
      </c>
      <c r="J7069">
        <v>88175.35</v>
      </c>
      <c r="K7069">
        <v>0</v>
      </c>
    </row>
    <row r="7070" spans="7:11" x14ac:dyDescent="0.25">
      <c r="G7070" t="s">
        <v>2128</v>
      </c>
      <c r="H7070" t="s">
        <v>2131</v>
      </c>
      <c r="I7070" t="s">
        <v>2537</v>
      </c>
      <c r="J7070">
        <v>333</v>
      </c>
      <c r="K7070">
        <v>0</v>
      </c>
    </row>
    <row r="7071" spans="7:11" x14ac:dyDescent="0.25">
      <c r="G7071" t="s">
        <v>2066</v>
      </c>
      <c r="H7071" t="s">
        <v>2066</v>
      </c>
      <c r="I7071" t="s">
        <v>2538</v>
      </c>
      <c r="J7071">
        <v>0</v>
      </c>
      <c r="K7071">
        <v>34767.32</v>
      </c>
    </row>
    <row r="7072" spans="7:11" x14ac:dyDescent="0.25">
      <c r="G7072" t="s">
        <v>2080</v>
      </c>
      <c r="H7072" t="s">
        <v>2080</v>
      </c>
      <c r="I7072" t="s">
        <v>2540</v>
      </c>
      <c r="J7072">
        <v>66872.259999999995</v>
      </c>
      <c r="K7072">
        <v>36580</v>
      </c>
    </row>
    <row r="7073" spans="7:11" x14ac:dyDescent="0.25">
      <c r="G7073" t="s">
        <v>2080</v>
      </c>
      <c r="H7073" t="s">
        <v>2080</v>
      </c>
      <c r="I7073" t="s">
        <v>2541</v>
      </c>
      <c r="J7073">
        <v>629137.29</v>
      </c>
      <c r="K7073">
        <v>0</v>
      </c>
    </row>
    <row r="7074" spans="7:11" x14ac:dyDescent="0.25">
      <c r="G7074" t="s">
        <v>2080</v>
      </c>
      <c r="H7074" t="s">
        <v>2080</v>
      </c>
      <c r="I7074" t="s">
        <v>2542</v>
      </c>
      <c r="J7074">
        <v>419424.86</v>
      </c>
      <c r="K7074">
        <v>0</v>
      </c>
    </row>
    <row r="7075" spans="7:11" x14ac:dyDescent="0.25">
      <c r="G7075" t="s">
        <v>953</v>
      </c>
      <c r="H7075" t="s">
        <v>2064</v>
      </c>
      <c r="I7075" t="s">
        <v>2545</v>
      </c>
      <c r="J7075">
        <v>-1170000</v>
      </c>
      <c r="K7075">
        <v>-1208880</v>
      </c>
    </row>
    <row r="7076" spans="7:11" x14ac:dyDescent="0.25">
      <c r="G7076" t="s">
        <v>1012</v>
      </c>
      <c r="H7076" t="s">
        <v>1012</v>
      </c>
      <c r="I7076" t="s">
        <v>2560</v>
      </c>
      <c r="J7076">
        <v>0</v>
      </c>
      <c r="K7076">
        <v>-23600</v>
      </c>
    </row>
    <row r="7077" spans="7:11" x14ac:dyDescent="0.25">
      <c r="G7077" t="s">
        <v>2128</v>
      </c>
      <c r="H7077" t="s">
        <v>2214</v>
      </c>
      <c r="I7077" t="s">
        <v>2564</v>
      </c>
      <c r="J7077">
        <v>5359.01</v>
      </c>
      <c r="K7077">
        <v>0</v>
      </c>
    </row>
    <row r="7078" spans="7:11" x14ac:dyDescent="0.25">
      <c r="G7078" t="s">
        <v>2128</v>
      </c>
      <c r="H7078" t="s">
        <v>2214</v>
      </c>
      <c r="I7078" t="s">
        <v>2565</v>
      </c>
      <c r="J7078">
        <v>5575.98</v>
      </c>
      <c r="K7078">
        <v>0</v>
      </c>
    </row>
    <row r="7079" spans="7:11" x14ac:dyDescent="0.25">
      <c r="G7079" t="s">
        <v>2128</v>
      </c>
      <c r="H7079" t="s">
        <v>2214</v>
      </c>
      <c r="I7079" t="s">
        <v>2566</v>
      </c>
      <c r="J7079">
        <v>333.5</v>
      </c>
      <c r="K7079">
        <v>0</v>
      </c>
    </row>
    <row r="7080" spans="7:11" x14ac:dyDescent="0.25">
      <c r="G7080" t="s">
        <v>2128</v>
      </c>
      <c r="H7080" t="s">
        <v>2131</v>
      </c>
      <c r="I7080" t="s">
        <v>2567</v>
      </c>
      <c r="J7080">
        <v>575</v>
      </c>
      <c r="K7080">
        <v>575</v>
      </c>
    </row>
    <row r="7081" spans="7:11" x14ac:dyDescent="0.25">
      <c r="G7081" t="s">
        <v>2128</v>
      </c>
      <c r="H7081" t="s">
        <v>2131</v>
      </c>
      <c r="I7081" t="s">
        <v>2568</v>
      </c>
      <c r="J7081">
        <v>3577</v>
      </c>
      <c r="K7081">
        <v>2100</v>
      </c>
    </row>
    <row r="7082" spans="7:11" x14ac:dyDescent="0.25">
      <c r="G7082" t="s">
        <v>2066</v>
      </c>
      <c r="H7082" t="s">
        <v>2066</v>
      </c>
      <c r="I7082" t="s">
        <v>2569</v>
      </c>
      <c r="J7082">
        <v>0</v>
      </c>
      <c r="K7082">
        <v>112551.61</v>
      </c>
    </row>
    <row r="7083" spans="7:11" x14ac:dyDescent="0.25">
      <c r="G7083" t="s">
        <v>2128</v>
      </c>
      <c r="H7083" t="s">
        <v>2570</v>
      </c>
      <c r="I7083" t="s">
        <v>2571</v>
      </c>
      <c r="J7083">
        <v>1971.33</v>
      </c>
      <c r="K7083">
        <v>1450.33</v>
      </c>
    </row>
    <row r="7084" spans="7:11" x14ac:dyDescent="0.25">
      <c r="G7084" t="s">
        <v>2281</v>
      </c>
      <c r="H7084" t="s">
        <v>2282</v>
      </c>
      <c r="I7084" t="s">
        <v>2572</v>
      </c>
      <c r="J7084">
        <v>-120950</v>
      </c>
      <c r="K7084">
        <v>-120950</v>
      </c>
    </row>
    <row r="7085" spans="7:11" x14ac:dyDescent="0.25">
      <c r="G7085" t="s">
        <v>2281</v>
      </c>
      <c r="H7085" t="s">
        <v>2573</v>
      </c>
      <c r="I7085" t="s">
        <v>2574</v>
      </c>
      <c r="J7085">
        <v>120950</v>
      </c>
      <c r="K7085">
        <v>120950</v>
      </c>
    </row>
    <row r="7086" spans="7:11" x14ac:dyDescent="0.25">
      <c r="G7086" t="s">
        <v>1012</v>
      </c>
      <c r="H7086" t="s">
        <v>1012</v>
      </c>
      <c r="I7086" t="s">
        <v>2577</v>
      </c>
      <c r="J7086">
        <v>-70204.899999999994</v>
      </c>
      <c r="K7086">
        <v>-75119.320000000007</v>
      </c>
    </row>
    <row r="7087" spans="7:11" x14ac:dyDescent="0.25">
      <c r="G7087" t="s">
        <v>953</v>
      </c>
      <c r="H7087" t="s">
        <v>2064</v>
      </c>
      <c r="I7087" t="s">
        <v>2579</v>
      </c>
      <c r="J7087">
        <v>-328050</v>
      </c>
      <c r="K7087">
        <v>-389150</v>
      </c>
    </row>
    <row r="7088" spans="7:11" x14ac:dyDescent="0.25">
      <c r="G7088" t="s">
        <v>2281</v>
      </c>
      <c r="H7088" t="s">
        <v>2573</v>
      </c>
      <c r="I7088" t="s">
        <v>2580</v>
      </c>
      <c r="J7088">
        <v>2110671</v>
      </c>
      <c r="K7088">
        <v>5753387.1500000004</v>
      </c>
    </row>
    <row r="7089" spans="7:11" x14ac:dyDescent="0.25">
      <c r="G7089" t="s">
        <v>2281</v>
      </c>
      <c r="H7089" t="s">
        <v>2282</v>
      </c>
      <c r="I7089" t="s">
        <v>2581</v>
      </c>
      <c r="J7089">
        <v>-2110671</v>
      </c>
      <c r="K7089">
        <v>-5753387.1500000004</v>
      </c>
    </row>
    <row r="7090" spans="7:11" x14ac:dyDescent="0.25">
      <c r="G7090" t="s">
        <v>2120</v>
      </c>
      <c r="H7090" t="s">
        <v>2120</v>
      </c>
      <c r="I7090" t="s">
        <v>2609</v>
      </c>
      <c r="J7090">
        <v>122278</v>
      </c>
      <c r="K7090">
        <v>0</v>
      </c>
    </row>
    <row r="7091" spans="7:11" x14ac:dyDescent="0.25">
      <c r="G7091" t="s">
        <v>953</v>
      </c>
      <c r="H7091" t="s">
        <v>2064</v>
      </c>
      <c r="I7091" t="s">
        <v>2629</v>
      </c>
      <c r="J7091">
        <v>-184500</v>
      </c>
      <c r="K7091">
        <v>-275580.03000000003</v>
      </c>
    </row>
    <row r="7092" spans="7:11" x14ac:dyDescent="0.25">
      <c r="G7092" t="s">
        <v>953</v>
      </c>
      <c r="H7092" t="s">
        <v>2064</v>
      </c>
      <c r="I7092" t="s">
        <v>2630</v>
      </c>
      <c r="J7092">
        <v>-108000</v>
      </c>
      <c r="K7092">
        <v>-32400</v>
      </c>
    </row>
    <row r="7093" spans="7:11" x14ac:dyDescent="0.25">
      <c r="G7093" t="s">
        <v>1013</v>
      </c>
      <c r="H7093" t="s">
        <v>2636</v>
      </c>
      <c r="I7093" t="s">
        <v>2638</v>
      </c>
      <c r="J7093">
        <v>1876729.92</v>
      </c>
      <c r="K7093">
        <v>62932.92</v>
      </c>
    </row>
    <row r="7094" spans="7:11" x14ac:dyDescent="0.25">
      <c r="G7094" t="s">
        <v>1013</v>
      </c>
      <c r="H7094" t="s">
        <v>2636</v>
      </c>
      <c r="I7094" t="s">
        <v>2640</v>
      </c>
      <c r="J7094">
        <v>6000</v>
      </c>
      <c r="K7094">
        <v>6000</v>
      </c>
    </row>
    <row r="7095" spans="7:11" x14ac:dyDescent="0.25">
      <c r="G7095" t="s">
        <v>1013</v>
      </c>
      <c r="H7095" t="s">
        <v>2636</v>
      </c>
      <c r="I7095" t="s">
        <v>2641</v>
      </c>
      <c r="J7095">
        <v>141290</v>
      </c>
      <c r="K7095">
        <v>141290</v>
      </c>
    </row>
    <row r="7096" spans="7:11" x14ac:dyDescent="0.25">
      <c r="G7096" t="s">
        <v>1013</v>
      </c>
      <c r="H7096" t="s">
        <v>2636</v>
      </c>
      <c r="I7096" t="s">
        <v>2642</v>
      </c>
      <c r="J7096">
        <v>256416</v>
      </c>
      <c r="K7096">
        <v>0</v>
      </c>
    </row>
    <row r="7097" spans="7:11" x14ac:dyDescent="0.25">
      <c r="G7097" t="s">
        <v>1013</v>
      </c>
      <c r="H7097" t="s">
        <v>2636</v>
      </c>
      <c r="I7097" t="s">
        <v>2644</v>
      </c>
      <c r="J7097">
        <v>24941.25</v>
      </c>
      <c r="K7097">
        <v>22057.88</v>
      </c>
    </row>
    <row r="7098" spans="7:11" x14ac:dyDescent="0.25">
      <c r="G7098" t="s">
        <v>1013</v>
      </c>
      <c r="H7098" t="s">
        <v>2636</v>
      </c>
      <c r="I7098" t="s">
        <v>2645</v>
      </c>
      <c r="J7098">
        <v>5342.6</v>
      </c>
      <c r="K7098">
        <v>1951.16</v>
      </c>
    </row>
    <row r="7099" spans="7:11" x14ac:dyDescent="0.25">
      <c r="G7099" t="s">
        <v>1013</v>
      </c>
      <c r="H7099" t="s">
        <v>2636</v>
      </c>
      <c r="I7099" t="s">
        <v>2647</v>
      </c>
      <c r="J7099">
        <v>150091.12</v>
      </c>
      <c r="K7099">
        <v>220554.92</v>
      </c>
    </row>
    <row r="7100" spans="7:11" x14ac:dyDescent="0.25">
      <c r="G7100" t="s">
        <v>1013</v>
      </c>
      <c r="H7100" t="s">
        <v>2636</v>
      </c>
      <c r="I7100" t="s">
        <v>2648</v>
      </c>
      <c r="J7100">
        <v>69092</v>
      </c>
      <c r="K7100">
        <v>99675.199999999997</v>
      </c>
    </row>
    <row r="7101" spans="7:11" x14ac:dyDescent="0.25">
      <c r="G7101" t="s">
        <v>1013</v>
      </c>
      <c r="H7101" t="s">
        <v>2636</v>
      </c>
      <c r="I7101" t="s">
        <v>2649</v>
      </c>
      <c r="J7101">
        <v>16154</v>
      </c>
      <c r="K7101">
        <v>10014</v>
      </c>
    </row>
    <row r="7102" spans="7:11" x14ac:dyDescent="0.25">
      <c r="G7102" t="s">
        <v>2128</v>
      </c>
      <c r="H7102" t="s">
        <v>2129</v>
      </c>
      <c r="I7102" t="s">
        <v>2651</v>
      </c>
      <c r="J7102">
        <v>683</v>
      </c>
      <c r="K7102">
        <v>683</v>
      </c>
    </row>
    <row r="7103" spans="7:11" x14ac:dyDescent="0.25">
      <c r="G7103" t="s">
        <v>2066</v>
      </c>
      <c r="H7103" t="s">
        <v>2066</v>
      </c>
      <c r="I7103" t="s">
        <v>2652</v>
      </c>
      <c r="J7103">
        <v>0</v>
      </c>
      <c r="K7103">
        <v>20339</v>
      </c>
    </row>
    <row r="7104" spans="7:11" x14ac:dyDescent="0.25">
      <c r="G7104" t="s">
        <v>2045</v>
      </c>
      <c r="H7104" t="s">
        <v>2045</v>
      </c>
      <c r="I7104" t="s">
        <v>2656</v>
      </c>
      <c r="J7104">
        <v>-12400</v>
      </c>
      <c r="K7104">
        <v>-19050</v>
      </c>
    </row>
    <row r="7105" spans="7:11" x14ac:dyDescent="0.25">
      <c r="G7105" t="s">
        <v>2066</v>
      </c>
      <c r="H7105" t="s">
        <v>2066</v>
      </c>
      <c r="I7105" t="s">
        <v>2657</v>
      </c>
      <c r="J7105">
        <v>0</v>
      </c>
      <c r="K7105">
        <v>1716800.07</v>
      </c>
    </row>
    <row r="7106" spans="7:11" x14ac:dyDescent="0.25">
      <c r="G7106" t="s">
        <v>2066</v>
      </c>
      <c r="H7106" t="s">
        <v>2066</v>
      </c>
      <c r="I7106" t="s">
        <v>2658</v>
      </c>
      <c r="J7106">
        <v>0</v>
      </c>
      <c r="K7106">
        <v>105000</v>
      </c>
    </row>
    <row r="7107" spans="7:11" x14ac:dyDescent="0.25">
      <c r="G7107" t="s">
        <v>1125</v>
      </c>
      <c r="H7107" t="s">
        <v>1014</v>
      </c>
      <c r="I7107" t="s">
        <v>733</v>
      </c>
      <c r="J7107">
        <v>-59939821.030000001</v>
      </c>
      <c r="K7107">
        <v>-80874157.920000002</v>
      </c>
    </row>
    <row r="7108" spans="7:11" x14ac:dyDescent="0.25">
      <c r="G7108" t="s">
        <v>953</v>
      </c>
      <c r="H7108" t="s">
        <v>2659</v>
      </c>
      <c r="I7108" t="s">
        <v>2661</v>
      </c>
      <c r="J7108">
        <v>-1108598</v>
      </c>
      <c r="K7108">
        <v>-1189109</v>
      </c>
    </row>
    <row r="7109" spans="7:11" x14ac:dyDescent="0.25">
      <c r="G7109" t="s">
        <v>959</v>
      </c>
      <c r="H7109" t="s">
        <v>959</v>
      </c>
      <c r="I7109" t="s">
        <v>2667</v>
      </c>
      <c r="J7109">
        <v>-6815666</v>
      </c>
      <c r="K7109">
        <v>-6815666</v>
      </c>
    </row>
    <row r="7110" spans="7:11" x14ac:dyDescent="0.25">
      <c r="G7110" t="s">
        <v>959</v>
      </c>
      <c r="H7110" t="s">
        <v>959</v>
      </c>
      <c r="I7110" t="s">
        <v>2668</v>
      </c>
      <c r="J7110">
        <v>0</v>
      </c>
      <c r="K7110">
        <v>-8000000</v>
      </c>
    </row>
    <row r="7111" spans="7:11" x14ac:dyDescent="0.25">
      <c r="G7111" t="s">
        <v>2670</v>
      </c>
      <c r="H7111" t="s">
        <v>2675</v>
      </c>
      <c r="I7111" t="s">
        <v>2676</v>
      </c>
      <c r="J7111">
        <v>0</v>
      </c>
      <c r="K7111">
        <v>37631604.32</v>
      </c>
    </row>
    <row r="7112" spans="7:11" x14ac:dyDescent="0.25">
      <c r="G7112" t="s">
        <v>2670</v>
      </c>
      <c r="H7112" t="s">
        <v>2673</v>
      </c>
      <c r="I7112" t="s">
        <v>2677</v>
      </c>
      <c r="J7112">
        <v>0</v>
      </c>
      <c r="K7112">
        <v>52535782.07</v>
      </c>
    </row>
    <row r="7113" spans="7:11" x14ac:dyDescent="0.25">
      <c r="G7113" t="s">
        <v>2670</v>
      </c>
      <c r="H7113" t="s">
        <v>2675</v>
      </c>
      <c r="I7113" t="s">
        <v>2678</v>
      </c>
      <c r="J7113">
        <v>0</v>
      </c>
      <c r="K7113">
        <v>54737562.049999997</v>
      </c>
    </row>
    <row r="7114" spans="7:11" x14ac:dyDescent="0.25">
      <c r="G7114" t="s">
        <v>2670</v>
      </c>
      <c r="H7114" t="s">
        <v>2673</v>
      </c>
      <c r="I7114" t="s">
        <v>2681</v>
      </c>
      <c r="J7114">
        <v>0</v>
      </c>
      <c r="K7114">
        <v>74925376.519999996</v>
      </c>
    </row>
    <row r="7115" spans="7:11" x14ac:dyDescent="0.25">
      <c r="G7115" t="s">
        <v>2670</v>
      </c>
      <c r="H7115" t="s">
        <v>2675</v>
      </c>
      <c r="I7115" t="s">
        <v>2682</v>
      </c>
      <c r="J7115">
        <v>0</v>
      </c>
      <c r="K7115">
        <v>27960427.43</v>
      </c>
    </row>
    <row r="7116" spans="7:11" x14ac:dyDescent="0.25">
      <c r="G7116" t="s">
        <v>2670</v>
      </c>
      <c r="H7116" t="s">
        <v>2673</v>
      </c>
      <c r="I7116" t="s">
        <v>2684</v>
      </c>
      <c r="J7116">
        <v>0</v>
      </c>
      <c r="K7116">
        <v>60777.8</v>
      </c>
    </row>
    <row r="7117" spans="7:11" x14ac:dyDescent="0.25">
      <c r="G7117" t="s">
        <v>2670</v>
      </c>
      <c r="H7117" t="s">
        <v>2675</v>
      </c>
      <c r="I7117" t="s">
        <v>2685</v>
      </c>
      <c r="J7117">
        <v>0</v>
      </c>
      <c r="K7117">
        <v>14000</v>
      </c>
    </row>
    <row r="7118" spans="7:11" x14ac:dyDescent="0.25">
      <c r="G7118" t="s">
        <v>2080</v>
      </c>
      <c r="H7118" t="s">
        <v>2080</v>
      </c>
      <c r="I7118" t="s">
        <v>2707</v>
      </c>
      <c r="J7118">
        <v>0</v>
      </c>
      <c r="K7118">
        <v>12744</v>
      </c>
    </row>
    <row r="7119" spans="7:11" x14ac:dyDescent="0.25">
      <c r="G7119" t="s">
        <v>2066</v>
      </c>
      <c r="H7119" t="s">
        <v>2066</v>
      </c>
      <c r="I7119" t="s">
        <v>2708</v>
      </c>
      <c r="J7119">
        <v>0</v>
      </c>
      <c r="K7119">
        <v>24700</v>
      </c>
    </row>
    <row r="7120" spans="7:11" x14ac:dyDescent="0.25">
      <c r="G7120" t="s">
        <v>953</v>
      </c>
      <c r="H7120" t="s">
        <v>2112</v>
      </c>
      <c r="I7120" t="s">
        <v>2714</v>
      </c>
      <c r="J7120">
        <v>0</v>
      </c>
      <c r="K7120">
        <v>-8355</v>
      </c>
    </row>
    <row r="7121" spans="7:11" x14ac:dyDescent="0.25">
      <c r="G7121" t="s">
        <v>953</v>
      </c>
      <c r="H7121" t="s">
        <v>2064</v>
      </c>
      <c r="I7121" t="s">
        <v>2716</v>
      </c>
      <c r="J7121">
        <v>0</v>
      </c>
      <c r="K7121">
        <v>-42500</v>
      </c>
    </row>
    <row r="7122" spans="7:11" x14ac:dyDescent="0.25">
      <c r="G7122" t="s">
        <v>2298</v>
      </c>
      <c r="H7122" t="s">
        <v>2722</v>
      </c>
      <c r="I7122" t="s">
        <v>2723</v>
      </c>
      <c r="J7122">
        <v>0</v>
      </c>
      <c r="K7122">
        <v>-141283</v>
      </c>
    </row>
    <row r="7123" spans="7:11" x14ac:dyDescent="0.25">
      <c r="G7123" t="s">
        <v>2169</v>
      </c>
      <c r="H7123" t="s">
        <v>2720</v>
      </c>
      <c r="I7123" t="s">
        <v>2724</v>
      </c>
      <c r="J7123">
        <v>0</v>
      </c>
      <c r="K7123">
        <v>-3066311</v>
      </c>
    </row>
    <row r="7124" spans="7:11" x14ac:dyDescent="0.25">
      <c r="G7124" t="s">
        <v>2066</v>
      </c>
      <c r="H7124" t="s">
        <v>2726</v>
      </c>
      <c r="I7124" t="s">
        <v>2728</v>
      </c>
      <c r="J7124">
        <v>0</v>
      </c>
      <c r="K7124">
        <v>11869514</v>
      </c>
    </row>
    <row r="7125" spans="7:11" x14ac:dyDescent="0.25">
      <c r="G7125" t="s">
        <v>2066</v>
      </c>
      <c r="H7125" t="s">
        <v>2726</v>
      </c>
      <c r="I7125" t="s">
        <v>2729</v>
      </c>
      <c r="J7125">
        <v>0</v>
      </c>
      <c r="K7125">
        <v>2855891.73</v>
      </c>
    </row>
    <row r="7126" spans="7:11" x14ac:dyDescent="0.25">
      <c r="G7126" t="s">
        <v>2066</v>
      </c>
      <c r="H7126" t="s">
        <v>2726</v>
      </c>
      <c r="I7126" t="s">
        <v>2731</v>
      </c>
      <c r="J7126">
        <v>0</v>
      </c>
      <c r="K7126">
        <v>2063179</v>
      </c>
    </row>
    <row r="7127" spans="7:11" x14ac:dyDescent="0.25">
      <c r="G7127" t="s">
        <v>2066</v>
      </c>
      <c r="H7127" t="s">
        <v>2726</v>
      </c>
      <c r="I7127" t="s">
        <v>2732</v>
      </c>
      <c r="J7127">
        <v>0</v>
      </c>
      <c r="K7127">
        <v>7856129</v>
      </c>
    </row>
    <row r="7128" spans="7:11" x14ac:dyDescent="0.25">
      <c r="G7128" t="s">
        <v>2066</v>
      </c>
      <c r="H7128" t="s">
        <v>2726</v>
      </c>
      <c r="I7128" t="s">
        <v>2733</v>
      </c>
      <c r="J7128">
        <v>0</v>
      </c>
      <c r="K7128">
        <v>205000</v>
      </c>
    </row>
    <row r="7129" spans="7:11" x14ac:dyDescent="0.25">
      <c r="G7129" t="s">
        <v>2066</v>
      </c>
      <c r="H7129" t="s">
        <v>2726</v>
      </c>
      <c r="I7129" t="s">
        <v>2734</v>
      </c>
      <c r="J7129">
        <v>0</v>
      </c>
      <c r="K7129">
        <v>29108</v>
      </c>
    </row>
    <row r="7130" spans="7:11" x14ac:dyDescent="0.25">
      <c r="G7130" t="s">
        <v>2066</v>
      </c>
      <c r="H7130" t="s">
        <v>2726</v>
      </c>
      <c r="I7130" t="s">
        <v>2736</v>
      </c>
      <c r="J7130">
        <v>0</v>
      </c>
      <c r="K7130">
        <v>858476.85</v>
      </c>
    </row>
    <row r="7131" spans="7:11" x14ac:dyDescent="0.25">
      <c r="G7131" t="s">
        <v>2066</v>
      </c>
      <c r="H7131" t="s">
        <v>2726</v>
      </c>
      <c r="I7131" t="s">
        <v>2737</v>
      </c>
      <c r="J7131">
        <v>0</v>
      </c>
      <c r="K7131">
        <v>1115247</v>
      </c>
    </row>
    <row r="7132" spans="7:11" x14ac:dyDescent="0.25">
      <c r="G7132" t="s">
        <v>2066</v>
      </c>
      <c r="H7132" t="s">
        <v>2726</v>
      </c>
      <c r="I7132" t="s">
        <v>2738</v>
      </c>
      <c r="J7132">
        <v>0</v>
      </c>
      <c r="K7132">
        <v>392275</v>
      </c>
    </row>
    <row r="7133" spans="7:11" x14ac:dyDescent="0.25">
      <c r="G7133" t="s">
        <v>2066</v>
      </c>
      <c r="H7133" t="s">
        <v>2726</v>
      </c>
      <c r="I7133" t="s">
        <v>2739</v>
      </c>
      <c r="J7133">
        <v>0</v>
      </c>
      <c r="K7133">
        <v>7452159</v>
      </c>
    </row>
    <row r="7134" spans="7:11" x14ac:dyDescent="0.25">
      <c r="G7134" t="s">
        <v>2066</v>
      </c>
      <c r="H7134" t="s">
        <v>2726</v>
      </c>
      <c r="I7134" t="s">
        <v>2740</v>
      </c>
      <c r="J7134">
        <v>0</v>
      </c>
      <c r="K7134">
        <v>112128865</v>
      </c>
    </row>
    <row r="7135" spans="7:11" x14ac:dyDescent="0.25">
      <c r="G7135" t="s">
        <v>2066</v>
      </c>
      <c r="H7135" t="s">
        <v>2726</v>
      </c>
      <c r="I7135" t="s">
        <v>2741</v>
      </c>
      <c r="J7135">
        <v>0</v>
      </c>
      <c r="K7135">
        <v>183745</v>
      </c>
    </row>
    <row r="7136" spans="7:11" x14ac:dyDescent="0.25">
      <c r="G7136" t="s">
        <v>2298</v>
      </c>
      <c r="H7136" t="s">
        <v>2302</v>
      </c>
      <c r="I7136" t="s">
        <v>2743</v>
      </c>
      <c r="J7136">
        <v>0</v>
      </c>
      <c r="K7136">
        <v>-174759019.78</v>
      </c>
    </row>
    <row r="7137" spans="7:11" x14ac:dyDescent="0.25">
      <c r="G7137" t="s">
        <v>2298</v>
      </c>
      <c r="H7137" t="s">
        <v>2302</v>
      </c>
      <c r="I7137" t="s">
        <v>2744</v>
      </c>
      <c r="J7137">
        <v>0</v>
      </c>
      <c r="K7137">
        <v>-1409529.2</v>
      </c>
    </row>
    <row r="7138" spans="7:11" x14ac:dyDescent="0.25">
      <c r="G7138" t="s">
        <v>1012</v>
      </c>
      <c r="H7138" t="s">
        <v>1012</v>
      </c>
      <c r="I7138" t="s">
        <v>2745</v>
      </c>
      <c r="J7138">
        <v>-699227.4</v>
      </c>
      <c r="K7138">
        <v>-5984</v>
      </c>
    </row>
    <row r="7139" spans="7:11" x14ac:dyDescent="0.25">
      <c r="G7139" t="s">
        <v>2066</v>
      </c>
      <c r="H7139" t="s">
        <v>2066</v>
      </c>
      <c r="I7139" t="s">
        <v>2749</v>
      </c>
      <c r="J7139">
        <v>0</v>
      </c>
      <c r="K7139">
        <v>-0.01</v>
      </c>
    </row>
    <row r="7140" spans="7:11" x14ac:dyDescent="0.25">
      <c r="G7140" t="s">
        <v>1012</v>
      </c>
      <c r="H7140" t="s">
        <v>1012</v>
      </c>
      <c r="I7140" t="s">
        <v>2750</v>
      </c>
      <c r="J7140">
        <v>13924</v>
      </c>
      <c r="K7140">
        <v>0</v>
      </c>
    </row>
    <row r="7141" spans="7:11" x14ac:dyDescent="0.25">
      <c r="G7141" t="s">
        <v>2066</v>
      </c>
      <c r="H7141" t="s">
        <v>2066</v>
      </c>
      <c r="I7141" t="s">
        <v>758</v>
      </c>
      <c r="J7141">
        <v>0</v>
      </c>
      <c r="K7141">
        <v>1169513</v>
      </c>
    </row>
    <row r="7142" spans="7:11" x14ac:dyDescent="0.25">
      <c r="G7142" t="s">
        <v>2066</v>
      </c>
      <c r="H7142" t="s">
        <v>2066</v>
      </c>
      <c r="I7142" t="s">
        <v>2753</v>
      </c>
      <c r="J7142">
        <v>0</v>
      </c>
      <c r="K7142">
        <v>5290</v>
      </c>
    </row>
    <row r="7143" spans="7:11" x14ac:dyDescent="0.25">
      <c r="G7143" t="s">
        <v>2066</v>
      </c>
      <c r="H7143" t="s">
        <v>2066</v>
      </c>
      <c r="I7143" t="s">
        <v>2754</v>
      </c>
      <c r="J7143">
        <v>0</v>
      </c>
      <c r="K7143">
        <v>24002</v>
      </c>
    </row>
    <row r="7144" spans="7:11" x14ac:dyDescent="0.25">
      <c r="G7144" t="s">
        <v>2066</v>
      </c>
      <c r="H7144" t="s">
        <v>2066</v>
      </c>
      <c r="I7144" t="s">
        <v>2757</v>
      </c>
      <c r="J7144">
        <v>0</v>
      </c>
      <c r="K7144">
        <v>32.11</v>
      </c>
    </row>
    <row r="7145" spans="7:11" x14ac:dyDescent="0.25">
      <c r="G7145" t="s">
        <v>2066</v>
      </c>
      <c r="H7145" t="s">
        <v>2069</v>
      </c>
      <c r="I7145" t="s">
        <v>2769</v>
      </c>
      <c r="J7145">
        <v>0</v>
      </c>
      <c r="K7145">
        <v>1279796</v>
      </c>
    </row>
    <row r="7146" spans="7:11" x14ac:dyDescent="0.25">
      <c r="G7146" t="s">
        <v>953</v>
      </c>
      <c r="H7146" t="s">
        <v>2112</v>
      </c>
      <c r="I7146" t="s">
        <v>2778</v>
      </c>
      <c r="J7146">
        <v>0</v>
      </c>
      <c r="K7146">
        <v>-14896</v>
      </c>
    </row>
    <row r="7147" spans="7:11" x14ac:dyDescent="0.25">
      <c r="G7147" t="s">
        <v>2080</v>
      </c>
      <c r="H7147" t="s">
        <v>2781</v>
      </c>
      <c r="I7147" t="s">
        <v>2782</v>
      </c>
      <c r="J7147">
        <v>0</v>
      </c>
      <c r="K7147">
        <v>175262.2</v>
      </c>
    </row>
    <row r="7148" spans="7:11" x14ac:dyDescent="0.25">
      <c r="G7148" t="s">
        <v>2298</v>
      </c>
      <c r="H7148" t="s">
        <v>2300</v>
      </c>
      <c r="I7148" t="s">
        <v>2785</v>
      </c>
      <c r="J7148">
        <v>0</v>
      </c>
      <c r="K7148">
        <v>-1357569.9</v>
      </c>
    </row>
    <row r="7149" spans="7:11" x14ac:dyDescent="0.25">
      <c r="G7149" t="s">
        <v>2298</v>
      </c>
      <c r="H7149" t="s">
        <v>2302</v>
      </c>
      <c r="I7149" t="s">
        <v>2786</v>
      </c>
      <c r="J7149">
        <v>0</v>
      </c>
      <c r="K7149">
        <v>-606572.4</v>
      </c>
    </row>
    <row r="7150" spans="7:11" x14ac:dyDescent="0.25">
      <c r="G7150" t="s">
        <v>2045</v>
      </c>
      <c r="H7150" t="s">
        <v>2187</v>
      </c>
      <c r="I7150" t="s">
        <v>2798</v>
      </c>
      <c r="J7150">
        <v>0</v>
      </c>
      <c r="K7150">
        <v>565301.93000000005</v>
      </c>
    </row>
    <row r="7151" spans="7:11" x14ac:dyDescent="0.25">
      <c r="G7151" t="s">
        <v>1012</v>
      </c>
      <c r="H7151" t="s">
        <v>1012</v>
      </c>
      <c r="I7151" t="s">
        <v>2807</v>
      </c>
      <c r="J7151">
        <v>0</v>
      </c>
      <c r="K7151">
        <v>-23600</v>
      </c>
    </row>
    <row r="7152" spans="7:11" x14ac:dyDescent="0.25">
      <c r="G7152" t="s">
        <v>2080</v>
      </c>
      <c r="H7152" t="s">
        <v>2080</v>
      </c>
      <c r="I7152" t="s">
        <v>2809</v>
      </c>
      <c r="J7152">
        <v>0</v>
      </c>
      <c r="K7152">
        <v>2771113.18</v>
      </c>
    </row>
    <row r="7153" spans="7:11" x14ac:dyDescent="0.25">
      <c r="G7153" t="s">
        <v>953</v>
      </c>
      <c r="H7153" t="s">
        <v>2112</v>
      </c>
      <c r="I7153" t="s">
        <v>2832</v>
      </c>
      <c r="J7153">
        <v>0</v>
      </c>
      <c r="K7153">
        <v>-9804</v>
      </c>
    </row>
    <row r="7154" spans="7:11" x14ac:dyDescent="0.25">
      <c r="G7154" t="s">
        <v>2080</v>
      </c>
      <c r="H7154" t="s">
        <v>2177</v>
      </c>
      <c r="I7154" t="s">
        <v>2836</v>
      </c>
      <c r="J7154">
        <v>6853.17</v>
      </c>
      <c r="K7154">
        <v>0</v>
      </c>
    </row>
    <row r="7155" spans="7:11" x14ac:dyDescent="0.25">
      <c r="G7155" t="s">
        <v>2298</v>
      </c>
      <c r="H7155" t="s">
        <v>2300</v>
      </c>
      <c r="I7155" t="s">
        <v>2838</v>
      </c>
      <c r="J7155">
        <v>0</v>
      </c>
      <c r="K7155">
        <v>-59028756.579999998</v>
      </c>
    </row>
    <row r="7156" spans="7:11" x14ac:dyDescent="0.25">
      <c r="G7156" t="s">
        <v>2298</v>
      </c>
      <c r="H7156" t="s">
        <v>2302</v>
      </c>
      <c r="I7156" t="s">
        <v>2839</v>
      </c>
      <c r="J7156">
        <v>0</v>
      </c>
      <c r="K7156">
        <v>-13540388.48</v>
      </c>
    </row>
    <row r="7157" spans="7:11" x14ac:dyDescent="0.25">
      <c r="G7157" t="s">
        <v>2298</v>
      </c>
      <c r="H7157" t="s">
        <v>2300</v>
      </c>
      <c r="I7157" t="s">
        <v>2841</v>
      </c>
      <c r="J7157">
        <v>0</v>
      </c>
      <c r="K7157">
        <v>-60624415.689999998</v>
      </c>
    </row>
    <row r="7158" spans="7:11" x14ac:dyDescent="0.25">
      <c r="G7158" t="s">
        <v>2298</v>
      </c>
      <c r="H7158" t="s">
        <v>2302</v>
      </c>
      <c r="I7158" t="s">
        <v>2842</v>
      </c>
      <c r="J7158">
        <v>0</v>
      </c>
      <c r="K7158">
        <v>-118780680.81999999</v>
      </c>
    </row>
    <row r="7159" spans="7:11" x14ac:dyDescent="0.25">
      <c r="G7159" t="s">
        <v>2128</v>
      </c>
      <c r="H7159" t="s">
        <v>2129</v>
      </c>
      <c r="I7159" t="s">
        <v>2848</v>
      </c>
      <c r="J7159">
        <v>1044.5</v>
      </c>
      <c r="K7159">
        <v>1044.5</v>
      </c>
    </row>
    <row r="7160" spans="7:11" x14ac:dyDescent="0.25">
      <c r="G7160" t="s">
        <v>2128</v>
      </c>
      <c r="H7160" t="s">
        <v>2129</v>
      </c>
      <c r="I7160" t="s">
        <v>2849</v>
      </c>
      <c r="J7160">
        <v>1357.5</v>
      </c>
      <c r="K7160">
        <v>1357.5</v>
      </c>
    </row>
    <row r="7161" spans="7:11" x14ac:dyDescent="0.25">
      <c r="G7161" t="s">
        <v>2128</v>
      </c>
      <c r="H7161" t="s">
        <v>2129</v>
      </c>
      <c r="I7161" t="s">
        <v>2850</v>
      </c>
      <c r="J7161">
        <v>4182.37</v>
      </c>
      <c r="K7161">
        <v>4182.37</v>
      </c>
    </row>
    <row r="7162" spans="7:11" x14ac:dyDescent="0.25">
      <c r="G7162" t="s">
        <v>1012</v>
      </c>
      <c r="H7162" t="s">
        <v>1012</v>
      </c>
      <c r="I7162" t="s">
        <v>2851</v>
      </c>
      <c r="J7162">
        <v>-1350250</v>
      </c>
      <c r="K7162">
        <v>0</v>
      </c>
    </row>
    <row r="7163" spans="7:11" x14ac:dyDescent="0.25">
      <c r="G7163" t="s">
        <v>1012</v>
      </c>
      <c r="H7163" t="s">
        <v>1012</v>
      </c>
      <c r="I7163" t="s">
        <v>2852</v>
      </c>
      <c r="J7163">
        <v>-5867476.9800000004</v>
      </c>
      <c r="K7163">
        <v>0</v>
      </c>
    </row>
    <row r="7164" spans="7:11" x14ac:dyDescent="0.25">
      <c r="G7164" t="s">
        <v>1012</v>
      </c>
      <c r="H7164" t="s">
        <v>1012</v>
      </c>
      <c r="I7164" t="s">
        <v>2853</v>
      </c>
      <c r="J7164">
        <v>0</v>
      </c>
      <c r="K7164">
        <v>-3333555.44</v>
      </c>
    </row>
    <row r="7165" spans="7:11" x14ac:dyDescent="0.25">
      <c r="G7165" t="s">
        <v>2128</v>
      </c>
      <c r="H7165" t="s">
        <v>2131</v>
      </c>
      <c r="I7165" t="s">
        <v>2856</v>
      </c>
      <c r="J7165">
        <v>710.9</v>
      </c>
      <c r="K7165">
        <v>390.9</v>
      </c>
    </row>
    <row r="7166" spans="7:11" x14ac:dyDescent="0.25">
      <c r="G7166" t="s">
        <v>2128</v>
      </c>
      <c r="H7166" t="s">
        <v>2214</v>
      </c>
      <c r="I7166" t="s">
        <v>2859</v>
      </c>
      <c r="J7166">
        <v>5963</v>
      </c>
      <c r="K7166">
        <v>0</v>
      </c>
    </row>
    <row r="7167" spans="7:11" x14ac:dyDescent="0.25">
      <c r="G7167" t="s">
        <v>1012</v>
      </c>
      <c r="H7167" t="s">
        <v>1012</v>
      </c>
      <c r="I7167" t="s">
        <v>2864</v>
      </c>
      <c r="J7167">
        <v>309</v>
      </c>
      <c r="K7167">
        <v>-338.46</v>
      </c>
    </row>
    <row r="7168" spans="7:11" x14ac:dyDescent="0.25">
      <c r="G7168" t="s">
        <v>2066</v>
      </c>
      <c r="H7168" t="s">
        <v>2066</v>
      </c>
      <c r="I7168" t="s">
        <v>2868</v>
      </c>
      <c r="J7168">
        <v>0</v>
      </c>
      <c r="K7168">
        <v>146295.60999999999</v>
      </c>
    </row>
    <row r="7169" spans="7:11" x14ac:dyDescent="0.25">
      <c r="G7169" t="s">
        <v>2080</v>
      </c>
      <c r="H7169" t="s">
        <v>2080</v>
      </c>
      <c r="I7169" t="s">
        <v>2870</v>
      </c>
      <c r="J7169">
        <v>973507.08</v>
      </c>
      <c r="K7169">
        <v>0</v>
      </c>
    </row>
    <row r="7170" spans="7:11" x14ac:dyDescent="0.25">
      <c r="G7170" t="s">
        <v>2066</v>
      </c>
      <c r="H7170" t="s">
        <v>2066</v>
      </c>
      <c r="I7170" t="s">
        <v>2874</v>
      </c>
      <c r="J7170">
        <v>0</v>
      </c>
      <c r="K7170">
        <v>6599</v>
      </c>
    </row>
    <row r="7171" spans="7:11" x14ac:dyDescent="0.25">
      <c r="G7171" t="s">
        <v>1012</v>
      </c>
      <c r="H7171" t="s">
        <v>1012</v>
      </c>
      <c r="I7171" t="s">
        <v>2878</v>
      </c>
      <c r="J7171">
        <v>-14396</v>
      </c>
      <c r="K7171">
        <v>0</v>
      </c>
    </row>
    <row r="7172" spans="7:11" x14ac:dyDescent="0.25">
      <c r="G7172" t="s">
        <v>2045</v>
      </c>
      <c r="H7172" t="s">
        <v>2885</v>
      </c>
      <c r="I7172" t="s">
        <v>2887</v>
      </c>
      <c r="J7172">
        <v>130.33000000000001</v>
      </c>
      <c r="K7172">
        <v>130.33000000000001</v>
      </c>
    </row>
    <row r="7173" spans="7:11" x14ac:dyDescent="0.25">
      <c r="G7173" t="s">
        <v>2045</v>
      </c>
      <c r="H7173" t="s">
        <v>2889</v>
      </c>
      <c r="I7173" t="s">
        <v>2890</v>
      </c>
      <c r="J7173">
        <v>-16893.57</v>
      </c>
      <c r="K7173">
        <v>0</v>
      </c>
    </row>
    <row r="7174" spans="7:11" x14ac:dyDescent="0.25">
      <c r="G7174" t="s">
        <v>1013</v>
      </c>
      <c r="H7174" t="s">
        <v>2892</v>
      </c>
      <c r="I7174" t="s">
        <v>2893</v>
      </c>
      <c r="J7174">
        <v>9822.2099999999991</v>
      </c>
      <c r="K7174">
        <v>0</v>
      </c>
    </row>
    <row r="7175" spans="7:11" x14ac:dyDescent="0.25">
      <c r="G7175" t="s">
        <v>1013</v>
      </c>
      <c r="H7175" t="s">
        <v>2896</v>
      </c>
      <c r="I7175" t="s">
        <v>2897</v>
      </c>
      <c r="J7175">
        <v>116677.17</v>
      </c>
      <c r="K7175">
        <v>0</v>
      </c>
    </row>
    <row r="7176" spans="7:11" x14ac:dyDescent="0.25">
      <c r="G7176" t="s">
        <v>2045</v>
      </c>
      <c r="H7176" t="s">
        <v>2885</v>
      </c>
      <c r="I7176" t="s">
        <v>2898</v>
      </c>
      <c r="J7176">
        <v>-5152</v>
      </c>
      <c r="K7176">
        <v>-5152</v>
      </c>
    </row>
    <row r="7177" spans="7:11" x14ac:dyDescent="0.25">
      <c r="G7177" t="s">
        <v>2045</v>
      </c>
      <c r="H7177" t="s">
        <v>2889</v>
      </c>
      <c r="I7177" t="s">
        <v>2899</v>
      </c>
      <c r="J7177">
        <v>0</v>
      </c>
      <c r="K7177">
        <v>90</v>
      </c>
    </row>
    <row r="7178" spans="7:11" x14ac:dyDescent="0.25">
      <c r="G7178" t="s">
        <v>1013</v>
      </c>
      <c r="H7178" t="s">
        <v>2892</v>
      </c>
      <c r="I7178" t="s">
        <v>2904</v>
      </c>
      <c r="J7178">
        <v>5587.9</v>
      </c>
      <c r="K7178">
        <v>0</v>
      </c>
    </row>
    <row r="7179" spans="7:11" x14ac:dyDescent="0.25">
      <c r="G7179" t="s">
        <v>1013</v>
      </c>
      <c r="H7179" t="s">
        <v>2894</v>
      </c>
      <c r="I7179" t="s">
        <v>2905</v>
      </c>
      <c r="J7179">
        <v>830.1</v>
      </c>
      <c r="K7179">
        <v>7548.13</v>
      </c>
    </row>
    <row r="7180" spans="7:11" x14ac:dyDescent="0.25">
      <c r="G7180" t="s">
        <v>2066</v>
      </c>
      <c r="H7180" t="s">
        <v>2066</v>
      </c>
      <c r="I7180" t="s">
        <v>2906</v>
      </c>
      <c r="J7180">
        <v>0</v>
      </c>
      <c r="K7180">
        <v>44040</v>
      </c>
    </row>
    <row r="7181" spans="7:11" x14ac:dyDescent="0.25">
      <c r="G7181" t="s">
        <v>1013</v>
      </c>
      <c r="H7181" t="s">
        <v>2896</v>
      </c>
      <c r="I7181" t="s">
        <v>2908</v>
      </c>
      <c r="J7181">
        <v>620416.01</v>
      </c>
      <c r="K7181">
        <v>0</v>
      </c>
    </row>
    <row r="7182" spans="7:11" x14ac:dyDescent="0.25">
      <c r="G7182" t="s">
        <v>1013</v>
      </c>
      <c r="H7182" t="s">
        <v>2892</v>
      </c>
      <c r="I7182" t="s">
        <v>2909</v>
      </c>
      <c r="J7182">
        <v>-3395130.67</v>
      </c>
      <c r="K7182">
        <v>0</v>
      </c>
    </row>
    <row r="7183" spans="7:11" x14ac:dyDescent="0.25">
      <c r="G7183" t="s">
        <v>1013</v>
      </c>
      <c r="H7183" t="s">
        <v>2894</v>
      </c>
      <c r="I7183" t="s">
        <v>2910</v>
      </c>
      <c r="J7183">
        <v>11062641.960000001</v>
      </c>
      <c r="K7183">
        <v>6614033.96</v>
      </c>
    </row>
    <row r="7184" spans="7:11" x14ac:dyDescent="0.25">
      <c r="G7184" t="s">
        <v>1013</v>
      </c>
      <c r="H7184" t="s">
        <v>2911</v>
      </c>
      <c r="I7184" t="s">
        <v>2912</v>
      </c>
      <c r="J7184">
        <v>0</v>
      </c>
      <c r="K7184">
        <v>1723824.09</v>
      </c>
    </row>
    <row r="7185" spans="7:11" x14ac:dyDescent="0.25">
      <c r="G7185" t="s">
        <v>1013</v>
      </c>
      <c r="H7185" t="s">
        <v>2896</v>
      </c>
      <c r="I7185" t="s">
        <v>2913</v>
      </c>
      <c r="J7185">
        <v>76601</v>
      </c>
      <c r="K7185">
        <v>0</v>
      </c>
    </row>
    <row r="7186" spans="7:11" x14ac:dyDescent="0.25">
      <c r="G7186" t="s">
        <v>1013</v>
      </c>
      <c r="H7186" t="s">
        <v>2892</v>
      </c>
      <c r="I7186" t="s">
        <v>2914</v>
      </c>
      <c r="J7186">
        <v>68858</v>
      </c>
      <c r="K7186">
        <v>0</v>
      </c>
    </row>
    <row r="7187" spans="7:11" x14ac:dyDescent="0.25">
      <c r="G7187" t="s">
        <v>1013</v>
      </c>
      <c r="H7187" t="s">
        <v>2894</v>
      </c>
      <c r="I7187" t="s">
        <v>2915</v>
      </c>
      <c r="J7187">
        <v>179937</v>
      </c>
      <c r="K7187">
        <v>179937</v>
      </c>
    </row>
    <row r="7188" spans="7:11" x14ac:dyDescent="0.25">
      <c r="G7188" t="s">
        <v>2045</v>
      </c>
      <c r="H7188" t="s">
        <v>2920</v>
      </c>
      <c r="I7188" t="s">
        <v>2921</v>
      </c>
      <c r="J7188">
        <v>0</v>
      </c>
      <c r="K7188">
        <v>-3549</v>
      </c>
    </row>
    <row r="7189" spans="7:11" x14ac:dyDescent="0.25">
      <c r="G7189" t="s">
        <v>1013</v>
      </c>
      <c r="H7189" t="s">
        <v>2911</v>
      </c>
      <c r="I7189" t="s">
        <v>2922</v>
      </c>
      <c r="J7189">
        <v>0</v>
      </c>
      <c r="K7189">
        <v>13137.79</v>
      </c>
    </row>
    <row r="7190" spans="7:11" x14ac:dyDescent="0.25">
      <c r="G7190" t="s">
        <v>2045</v>
      </c>
      <c r="H7190" t="s">
        <v>2918</v>
      </c>
      <c r="I7190" t="s">
        <v>2937</v>
      </c>
      <c r="J7190">
        <v>-1658576</v>
      </c>
      <c r="K7190">
        <v>0</v>
      </c>
    </row>
    <row r="7191" spans="7:11" x14ac:dyDescent="0.25">
      <c r="G7191" t="s">
        <v>2045</v>
      </c>
      <c r="H7191" t="s">
        <v>2920</v>
      </c>
      <c r="I7191" t="s">
        <v>2938</v>
      </c>
      <c r="J7191">
        <v>0</v>
      </c>
      <c r="K7191">
        <v>-1163483</v>
      </c>
    </row>
    <row r="7192" spans="7:11" x14ac:dyDescent="0.25">
      <c r="G7192" t="s">
        <v>2045</v>
      </c>
      <c r="H7192" t="s">
        <v>2939</v>
      </c>
      <c r="I7192" t="s">
        <v>2940</v>
      </c>
      <c r="J7192">
        <v>-423.62</v>
      </c>
      <c r="K7192">
        <v>-423.62</v>
      </c>
    </row>
    <row r="7193" spans="7:11" x14ac:dyDescent="0.25">
      <c r="G7193" t="s">
        <v>2045</v>
      </c>
      <c r="H7193" t="s">
        <v>2934</v>
      </c>
      <c r="I7193" t="s">
        <v>2941</v>
      </c>
      <c r="J7193">
        <v>7.0000000000000007E-2</v>
      </c>
      <c r="K7193">
        <v>7.0000000000000007E-2</v>
      </c>
    </row>
    <row r="7194" spans="7:11" x14ac:dyDescent="0.25">
      <c r="G7194" t="s">
        <v>2045</v>
      </c>
      <c r="H7194" t="s">
        <v>2920</v>
      </c>
      <c r="I7194" t="s">
        <v>2944</v>
      </c>
      <c r="J7194">
        <v>0</v>
      </c>
      <c r="K7194">
        <v>-2642</v>
      </c>
    </row>
    <row r="7195" spans="7:11" x14ac:dyDescent="0.25">
      <c r="G7195" t="s">
        <v>2045</v>
      </c>
      <c r="H7195" t="s">
        <v>2939</v>
      </c>
      <c r="I7195" t="s">
        <v>2945</v>
      </c>
      <c r="J7195">
        <v>1909</v>
      </c>
      <c r="K7195">
        <v>1909</v>
      </c>
    </row>
    <row r="7196" spans="7:11" x14ac:dyDescent="0.25">
      <c r="G7196" t="s">
        <v>2045</v>
      </c>
      <c r="H7196" t="s">
        <v>2939</v>
      </c>
      <c r="I7196" t="s">
        <v>2946</v>
      </c>
      <c r="J7196">
        <v>4423.93</v>
      </c>
      <c r="K7196">
        <v>4423.93</v>
      </c>
    </row>
    <row r="7197" spans="7:11" x14ac:dyDescent="0.25">
      <c r="G7197" t="s">
        <v>2045</v>
      </c>
      <c r="H7197" t="s">
        <v>2934</v>
      </c>
      <c r="I7197" t="s">
        <v>2947</v>
      </c>
      <c r="J7197">
        <v>158.5</v>
      </c>
      <c r="K7197">
        <v>158.5</v>
      </c>
    </row>
    <row r="7198" spans="7:11" x14ac:dyDescent="0.25">
      <c r="G7198" t="s">
        <v>2045</v>
      </c>
      <c r="H7198" t="s">
        <v>2916</v>
      </c>
      <c r="I7198" t="s">
        <v>2948</v>
      </c>
      <c r="J7198">
        <v>-11569</v>
      </c>
      <c r="K7198">
        <v>-11569</v>
      </c>
    </row>
    <row r="7199" spans="7:11" x14ac:dyDescent="0.25">
      <c r="G7199" t="s">
        <v>2045</v>
      </c>
      <c r="H7199" t="s">
        <v>2918</v>
      </c>
      <c r="I7199" t="s">
        <v>2949</v>
      </c>
      <c r="J7199">
        <v>30449</v>
      </c>
      <c r="K7199">
        <v>212</v>
      </c>
    </row>
    <row r="7200" spans="7:11" x14ac:dyDescent="0.25">
      <c r="G7200" t="s">
        <v>2045</v>
      </c>
      <c r="H7200" t="s">
        <v>2920</v>
      </c>
      <c r="I7200" t="s">
        <v>2950</v>
      </c>
      <c r="J7200">
        <v>0</v>
      </c>
      <c r="K7200">
        <v>-276945.56</v>
      </c>
    </row>
    <row r="7201" spans="7:11" x14ac:dyDescent="0.25">
      <c r="G7201" t="s">
        <v>2045</v>
      </c>
      <c r="H7201" t="s">
        <v>2939</v>
      </c>
      <c r="I7201" t="s">
        <v>2951</v>
      </c>
      <c r="J7201">
        <v>0.5</v>
      </c>
      <c r="K7201">
        <v>0.5</v>
      </c>
    </row>
    <row r="7202" spans="7:11" x14ac:dyDescent="0.25">
      <c r="G7202" t="s">
        <v>2045</v>
      </c>
      <c r="H7202" t="s">
        <v>2920</v>
      </c>
      <c r="I7202" t="s">
        <v>2955</v>
      </c>
      <c r="J7202">
        <v>0</v>
      </c>
      <c r="K7202">
        <v>-76866</v>
      </c>
    </row>
    <row r="7203" spans="7:11" x14ac:dyDescent="0.25">
      <c r="G7203" t="s">
        <v>2045</v>
      </c>
      <c r="H7203" t="s">
        <v>2916</v>
      </c>
      <c r="I7203" t="s">
        <v>2958</v>
      </c>
      <c r="J7203">
        <v>3.22</v>
      </c>
      <c r="K7203">
        <v>3.22</v>
      </c>
    </row>
    <row r="7204" spans="7:11" x14ac:dyDescent="0.25">
      <c r="G7204" t="s">
        <v>2045</v>
      </c>
      <c r="H7204" t="s">
        <v>2918</v>
      </c>
      <c r="I7204" t="s">
        <v>2959</v>
      </c>
      <c r="J7204">
        <v>171634.59</v>
      </c>
      <c r="K7204">
        <v>171634.59</v>
      </c>
    </row>
    <row r="7205" spans="7:11" x14ac:dyDescent="0.25">
      <c r="G7205" t="s">
        <v>2045</v>
      </c>
      <c r="H7205" t="s">
        <v>2920</v>
      </c>
      <c r="I7205" t="s">
        <v>2960</v>
      </c>
      <c r="J7205">
        <v>0</v>
      </c>
      <c r="K7205">
        <v>691936.21</v>
      </c>
    </row>
    <row r="7206" spans="7:11" x14ac:dyDescent="0.25">
      <c r="G7206" t="s">
        <v>1012</v>
      </c>
      <c r="H7206" t="s">
        <v>1012</v>
      </c>
      <c r="I7206" t="s">
        <v>2961</v>
      </c>
      <c r="J7206">
        <v>-17095371.989999998</v>
      </c>
      <c r="K7206">
        <v>-493835.79</v>
      </c>
    </row>
    <row r="7207" spans="7:11" x14ac:dyDescent="0.25">
      <c r="G7207" t="s">
        <v>2080</v>
      </c>
      <c r="H7207" t="s">
        <v>2080</v>
      </c>
      <c r="I7207" t="s">
        <v>2962</v>
      </c>
      <c r="J7207">
        <v>0</v>
      </c>
      <c r="K7207">
        <v>3564166.98</v>
      </c>
    </row>
    <row r="7208" spans="7:11" x14ac:dyDescent="0.25">
      <c r="G7208" t="s">
        <v>1012</v>
      </c>
      <c r="H7208" t="s">
        <v>1012</v>
      </c>
      <c r="I7208" t="s">
        <v>2964</v>
      </c>
      <c r="J7208">
        <v>263759.94</v>
      </c>
      <c r="K7208">
        <v>0</v>
      </c>
    </row>
    <row r="7209" spans="7:11" x14ac:dyDescent="0.25">
      <c r="G7209" t="s">
        <v>2066</v>
      </c>
      <c r="H7209" t="s">
        <v>2066</v>
      </c>
      <c r="I7209" t="s">
        <v>2967</v>
      </c>
      <c r="J7209">
        <v>0</v>
      </c>
      <c r="K7209">
        <v>24358.14</v>
      </c>
    </row>
    <row r="7210" spans="7:11" x14ac:dyDescent="0.25">
      <c r="G7210" t="s">
        <v>2066</v>
      </c>
      <c r="H7210" t="s">
        <v>2066</v>
      </c>
      <c r="I7210" t="s">
        <v>2968</v>
      </c>
      <c r="J7210">
        <v>0</v>
      </c>
      <c r="K7210">
        <v>39065.230000000003</v>
      </c>
    </row>
    <row r="7211" spans="7:11" x14ac:dyDescent="0.25">
      <c r="G7211" t="s">
        <v>2080</v>
      </c>
      <c r="H7211" t="s">
        <v>2080</v>
      </c>
      <c r="I7211" t="s">
        <v>2970</v>
      </c>
      <c r="J7211">
        <v>70375.199999999997</v>
      </c>
      <c r="K7211">
        <v>0</v>
      </c>
    </row>
    <row r="7212" spans="7:11" x14ac:dyDescent="0.25">
      <c r="G7212" t="s">
        <v>2080</v>
      </c>
      <c r="H7212" t="s">
        <v>2080</v>
      </c>
      <c r="I7212" t="s">
        <v>2974</v>
      </c>
      <c r="J7212">
        <v>0</v>
      </c>
      <c r="K7212">
        <v>15089.84</v>
      </c>
    </row>
    <row r="7213" spans="7:11" x14ac:dyDescent="0.25">
      <c r="G7213" t="s">
        <v>2066</v>
      </c>
      <c r="H7213" t="s">
        <v>2066</v>
      </c>
      <c r="I7213" t="s">
        <v>2976</v>
      </c>
      <c r="J7213">
        <v>0</v>
      </c>
      <c r="K7213">
        <v>115694.58</v>
      </c>
    </row>
    <row r="7214" spans="7:11" x14ac:dyDescent="0.25">
      <c r="G7214" t="s">
        <v>2066</v>
      </c>
      <c r="H7214" t="s">
        <v>2066</v>
      </c>
      <c r="I7214" t="s">
        <v>2985</v>
      </c>
      <c r="J7214">
        <v>0</v>
      </c>
      <c r="K7214">
        <v>41071</v>
      </c>
    </row>
    <row r="7215" spans="7:11" x14ac:dyDescent="0.25">
      <c r="G7215" t="s">
        <v>2080</v>
      </c>
      <c r="H7215" t="s">
        <v>2080</v>
      </c>
      <c r="I7215" t="s">
        <v>3005</v>
      </c>
      <c r="J7215">
        <v>24213.599999999999</v>
      </c>
      <c r="K7215">
        <v>0</v>
      </c>
    </row>
    <row r="7216" spans="7:11" x14ac:dyDescent="0.25">
      <c r="G7216" t="s">
        <v>2261</v>
      </c>
      <c r="H7216" t="s">
        <v>2261</v>
      </c>
      <c r="I7216" t="s">
        <v>3023</v>
      </c>
      <c r="J7216">
        <v>25000</v>
      </c>
      <c r="K7216">
        <v>0</v>
      </c>
    </row>
    <row r="7217" spans="7:11" x14ac:dyDescent="0.25">
      <c r="G7217" t="s">
        <v>953</v>
      </c>
      <c r="H7217" t="s">
        <v>2112</v>
      </c>
      <c r="I7217" t="s">
        <v>3024</v>
      </c>
      <c r="J7217">
        <v>0</v>
      </c>
      <c r="K7217">
        <v>-1783</v>
      </c>
    </row>
    <row r="7218" spans="7:11" x14ac:dyDescent="0.25">
      <c r="G7218" t="s">
        <v>2128</v>
      </c>
      <c r="H7218" t="s">
        <v>2131</v>
      </c>
      <c r="I7218" t="s">
        <v>3029</v>
      </c>
      <c r="J7218">
        <v>392</v>
      </c>
      <c r="K7218">
        <v>0</v>
      </c>
    </row>
    <row r="7219" spans="7:11" x14ac:dyDescent="0.25">
      <c r="G7219" t="s">
        <v>2128</v>
      </c>
      <c r="H7219" t="s">
        <v>2214</v>
      </c>
      <c r="I7219" t="s">
        <v>3032</v>
      </c>
      <c r="J7219">
        <v>4393</v>
      </c>
      <c r="K7219">
        <v>2667</v>
      </c>
    </row>
    <row r="7220" spans="7:11" x14ac:dyDescent="0.25">
      <c r="G7220" t="s">
        <v>2080</v>
      </c>
      <c r="H7220" t="s">
        <v>2080</v>
      </c>
      <c r="I7220" t="s">
        <v>3033</v>
      </c>
      <c r="J7220">
        <v>38876.28</v>
      </c>
      <c r="K7220">
        <v>0</v>
      </c>
    </row>
  </sheetData>
  <sheetProtection formatCells="0" formatColumns="0" formatRows="0"/>
  <phoneticPr fontId="26" type="noConversion"/>
  <pageMargins left="0.7" right="0.7" top="0.75" bottom="0.75" header="0.3" footer="0.3"/>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L378"/>
  <sheetViews>
    <sheetView showGridLines="0" topLeftCell="A2" zoomScale="80" zoomScaleNormal="80" workbookViewId="0">
      <selection activeCell="E6" sqref="E6"/>
    </sheetView>
  </sheetViews>
  <sheetFormatPr defaultColWidth="9.140625" defaultRowHeight="16.5" x14ac:dyDescent="0.3"/>
  <cols>
    <col min="1" max="1" width="3.7109375" style="1" customWidth="1"/>
    <col min="2" max="2" width="62.140625" style="1" bestFit="1" customWidth="1"/>
    <col min="3" max="3" width="19.5703125" style="179" bestFit="1" customWidth="1"/>
    <col min="4" max="4" width="23.5703125" style="179" bestFit="1" customWidth="1"/>
    <col min="5" max="5" width="18.28515625" style="179" bestFit="1" customWidth="1"/>
    <col min="6" max="6" width="9.140625" style="1"/>
    <col min="7" max="7" width="27.85546875" style="1" bestFit="1" customWidth="1"/>
    <col min="8" max="8" width="17" style="1" bestFit="1" customWidth="1"/>
    <col min="9" max="9" width="17" style="1" customWidth="1"/>
    <col min="10" max="11" width="17" style="1" hidden="1" customWidth="1"/>
    <col min="12" max="14" width="0" style="1" hidden="1" customWidth="1"/>
    <col min="15" max="16384" width="9.140625" style="1"/>
  </cols>
  <sheetData>
    <row r="2" spans="2:12" x14ac:dyDescent="0.3">
      <c r="B2" s="1812" t="s">
        <v>3605</v>
      </c>
    </row>
    <row r="3" spans="2:12" ht="17.25" thickBot="1" x14ac:dyDescent="0.35">
      <c r="B3" s="1812" t="s">
        <v>3185</v>
      </c>
    </row>
    <row r="4" spans="2:12" x14ac:dyDescent="0.3">
      <c r="B4" s="1812"/>
      <c r="C4" s="179" t="s">
        <v>3628</v>
      </c>
      <c r="G4" s="2506" t="s">
        <v>3607</v>
      </c>
      <c r="H4" s="2507">
        <v>-80874157.920000002</v>
      </c>
    </row>
    <row r="5" spans="2:12" ht="17.25" thickBot="1" x14ac:dyDescent="0.35">
      <c r="B5" s="1812" t="s">
        <v>3606</v>
      </c>
      <c r="D5" s="179">
        <f ca="1">+E5-E6</f>
        <v>-12702955.9033335</v>
      </c>
      <c r="E5" s="179">
        <v>2322128</v>
      </c>
      <c r="G5" s="2508" t="s">
        <v>1129</v>
      </c>
      <c r="H5" s="2293">
        <v>2526469.36</v>
      </c>
    </row>
    <row r="6" spans="2:12" x14ac:dyDescent="0.3">
      <c r="E6" s="179">
        <f ca="1">+SUBTOTAL(9,E8:E900)</f>
        <v>15025083.9033335</v>
      </c>
    </row>
    <row r="7" spans="2:12" x14ac:dyDescent="0.3">
      <c r="B7" s="1813" t="s">
        <v>20</v>
      </c>
      <c r="C7" s="2505" t="s">
        <v>3600</v>
      </c>
      <c r="D7" s="2505" t="s">
        <v>3569</v>
      </c>
      <c r="E7" s="2505" t="s">
        <v>3604</v>
      </c>
      <c r="I7" s="2535"/>
      <c r="J7" s="2535"/>
    </row>
    <row r="8" spans="2:12" x14ac:dyDescent="0.3">
      <c r="B8" s="183" t="s">
        <v>1056</v>
      </c>
      <c r="C8" s="2509">
        <f ca="1">+SUMIFS('TB Grouping'!F:F,'TB Grouping'!D:D,'TB to be sent to client'!B8)*0+H5</f>
        <v>2526469.36</v>
      </c>
      <c r="D8" s="2509">
        <f>+SUMIFS('Additional &amp; Presentation Entry'!$G$10:$G$1048576,'Additional &amp; Presentation Entry'!$F$10:$F$1048576,'TB to be sent to client'!B8)</f>
        <v>0</v>
      </c>
      <c r="E8" s="2509">
        <f ca="1">+C8+D8</f>
        <v>2526469.36</v>
      </c>
      <c r="I8" s="2535"/>
      <c r="J8" s="2535" t="s">
        <v>1056</v>
      </c>
      <c r="L8" s="1" t="s">
        <v>1056</v>
      </c>
    </row>
    <row r="9" spans="2:12" x14ac:dyDescent="0.3">
      <c r="B9" s="183" t="s">
        <v>2062</v>
      </c>
      <c r="C9" s="2509">
        <f ca="1">+SUMIFS('TB Grouping'!F:F,'TB Grouping'!D:D,'TB to be sent to client'!B9)</f>
        <v>1196.7</v>
      </c>
      <c r="D9" s="2509">
        <f>+SUMIFS('Additional &amp; Presentation Entry'!$G$10:$G$1048576,'Additional &amp; Presentation Entry'!$F$10:$F$1048576,'TB to be sent to client'!B9)</f>
        <v>0</v>
      </c>
      <c r="E9" s="2509">
        <f t="shared" ref="E9:E72" ca="1" si="0">+C9+D9</f>
        <v>1196.7</v>
      </c>
      <c r="J9" s="2535" t="e">
        <f ca="1">+_xlfn.XLOOKUP(B9,'TB Grouping'!D:D,'TB Grouping'!D:D)</f>
        <v>#NAME?</v>
      </c>
      <c r="L9" s="1" t="s">
        <v>2062</v>
      </c>
    </row>
    <row r="10" spans="2:12" x14ac:dyDescent="0.3">
      <c r="B10" s="183" t="s">
        <v>2113</v>
      </c>
      <c r="C10" s="2509">
        <f ca="1">+SUMIFS('TB Grouping'!F:F,'TB Grouping'!D:D,'TB to be sent to client'!B10)</f>
        <v>0</v>
      </c>
      <c r="D10" s="2509">
        <f>+SUMIFS('Additional &amp; Presentation Entry'!$G$10:$G$1048576,'Additional &amp; Presentation Entry'!$F$10:$F$1048576,'TB to be sent to client'!B10)</f>
        <v>48433</v>
      </c>
      <c r="E10" s="2509">
        <f t="shared" ca="1" si="0"/>
        <v>48433</v>
      </c>
      <c r="J10" s="2535" t="e">
        <f ca="1">+_xlfn.XLOOKUP(B10,'TB Grouping'!D:D,'TB Grouping'!D:D)</f>
        <v>#NAME?</v>
      </c>
      <c r="L10" s="1" t="s">
        <v>2113</v>
      </c>
    </row>
    <row r="11" spans="2:12" x14ac:dyDescent="0.3">
      <c r="B11" s="183" t="s">
        <v>3040</v>
      </c>
      <c r="C11" s="2509">
        <f ca="1">+SUMIFS('TB Grouping'!F:F,'TB Grouping'!D:D,'TB to be sent to client'!B11)</f>
        <v>0</v>
      </c>
      <c r="D11" s="2509">
        <f>+SUMIFS('Additional &amp; Presentation Entry'!$G$10:$G$1048576,'Additional &amp; Presentation Entry'!$F$10:$F$1048576,'TB to be sent to client'!B11)</f>
        <v>25002</v>
      </c>
      <c r="E11" s="2509">
        <f t="shared" ca="1" si="0"/>
        <v>25002</v>
      </c>
      <c r="J11" s="2535" t="e">
        <f ca="1">+_xlfn.XLOOKUP(B11,'TB Grouping'!D:D,'TB Grouping'!D:D)</f>
        <v>#NAME?</v>
      </c>
      <c r="L11" s="1" t="s">
        <v>3040</v>
      </c>
    </row>
    <row r="12" spans="2:12" x14ac:dyDescent="0.3">
      <c r="B12" s="183" t="s">
        <v>3170</v>
      </c>
      <c r="C12" s="2509">
        <f ca="1">+SUMIFS('TB Grouping'!F:F,'TB Grouping'!D:D,'TB to be sent to client'!B12)</f>
        <v>0</v>
      </c>
      <c r="D12" s="2509">
        <f>+SUMIFS('Additional &amp; Presentation Entry'!$G$10:$G$1048576,'Additional &amp; Presentation Entry'!$F$10:$F$1048576,'TB to be sent to client'!B12)</f>
        <v>46800</v>
      </c>
      <c r="E12" s="2509">
        <f t="shared" ca="1" si="0"/>
        <v>46800</v>
      </c>
      <c r="J12" s="2535" t="e">
        <f ca="1">+_xlfn.XLOOKUP(B12,'TB Grouping'!D:D,'TB Grouping'!D:D)</f>
        <v>#NAME?</v>
      </c>
      <c r="L12" s="1" t="s">
        <v>3170</v>
      </c>
    </row>
    <row r="13" spans="2:12" x14ac:dyDescent="0.3">
      <c r="B13" s="183" t="s">
        <v>3570</v>
      </c>
      <c r="C13" s="2509">
        <f ca="1">+SUMIFS('TB Grouping'!F:F,'TB Grouping'!D:D,'TB to be sent to client'!B13)</f>
        <v>0</v>
      </c>
      <c r="D13" s="2509">
        <f>+SUMIFS('Additional &amp; Presentation Entry'!$G$10:$G$1048576,'Additional &amp; Presentation Entry'!$F$10:$F$1048576,'TB to be sent to client'!B13)</f>
        <v>-719447</v>
      </c>
      <c r="E13" s="2509">
        <f t="shared" ca="1" si="0"/>
        <v>-719447</v>
      </c>
      <c r="J13" s="2535" t="e">
        <f ca="1">+_xlfn.XLOOKUP(B13,'TB Grouping'!D:D,'TB Grouping'!D:D)</f>
        <v>#NAME?</v>
      </c>
      <c r="L13" s="1" t="s">
        <v>3570</v>
      </c>
    </row>
    <row r="14" spans="2:12" x14ac:dyDescent="0.3">
      <c r="B14" s="183" t="s">
        <v>3041</v>
      </c>
      <c r="C14" s="2509">
        <f ca="1">+SUMIFS('TB Grouping'!F:F,'TB Grouping'!D:D,'TB to be sent to client'!B14)</f>
        <v>7700000</v>
      </c>
      <c r="D14" s="2509">
        <f>+SUMIFS('Additional &amp; Presentation Entry'!$G$10:$G$1048576,'Additional &amp; Presentation Entry'!$F$10:$F$1048576,'TB to be sent to client'!B14)</f>
        <v>0</v>
      </c>
      <c r="E14" s="2509">
        <f t="shared" ca="1" si="0"/>
        <v>7700000</v>
      </c>
      <c r="J14" s="2535" t="e">
        <f ca="1">+_xlfn.XLOOKUP(B14,'TB Grouping'!D:D,'TB Grouping'!D:D)</f>
        <v>#NAME?</v>
      </c>
      <c r="L14" s="1" t="s">
        <v>3041</v>
      </c>
    </row>
    <row r="15" spans="2:12" x14ac:dyDescent="0.3">
      <c r="B15" s="183" t="s">
        <v>2121</v>
      </c>
      <c r="C15" s="2509">
        <f ca="1">+SUMIFS('TB Grouping'!F:F,'TB Grouping'!D:D,'TB to be sent to client'!B15)</f>
        <v>0</v>
      </c>
      <c r="D15" s="2509">
        <f>+SUMIFS('Additional &amp; Presentation Entry'!$G$10:$G$1048576,'Additional &amp; Presentation Entry'!$F$10:$F$1048576,'TB to be sent to client'!B15)</f>
        <v>0</v>
      </c>
      <c r="E15" s="2509">
        <f t="shared" ca="1" si="0"/>
        <v>0</v>
      </c>
      <c r="J15" s="2535" t="e">
        <f ca="1">+_xlfn.XLOOKUP(B15,'TB Grouping'!D:D,'TB Grouping'!D:D)</f>
        <v>#NAME?</v>
      </c>
      <c r="L15" s="1" t="e">
        <v>#N/A</v>
      </c>
    </row>
    <row r="16" spans="2:12" x14ac:dyDescent="0.3">
      <c r="B16" s="183" t="s">
        <v>2125</v>
      </c>
      <c r="C16" s="2509">
        <f ca="1">+SUMIFS('TB Grouping'!F:F,'TB Grouping'!D:D,'TB to be sent to client'!B16)</f>
        <v>0</v>
      </c>
      <c r="D16" s="2509">
        <f>+SUMIFS('Additional &amp; Presentation Entry'!$G$10:$G$1048576,'Additional &amp; Presentation Entry'!$F$10:$F$1048576,'TB to be sent to client'!B16)</f>
        <v>184683</v>
      </c>
      <c r="E16" s="2509">
        <f t="shared" ca="1" si="0"/>
        <v>184683</v>
      </c>
      <c r="J16" s="2535" t="e">
        <f ca="1">+_xlfn.XLOOKUP(B16,'TB Grouping'!D:D,'TB Grouping'!D:D)</f>
        <v>#NAME?</v>
      </c>
      <c r="L16" s="1" t="s">
        <v>2125</v>
      </c>
    </row>
    <row r="17" spans="2:12" x14ac:dyDescent="0.3">
      <c r="B17" s="183" t="s">
        <v>3042</v>
      </c>
      <c r="C17" s="2509">
        <f ca="1">+SUMIFS('TB Grouping'!F:F,'TB Grouping'!D:D,'TB to be sent to client'!B17)</f>
        <v>0.08</v>
      </c>
      <c r="D17" s="2509">
        <f>+SUMIFS('Additional &amp; Presentation Entry'!$G$10:$G$1048576,'Additional &amp; Presentation Entry'!$F$10:$F$1048576,'TB to be sent to client'!B17)</f>
        <v>0</v>
      </c>
      <c r="E17" s="2509">
        <f t="shared" ca="1" si="0"/>
        <v>0.08</v>
      </c>
      <c r="J17" s="2535" t="e">
        <f ca="1">+_xlfn.XLOOKUP(B17,'TB Grouping'!D:D,'TB Grouping'!D:D)</f>
        <v>#NAME?</v>
      </c>
      <c r="L17" s="1" t="s">
        <v>3042</v>
      </c>
    </row>
    <row r="18" spans="2:12" x14ac:dyDescent="0.3">
      <c r="B18" s="183" t="s">
        <v>2130</v>
      </c>
      <c r="C18" s="2509">
        <f ca="1">+SUMIFS('TB Grouping'!F:F,'TB Grouping'!D:D,'TB to be sent to client'!B18)</f>
        <v>0</v>
      </c>
      <c r="D18" s="2509">
        <f>+SUMIFS('Additional &amp; Presentation Entry'!$G$10:$G$1048576,'Additional &amp; Presentation Entry'!$F$10:$F$1048576,'TB to be sent to client'!B18)</f>
        <v>0</v>
      </c>
      <c r="E18" s="2509">
        <f t="shared" ca="1" si="0"/>
        <v>0</v>
      </c>
      <c r="J18" s="2535" t="e">
        <f ca="1">+_xlfn.XLOOKUP(B18,'TB Grouping'!D:D,'TB Grouping'!D:D)</f>
        <v>#NAME?</v>
      </c>
      <c r="L18" s="1" t="e">
        <v>#N/A</v>
      </c>
    </row>
    <row r="19" spans="2:12" x14ac:dyDescent="0.3">
      <c r="B19" s="183" t="s">
        <v>3565</v>
      </c>
      <c r="C19" s="2509">
        <f ca="1">+SUMIFS('TB Grouping'!F:F,'TB Grouping'!D:D,'TB to be sent to client'!B19)</f>
        <v>0</v>
      </c>
      <c r="D19" s="2509">
        <f>+SUMIFS('Additional &amp; Presentation Entry'!$G$10:$G$1048576,'Additional &amp; Presentation Entry'!$F$10:$F$1048576,'TB to be sent to client'!B19)</f>
        <v>-355</v>
      </c>
      <c r="E19" s="2509">
        <f t="shared" ca="1" si="0"/>
        <v>-355</v>
      </c>
      <c r="J19" s="2535" t="e">
        <f ca="1">+_xlfn.XLOOKUP(B19,'TB Grouping'!D:D,'TB Grouping'!D:D)</f>
        <v>#NAME?</v>
      </c>
      <c r="L19" s="1" t="s">
        <v>3565</v>
      </c>
    </row>
    <row r="20" spans="2:12" x14ac:dyDescent="0.3">
      <c r="B20" s="183" t="s">
        <v>2133</v>
      </c>
      <c r="C20" s="2509">
        <f ca="1">+SUMIFS('TB Grouping'!F:F,'TB Grouping'!D:D,'TB to be sent to client'!B20)</f>
        <v>2912.94</v>
      </c>
      <c r="D20" s="2509">
        <f>+SUMIFS('Additional &amp; Presentation Entry'!$G$10:$G$1048576,'Additional &amp; Presentation Entry'!$F$10:$F$1048576,'TB to be sent to client'!B20)</f>
        <v>-2390</v>
      </c>
      <c r="E20" s="2509">
        <f t="shared" ca="1" si="0"/>
        <v>522.94000000000005</v>
      </c>
      <c r="J20" s="2535" t="e">
        <f ca="1">+_xlfn.XLOOKUP(B20,'TB Grouping'!D:D,'TB Grouping'!D:D)</f>
        <v>#NAME?</v>
      </c>
      <c r="L20" s="1" t="s">
        <v>2133</v>
      </c>
    </row>
    <row r="21" spans="2:12" x14ac:dyDescent="0.3">
      <c r="B21" s="183" t="s">
        <v>3043</v>
      </c>
      <c r="C21" s="2509">
        <f ca="1">+SUMIFS('TB Grouping'!F:F,'TB Grouping'!D:D,'TB to be sent to client'!B21)</f>
        <v>171480</v>
      </c>
      <c r="D21" s="2509">
        <f>+SUMIFS('Additional &amp; Presentation Entry'!$G$10:$G$1048576,'Additional &amp; Presentation Entry'!$F$10:$F$1048576,'TB to be sent to client'!B21)</f>
        <v>128520</v>
      </c>
      <c r="E21" s="2509">
        <f t="shared" ca="1" si="0"/>
        <v>300000</v>
      </c>
      <c r="J21" s="2535" t="e">
        <f ca="1">+_xlfn.XLOOKUP(B21,'TB Grouping'!D:D,'TB Grouping'!D:D)</f>
        <v>#NAME?</v>
      </c>
      <c r="L21" s="1" t="s">
        <v>3043</v>
      </c>
    </row>
    <row r="22" spans="2:12" x14ac:dyDescent="0.3">
      <c r="B22" s="183" t="s">
        <v>3044</v>
      </c>
      <c r="C22" s="2509">
        <f ca="1">+SUMIFS('TB Grouping'!F:F,'TB Grouping'!D:D,'TB to be sent to client'!B22)</f>
        <v>0</v>
      </c>
      <c r="D22" s="2509">
        <f>+SUMIFS('Additional &amp; Presentation Entry'!$G$10:$G$1048576,'Additional &amp; Presentation Entry'!$F$10:$F$1048576,'TB to be sent to client'!B22)</f>
        <v>12000</v>
      </c>
      <c r="E22" s="2509">
        <f t="shared" ca="1" si="0"/>
        <v>12000</v>
      </c>
      <c r="J22" s="2535" t="e">
        <f ca="1">+_xlfn.XLOOKUP(B22,'TB Grouping'!D:D,'TB Grouping'!D:D)</f>
        <v>#NAME?</v>
      </c>
      <c r="L22" s="1" t="s">
        <v>3044</v>
      </c>
    </row>
    <row r="23" spans="2:12" x14ac:dyDescent="0.3">
      <c r="B23" s="183" t="s">
        <v>2168</v>
      </c>
      <c r="C23" s="2509">
        <f ca="1">+SUMIFS('TB Grouping'!F:F,'TB Grouping'!D:D,'TB to be sent to client'!B23)</f>
        <v>0</v>
      </c>
      <c r="D23" s="2509">
        <f>+SUMIFS('Additional &amp; Presentation Entry'!$G$10:$G$1048576,'Additional &amp; Presentation Entry'!$F$10:$F$1048576,'TB to be sent to client'!B23)</f>
        <v>345922.64</v>
      </c>
      <c r="E23" s="2509">
        <f t="shared" ca="1" si="0"/>
        <v>345922.64</v>
      </c>
      <c r="J23" s="2535" t="e">
        <f ca="1">+_xlfn.XLOOKUP(B23,'TB Grouping'!D:D,'TB Grouping'!D:D)</f>
        <v>#NAME?</v>
      </c>
      <c r="L23" s="1" t="s">
        <v>2168</v>
      </c>
    </row>
    <row r="24" spans="2:12" x14ac:dyDescent="0.3">
      <c r="B24" s="183" t="s">
        <v>2170</v>
      </c>
      <c r="C24" s="2509">
        <f ca="1">+SUMIFS('TB Grouping'!F:F,'TB Grouping'!D:D,'TB to be sent to client'!B24)</f>
        <v>-48166.99</v>
      </c>
      <c r="D24" s="2509">
        <f>+SUMIFS('Additional &amp; Presentation Entry'!$G$10:$G$1048576,'Additional &amp; Presentation Entry'!$F$10:$F$1048576,'TB to be sent to client'!B24)</f>
        <v>6919991.1799999997</v>
      </c>
      <c r="E24" s="2509">
        <f t="shared" ca="1" si="0"/>
        <v>6871824.1899999995</v>
      </c>
      <c r="J24" s="2535" t="e">
        <f ca="1">+_xlfn.XLOOKUP(B24,'TB Grouping'!D:D,'TB Grouping'!D:D)</f>
        <v>#NAME?</v>
      </c>
      <c r="L24" s="1" t="s">
        <v>2170</v>
      </c>
    </row>
    <row r="25" spans="2:12" x14ac:dyDescent="0.3">
      <c r="B25" s="183" t="s">
        <v>2172</v>
      </c>
      <c r="C25" s="2509">
        <f ca="1">+SUMIFS('TB Grouping'!F:F,'TB Grouping'!D:D,'TB to be sent to client'!B25)</f>
        <v>138167.45000000001</v>
      </c>
      <c r="D25" s="2509">
        <f>+SUMIFS('Additional &amp; Presentation Entry'!$G$10:$G$1048576,'Additional &amp; Presentation Entry'!$F$10:$F$1048576,'TB to be sent to client'!B25)</f>
        <v>-20492</v>
      </c>
      <c r="E25" s="2509">
        <f t="shared" ca="1" si="0"/>
        <v>117675.45000000001</v>
      </c>
      <c r="J25" s="2535" t="e">
        <f ca="1">+_xlfn.XLOOKUP(B25,'TB Grouping'!D:D,'TB Grouping'!D:D)</f>
        <v>#NAME?</v>
      </c>
      <c r="L25" s="1" t="s">
        <v>2172</v>
      </c>
    </row>
    <row r="26" spans="2:12" x14ac:dyDescent="0.3">
      <c r="B26" s="183" t="s">
        <v>3045</v>
      </c>
      <c r="C26" s="2509">
        <f ca="1">+SUMIFS('TB Grouping'!F:F,'TB Grouping'!D:D,'TB to be sent to client'!B26)</f>
        <v>6217.86</v>
      </c>
      <c r="D26" s="2509">
        <f>+SUMIFS('Additional &amp; Presentation Entry'!$G$10:$G$1048576,'Additional &amp; Presentation Entry'!$F$10:$F$1048576,'TB to be sent to client'!B26)</f>
        <v>0</v>
      </c>
      <c r="E26" s="2509">
        <f t="shared" ca="1" si="0"/>
        <v>6217.86</v>
      </c>
      <c r="J26" s="2535" t="e">
        <f ca="1">+_xlfn.XLOOKUP(B26,'TB Grouping'!D:D,'TB Grouping'!D:D)</f>
        <v>#NAME?</v>
      </c>
      <c r="L26" s="1" t="s">
        <v>3045</v>
      </c>
    </row>
    <row r="27" spans="2:12" x14ac:dyDescent="0.3">
      <c r="B27" s="183" t="s">
        <v>2174</v>
      </c>
      <c r="C27" s="2509">
        <f ca="1">+SUMIFS('TB Grouping'!F:F,'TB Grouping'!D:D,'TB to be sent to client'!B27)</f>
        <v>0</v>
      </c>
      <c r="D27" s="2509">
        <f>+SUMIFS('Additional &amp; Presentation Entry'!$G$10:$G$1048576,'Additional &amp; Presentation Entry'!$F$10:$F$1048576,'TB to be sent to client'!B27)</f>
        <v>0</v>
      </c>
      <c r="E27" s="2509">
        <f t="shared" ca="1" si="0"/>
        <v>0</v>
      </c>
      <c r="J27" s="2535" t="e">
        <f ca="1">+_xlfn.XLOOKUP(B27,'TB Grouping'!D:D,'TB Grouping'!D:D)</f>
        <v>#NAME?</v>
      </c>
      <c r="L27" s="1" t="s">
        <v>2174</v>
      </c>
    </row>
    <row r="28" spans="2:12" x14ac:dyDescent="0.3">
      <c r="B28" s="183" t="s">
        <v>2175</v>
      </c>
      <c r="C28" s="2509">
        <f ca="1">+SUMIFS('TB Grouping'!F:F,'TB Grouping'!D:D,'TB to be sent to client'!B28)</f>
        <v>0</v>
      </c>
      <c r="D28" s="2509">
        <f>+SUMIFS('Additional &amp; Presentation Entry'!$G$10:$G$1048576,'Additional &amp; Presentation Entry'!$F$10:$F$1048576,'TB to be sent to client'!B28)</f>
        <v>0</v>
      </c>
      <c r="E28" s="2509">
        <f t="shared" ca="1" si="0"/>
        <v>0</v>
      </c>
      <c r="J28" s="2535" t="e">
        <f ca="1">+_xlfn.XLOOKUP(B28,'TB Grouping'!D:D,'TB Grouping'!D:D)</f>
        <v>#NAME?</v>
      </c>
      <c r="L28" s="1" t="s">
        <v>2175</v>
      </c>
    </row>
    <row r="29" spans="2:12" x14ac:dyDescent="0.3">
      <c r="B29" s="183" t="s">
        <v>2176</v>
      </c>
      <c r="C29" s="2509">
        <f ca="1">+SUMIFS('TB Grouping'!F:F,'TB Grouping'!D:D,'TB to be sent to client'!B29)</f>
        <v>0</v>
      </c>
      <c r="D29" s="2509">
        <f>+SUMIFS('Additional &amp; Presentation Entry'!$G$10:$G$1048576,'Additional &amp; Presentation Entry'!$F$10:$F$1048576,'TB to be sent to client'!B29)</f>
        <v>0</v>
      </c>
      <c r="E29" s="2509">
        <f t="shared" ca="1" si="0"/>
        <v>0</v>
      </c>
      <c r="J29" s="2535" t="e">
        <f ca="1">+_xlfn.XLOOKUP(B29,'TB Grouping'!D:D,'TB Grouping'!D:D)</f>
        <v>#NAME?</v>
      </c>
      <c r="L29" s="1" t="s">
        <v>2176</v>
      </c>
    </row>
    <row r="30" spans="2:12" x14ac:dyDescent="0.3">
      <c r="B30" s="183" t="s">
        <v>2151</v>
      </c>
      <c r="C30" s="2509">
        <f ca="1">+SUMIFS('TB Grouping'!F:F,'TB Grouping'!D:D,'TB to be sent to client'!B30)</f>
        <v>0</v>
      </c>
      <c r="D30" s="2509">
        <f>+SUMIFS('Additional &amp; Presentation Entry'!$G$10:$G$1048576,'Additional &amp; Presentation Entry'!$F$10:$F$1048576,'TB to be sent to client'!B30)</f>
        <v>0</v>
      </c>
      <c r="E30" s="2509">
        <f t="shared" ca="1" si="0"/>
        <v>0</v>
      </c>
      <c r="J30" s="2535" t="e">
        <f ca="1">+_xlfn.XLOOKUP(B30,'TB Grouping'!D:D,'TB Grouping'!D:D)</f>
        <v>#NAME?</v>
      </c>
      <c r="L30" s="1" t="e">
        <v>#N/A</v>
      </c>
    </row>
    <row r="31" spans="2:12" x14ac:dyDescent="0.3">
      <c r="B31" s="183" t="s">
        <v>2152</v>
      </c>
      <c r="C31" s="2509">
        <f ca="1">+SUMIFS('TB Grouping'!F:F,'TB Grouping'!D:D,'TB to be sent to client'!B31)</f>
        <v>0</v>
      </c>
      <c r="D31" s="2509">
        <f>+SUMIFS('Additional &amp; Presentation Entry'!$G$10:$G$1048576,'Additional &amp; Presentation Entry'!$F$10:$F$1048576,'TB to be sent to client'!B31)</f>
        <v>0</v>
      </c>
      <c r="E31" s="2509">
        <f t="shared" ca="1" si="0"/>
        <v>0</v>
      </c>
      <c r="J31" s="2535" t="e">
        <f ca="1">+_xlfn.XLOOKUP(B31,'TB Grouping'!D:D,'TB Grouping'!D:D)</f>
        <v>#NAME?</v>
      </c>
      <c r="L31" s="1" t="s">
        <v>2152</v>
      </c>
    </row>
    <row r="32" spans="2:12" x14ac:dyDescent="0.3">
      <c r="B32" s="183" t="s">
        <v>3046</v>
      </c>
      <c r="C32" s="2509">
        <f ca="1">+SUMIFS('TB Grouping'!F:F,'TB Grouping'!D:D,'TB to be sent to client'!B32)</f>
        <v>0</v>
      </c>
      <c r="D32" s="2509">
        <f>+SUMIFS('Additional &amp; Presentation Entry'!$G$10:$G$1048576,'Additional &amp; Presentation Entry'!$F$10:$F$1048576,'TB to be sent to client'!B32)</f>
        <v>25002</v>
      </c>
      <c r="E32" s="2509">
        <f t="shared" ca="1" si="0"/>
        <v>25002</v>
      </c>
      <c r="J32" s="2535" t="e">
        <f ca="1">+_xlfn.XLOOKUP(B32,'TB Grouping'!D:D,'TB Grouping'!D:D)</f>
        <v>#NAME?</v>
      </c>
      <c r="L32" s="1" t="s">
        <v>3046</v>
      </c>
    </row>
    <row r="33" spans="2:12" x14ac:dyDescent="0.3">
      <c r="B33" s="183" t="s">
        <v>3047</v>
      </c>
      <c r="C33" s="2509">
        <f ca="1">+SUMIFS('TB Grouping'!F:F,'TB Grouping'!D:D,'TB to be sent to client'!B33)</f>
        <v>-0.41</v>
      </c>
      <c r="D33" s="2509">
        <f>+SUMIFS('Additional &amp; Presentation Entry'!$G$10:$G$1048576,'Additional &amp; Presentation Entry'!$F$10:$F$1048576,'TB to be sent to client'!B33)</f>
        <v>0</v>
      </c>
      <c r="E33" s="2509">
        <f t="shared" ca="1" si="0"/>
        <v>-0.41</v>
      </c>
      <c r="J33" s="2535" t="e">
        <f ca="1">+_xlfn.XLOOKUP(B33,'TB Grouping'!D:D,'TB Grouping'!D:D)</f>
        <v>#NAME?</v>
      </c>
      <c r="L33" s="1" t="s">
        <v>3047</v>
      </c>
    </row>
    <row r="34" spans="2:12" x14ac:dyDescent="0.3">
      <c r="B34" s="183" t="s">
        <v>2181</v>
      </c>
      <c r="C34" s="2509">
        <f ca="1">+SUMIFS('TB Grouping'!F:F,'TB Grouping'!D:D,'TB to be sent to client'!B34)</f>
        <v>377000</v>
      </c>
      <c r="D34" s="2509">
        <f>+SUMIFS('Additional &amp; Presentation Entry'!$G$10:$G$1048576,'Additional &amp; Presentation Entry'!$F$10:$F$1048576,'TB to be sent to client'!B34)</f>
        <v>0</v>
      </c>
      <c r="E34" s="2509">
        <f t="shared" ca="1" si="0"/>
        <v>377000</v>
      </c>
      <c r="J34" s="2535" t="e">
        <f ca="1">+_xlfn.XLOOKUP(B34,'TB Grouping'!D:D,'TB Grouping'!D:D)</f>
        <v>#NAME?</v>
      </c>
      <c r="L34" s="1" t="s">
        <v>2181</v>
      </c>
    </row>
    <row r="35" spans="2:12" x14ac:dyDescent="0.3">
      <c r="B35" s="183" t="s">
        <v>2182</v>
      </c>
      <c r="C35" s="2509">
        <f ca="1">+SUMIFS('TB Grouping'!F:F,'TB Grouping'!D:D,'TB to be sent to client'!B35)</f>
        <v>0</v>
      </c>
      <c r="D35" s="2509">
        <f>+SUMIFS('Additional &amp; Presentation Entry'!$G$10:$G$1048576,'Additional &amp; Presentation Entry'!$F$10:$F$1048576,'TB to be sent to client'!B35)</f>
        <v>0</v>
      </c>
      <c r="E35" s="2509">
        <f t="shared" ca="1" si="0"/>
        <v>0</v>
      </c>
      <c r="J35" s="2535" t="e">
        <f ca="1">+_xlfn.XLOOKUP(B35,'TB Grouping'!D:D,'TB Grouping'!D:D)</f>
        <v>#NAME?</v>
      </c>
      <c r="L35" s="1" t="e">
        <v>#N/A</v>
      </c>
    </row>
    <row r="36" spans="2:12" x14ac:dyDescent="0.3">
      <c r="B36" s="2515" t="s">
        <v>3049</v>
      </c>
      <c r="C36" s="2509">
        <f ca="1">+SUMIFS('TB Grouping'!F:F,'TB Grouping'!D:D,'TB to be sent to client'!B36)</f>
        <v>0</v>
      </c>
      <c r="D36" s="2509">
        <f>+SUMIFS('Additional &amp; Presentation Entry'!$G$10:$G$1048576,'Additional &amp; Presentation Entry'!$F$10:$F$1048576,'TB to be sent to client'!B36)</f>
        <v>2068.85</v>
      </c>
      <c r="E36" s="2509">
        <f ca="1">+C36+D36</f>
        <v>2068.85</v>
      </c>
      <c r="J36" s="2535" t="e">
        <f ca="1">+_xlfn.XLOOKUP(B36,'TB Grouping'!D:D,'TB Grouping'!D:D)</f>
        <v>#NAME?</v>
      </c>
      <c r="L36" s="1" t="s">
        <v>3049</v>
      </c>
    </row>
    <row r="37" spans="2:12" x14ac:dyDescent="0.3">
      <c r="B37" s="2515" t="s">
        <v>2193</v>
      </c>
      <c r="C37" s="2509">
        <f ca="1">+SUMIFS('TB Grouping'!F:F,'TB Grouping'!D:D,'TB to be sent to client'!B37)</f>
        <v>0</v>
      </c>
      <c r="D37" s="2509">
        <f>+SUMIFS('Additional &amp; Presentation Entry'!$G$10:$G$1048576,'Additional &amp; Presentation Entry'!$F$10:$F$1048576,'TB to be sent to client'!B37)</f>
        <v>-37.83</v>
      </c>
      <c r="E37" s="2509">
        <f ca="1">+C37+D37</f>
        <v>-37.83</v>
      </c>
      <c r="J37" s="2535" t="e">
        <f ca="1">+_xlfn.XLOOKUP(B37,'TB Grouping'!D:D,'TB Grouping'!D:D)</f>
        <v>#NAME?</v>
      </c>
      <c r="L37" s="1" t="s">
        <v>2193</v>
      </c>
    </row>
    <row r="38" spans="2:12" x14ac:dyDescent="0.3">
      <c r="B38" s="2515" t="s">
        <v>3051</v>
      </c>
      <c r="C38" s="2509">
        <f ca="1">+SUMIFS('TB Grouping'!F:F,'TB Grouping'!D:D,'TB to be sent to client'!B38)</f>
        <v>1005116.92</v>
      </c>
      <c r="D38" s="2509">
        <f>+SUMIFS('Additional &amp; Presentation Entry'!$G$10:$G$1048576,'Additional &amp; Presentation Entry'!$F$10:$F$1048576,'TB to be sent to client'!B38)</f>
        <v>-6531378.5099999998</v>
      </c>
      <c r="E38" s="2509">
        <f ca="1">+C38+D38</f>
        <v>-5526261.5899999999</v>
      </c>
      <c r="J38" s="2535" t="e">
        <f ca="1">+_xlfn.XLOOKUP(B38,'TB Grouping'!D:D,'TB Grouping'!D:D)</f>
        <v>#NAME?</v>
      </c>
      <c r="L38" s="1" t="s">
        <v>3051</v>
      </c>
    </row>
    <row r="39" spans="2:12" x14ac:dyDescent="0.3">
      <c r="B39" s="183" t="s">
        <v>2203</v>
      </c>
      <c r="C39" s="2509">
        <f ca="1">+SUMIFS('TB Grouping'!F:F,'TB Grouping'!D:D,'TB to be sent to client'!B39)</f>
        <v>0</v>
      </c>
      <c r="D39" s="2509">
        <f>+SUMIFS('Additional &amp; Presentation Entry'!$G$10:$G$1048576,'Additional &amp; Presentation Entry'!$F$10:$F$1048576,'TB to be sent to client'!B39)</f>
        <v>0</v>
      </c>
      <c r="E39" s="2509">
        <f t="shared" ca="1" si="0"/>
        <v>0</v>
      </c>
      <c r="J39" s="2535" t="e">
        <f ca="1">+_xlfn.XLOOKUP(B39,'TB Grouping'!D:D,'TB Grouping'!D:D)</f>
        <v>#NAME?</v>
      </c>
      <c r="L39" s="1" t="s">
        <v>2203</v>
      </c>
    </row>
    <row r="40" spans="2:12" x14ac:dyDescent="0.3">
      <c r="B40" s="183" t="s">
        <v>2205</v>
      </c>
      <c r="C40" s="2509">
        <f ca="1">+SUMIFS('TB Grouping'!F:F,'TB Grouping'!D:D,'TB to be sent to client'!B40)</f>
        <v>0</v>
      </c>
      <c r="D40" s="2509">
        <f>+SUMIFS('Additional &amp; Presentation Entry'!$G$10:$G$1048576,'Additional &amp; Presentation Entry'!$F$10:$F$1048576,'TB to be sent to client'!B40)</f>
        <v>0</v>
      </c>
      <c r="E40" s="2509">
        <f t="shared" ca="1" si="0"/>
        <v>0</v>
      </c>
      <c r="J40" s="2535" t="e">
        <f ca="1">+_xlfn.XLOOKUP(B40,'TB Grouping'!D:D,'TB Grouping'!D:D)</f>
        <v>#NAME?</v>
      </c>
      <c r="L40" s="1" t="e">
        <v>#N/A</v>
      </c>
    </row>
    <row r="41" spans="2:12" x14ac:dyDescent="0.3">
      <c r="B41" s="183" t="s">
        <v>2197</v>
      </c>
      <c r="C41" s="2509">
        <f ca="1">+SUMIFS('TB Grouping'!F:F,'TB Grouping'!D:D,'TB to be sent to client'!B41)</f>
        <v>0</v>
      </c>
      <c r="D41" s="2509">
        <f>+SUMIFS('Additional &amp; Presentation Entry'!$G$10:$G$1048576,'Additional &amp; Presentation Entry'!$F$10:$F$1048576,'TB to be sent to client'!B41)</f>
        <v>0</v>
      </c>
      <c r="E41" s="2509">
        <f t="shared" ca="1" si="0"/>
        <v>0</v>
      </c>
      <c r="J41" s="2535" t="e">
        <f ca="1">+_xlfn.XLOOKUP(B41,'TB Grouping'!D:D,'TB Grouping'!D:D)</f>
        <v>#NAME?</v>
      </c>
      <c r="L41" s="1" t="s">
        <v>2197</v>
      </c>
    </row>
    <row r="42" spans="2:12" x14ac:dyDescent="0.3">
      <c r="B42" s="183" t="s">
        <v>2206</v>
      </c>
      <c r="C42" s="2509">
        <f ca="1">+SUMIFS('TB Grouping'!F:F,'TB Grouping'!D:D,'TB to be sent to client'!B42)</f>
        <v>0</v>
      </c>
      <c r="D42" s="2509">
        <f>+SUMIFS('Additional &amp; Presentation Entry'!$G$10:$G$1048576,'Additional &amp; Presentation Entry'!$F$10:$F$1048576,'TB to be sent to client'!B42)</f>
        <v>0</v>
      </c>
      <c r="E42" s="2509">
        <f t="shared" ca="1" si="0"/>
        <v>0</v>
      </c>
      <c r="J42" s="2535" t="e">
        <f ca="1">+_xlfn.XLOOKUP(B42,'TB Grouping'!D:D,'TB Grouping'!D:D)</f>
        <v>#NAME?</v>
      </c>
      <c r="L42" s="1" t="s">
        <v>2206</v>
      </c>
    </row>
    <row r="43" spans="2:12" x14ac:dyDescent="0.3">
      <c r="B43" s="183" t="s">
        <v>2209</v>
      </c>
      <c r="C43" s="2509">
        <f ca="1">+SUMIFS('TB Grouping'!F:F,'TB Grouping'!D:D,'TB to be sent to client'!B43)</f>
        <v>11208189.470000001</v>
      </c>
      <c r="D43" s="2509">
        <f>+SUMIFS('Additional &amp; Presentation Entry'!$G$10:$G$1048576,'Additional &amp; Presentation Entry'!$F$10:$F$1048576,'TB to be sent to client'!B43)</f>
        <v>0</v>
      </c>
      <c r="E43" s="2509">
        <f t="shared" ca="1" si="0"/>
        <v>11208189.470000001</v>
      </c>
      <c r="J43" s="2535" t="e">
        <f ca="1">+_xlfn.XLOOKUP(B43,'TB Grouping'!D:D,'TB Grouping'!D:D)</f>
        <v>#NAME?</v>
      </c>
      <c r="L43" s="1" t="s">
        <v>2209</v>
      </c>
    </row>
    <row r="44" spans="2:12" x14ac:dyDescent="0.3">
      <c r="B44" s="183" t="s">
        <v>3572</v>
      </c>
      <c r="C44" s="2509">
        <f ca="1">+SUMIFS('TB Grouping'!F:F,'TB Grouping'!D:D,'TB to be sent to client'!B44)</f>
        <v>0</v>
      </c>
      <c r="D44" s="2509">
        <f>+SUMIFS('Additional &amp; Presentation Entry'!$G$10:$G$1048576,'Additional &amp; Presentation Entry'!$F$10:$F$1048576,'TB to be sent to client'!B44)</f>
        <v>0</v>
      </c>
      <c r="E44" s="2509">
        <f t="shared" ca="1" si="0"/>
        <v>0</v>
      </c>
      <c r="J44" s="2535" t="e">
        <f ca="1">+_xlfn.XLOOKUP(B44,'TB Grouping'!D:D,'TB Grouping'!D:D)</f>
        <v>#NAME?</v>
      </c>
      <c r="L44" s="1" t="s">
        <v>3572</v>
      </c>
    </row>
    <row r="45" spans="2:12" x14ac:dyDescent="0.3">
      <c r="B45" s="183" t="s">
        <v>2211</v>
      </c>
      <c r="C45" s="2509">
        <f ca="1">+SUMIFS('TB Grouping'!F:F,'TB Grouping'!D:D,'TB to be sent to client'!B45)</f>
        <v>0</v>
      </c>
      <c r="D45" s="2509">
        <f>+SUMIFS('Additional &amp; Presentation Entry'!$G$10:$G$1048576,'Additional &amp; Presentation Entry'!$F$10:$F$1048576,'TB to be sent to client'!B45)</f>
        <v>0</v>
      </c>
      <c r="E45" s="2509">
        <f t="shared" ca="1" si="0"/>
        <v>0</v>
      </c>
      <c r="J45" s="2535" t="e">
        <f ca="1">+_xlfn.XLOOKUP(B45,'TB Grouping'!D:D,'TB Grouping'!D:D)</f>
        <v>#NAME?</v>
      </c>
      <c r="L45" s="1" t="e">
        <v>#N/A</v>
      </c>
    </row>
    <row r="46" spans="2:12" x14ac:dyDescent="0.3">
      <c r="B46" s="183" t="s">
        <v>3573</v>
      </c>
      <c r="C46" s="2509">
        <f ca="1">+SUMIFS('TB Grouping'!F:F,'TB Grouping'!D:D,'TB to be sent to client'!B46)</f>
        <v>0</v>
      </c>
      <c r="D46" s="2509">
        <f>+SUMIFS('Additional &amp; Presentation Entry'!$G$10:$G$1048576,'Additional &amp; Presentation Entry'!$F$10:$F$1048576,'TB to be sent to client'!B46)</f>
        <v>-8844.35</v>
      </c>
      <c r="E46" s="2509">
        <f t="shared" ca="1" si="0"/>
        <v>-8844.35</v>
      </c>
      <c r="J46" s="2535" t="e">
        <f ca="1">+_xlfn.XLOOKUP(B46,'TB Grouping'!D:D,'TB Grouping'!D:D)</f>
        <v>#NAME?</v>
      </c>
      <c r="L46" s="1" t="s">
        <v>3573</v>
      </c>
    </row>
    <row r="47" spans="2:12" x14ac:dyDescent="0.3">
      <c r="B47" s="183" t="s">
        <v>2217</v>
      </c>
      <c r="C47" s="2509">
        <f ca="1">+SUMIFS('TB Grouping'!F:F,'TB Grouping'!D:D,'TB to be sent to client'!B47)</f>
        <v>0</v>
      </c>
      <c r="D47" s="2509">
        <f>+SUMIFS('Additional &amp; Presentation Entry'!$G$10:$G$1048576,'Additional &amp; Presentation Entry'!$F$10:$F$1048576,'TB to be sent to client'!B47)</f>
        <v>0</v>
      </c>
      <c r="E47" s="2509">
        <f t="shared" ca="1" si="0"/>
        <v>0</v>
      </c>
      <c r="J47" s="2535" t="e">
        <f ca="1">+_xlfn.XLOOKUP(B47,'TB Grouping'!D:D,'TB Grouping'!D:D)</f>
        <v>#NAME?</v>
      </c>
      <c r="L47" s="1" t="s">
        <v>2217</v>
      </c>
    </row>
    <row r="48" spans="2:12" x14ac:dyDescent="0.3">
      <c r="B48" s="183" t="s">
        <v>2222</v>
      </c>
      <c r="C48" s="2509">
        <f ca="1">+SUMIFS('TB Grouping'!F:F,'TB Grouping'!D:D,'TB to be sent to client'!B48)</f>
        <v>0</v>
      </c>
      <c r="D48" s="2509">
        <f>+SUMIFS('Additional &amp; Presentation Entry'!$G$10:$G$1048576,'Additional &amp; Presentation Entry'!$F$10:$F$1048576,'TB to be sent to client'!B48)</f>
        <v>4227.04</v>
      </c>
      <c r="E48" s="2509">
        <f t="shared" ca="1" si="0"/>
        <v>4227.04</v>
      </c>
      <c r="J48" s="2535" t="e">
        <f ca="1">+_xlfn.XLOOKUP(B48,'TB Grouping'!D:D,'TB Grouping'!D:D)</f>
        <v>#NAME?</v>
      </c>
      <c r="L48" s="1" t="s">
        <v>2222</v>
      </c>
    </row>
    <row r="49" spans="2:12" x14ac:dyDescent="0.3">
      <c r="B49" s="183" t="s">
        <v>2223</v>
      </c>
      <c r="C49" s="2509">
        <f ca="1">+SUMIFS('TB Grouping'!F:F,'TB Grouping'!D:D,'TB to be sent to client'!B49)</f>
        <v>315963</v>
      </c>
      <c r="D49" s="2509">
        <f>+SUMIFS('Additional &amp; Presentation Entry'!$G$10:$G$1048576,'Additional &amp; Presentation Entry'!$F$10:$F$1048576,'TB to be sent to client'!B49)</f>
        <v>0</v>
      </c>
      <c r="E49" s="2509">
        <f t="shared" ca="1" si="0"/>
        <v>315963</v>
      </c>
      <c r="J49" s="2535" t="e">
        <f ca="1">+_xlfn.XLOOKUP(B49,'TB Grouping'!D:D,'TB Grouping'!D:D)</f>
        <v>#NAME?</v>
      </c>
      <c r="L49" s="1" t="s">
        <v>2223</v>
      </c>
    </row>
    <row r="50" spans="2:12" x14ac:dyDescent="0.3">
      <c r="B50" s="183" t="s">
        <v>3574</v>
      </c>
      <c r="C50" s="2509">
        <f ca="1">+SUMIFS('TB Grouping'!F:F,'TB Grouping'!D:D,'TB to be sent to client'!B50)</f>
        <v>0</v>
      </c>
      <c r="D50" s="2509">
        <f>+SUMIFS('Additional &amp; Presentation Entry'!$G$10:$G$1048576,'Additional &amp; Presentation Entry'!$F$10:$F$1048576,'TB to be sent to client'!B50)</f>
        <v>0</v>
      </c>
      <c r="E50" s="2509">
        <f t="shared" ca="1" si="0"/>
        <v>0</v>
      </c>
      <c r="J50" s="2535" t="e">
        <f ca="1">+_xlfn.XLOOKUP(B50,'TB Grouping'!D:D,'TB Grouping'!D:D)</f>
        <v>#NAME?</v>
      </c>
      <c r="L50" s="1" t="s">
        <v>3574</v>
      </c>
    </row>
    <row r="51" spans="2:12" x14ac:dyDescent="0.3">
      <c r="B51" s="183" t="s">
        <v>3053</v>
      </c>
      <c r="C51" s="2509">
        <f ca="1">+SUMIFS('TB Grouping'!F:F,'TB Grouping'!D:D,'TB to be sent to client'!B51)</f>
        <v>0</v>
      </c>
      <c r="D51" s="2509">
        <f>+SUMIFS('Additional &amp; Presentation Entry'!$G$10:$G$1048576,'Additional &amp; Presentation Entry'!$F$10:$F$1048576,'TB to be sent to client'!B51)</f>
        <v>0</v>
      </c>
      <c r="E51" s="2509">
        <f t="shared" ca="1" si="0"/>
        <v>0</v>
      </c>
      <c r="J51" s="2535" t="e">
        <f ca="1">+_xlfn.XLOOKUP(B51,'TB Grouping'!D:D,'TB Grouping'!D:D)</f>
        <v>#NAME?</v>
      </c>
      <c r="L51" s="1" t="s">
        <v>3053</v>
      </c>
    </row>
    <row r="52" spans="2:12" x14ac:dyDescent="0.3">
      <c r="B52" s="183" t="s">
        <v>2227</v>
      </c>
      <c r="C52" s="2509">
        <f ca="1">+SUMIFS('TB Grouping'!F:F,'TB Grouping'!D:D,'TB to be sent to client'!B52)</f>
        <v>0</v>
      </c>
      <c r="D52" s="2509">
        <f>+SUMIFS('Additional &amp; Presentation Entry'!$G$10:$G$1048576,'Additional &amp; Presentation Entry'!$F$10:$F$1048576,'TB to be sent to client'!B52)</f>
        <v>0</v>
      </c>
      <c r="E52" s="2509">
        <f t="shared" ca="1" si="0"/>
        <v>0</v>
      </c>
      <c r="J52" s="2535" t="e">
        <f ca="1">+_xlfn.XLOOKUP(B52,'TB Grouping'!D:D,'TB Grouping'!D:D)</f>
        <v>#NAME?</v>
      </c>
      <c r="L52" s="1" t="s">
        <v>2227</v>
      </c>
    </row>
    <row r="53" spans="2:12" x14ac:dyDescent="0.3">
      <c r="B53" s="183" t="s">
        <v>3575</v>
      </c>
      <c r="C53" s="2509">
        <f ca="1">+SUMIFS('TB Grouping'!F:F,'TB Grouping'!D:D,'TB to be sent to client'!B53)</f>
        <v>0</v>
      </c>
      <c r="D53" s="2509">
        <f>+SUMIFS('Additional &amp; Presentation Entry'!$G$10:$G$1048576,'Additional &amp; Presentation Entry'!$F$10:$F$1048576,'TB to be sent to client'!B53)</f>
        <v>126084.395532</v>
      </c>
      <c r="E53" s="2509">
        <f t="shared" ca="1" si="0"/>
        <v>126084.395532</v>
      </c>
      <c r="J53" s="2535" t="e">
        <f ca="1">+_xlfn.XLOOKUP(B53,'TB Grouping'!D:D,'TB Grouping'!D:D)</f>
        <v>#NAME?</v>
      </c>
      <c r="L53" s="1" t="s">
        <v>3575</v>
      </c>
    </row>
    <row r="54" spans="2:12" x14ac:dyDescent="0.3">
      <c r="B54" s="183" t="s">
        <v>3055</v>
      </c>
      <c r="C54" s="2509">
        <f ca="1">+SUMIFS('TB Grouping'!F:F,'TB Grouping'!D:D,'TB to be sent to client'!B54)</f>
        <v>-12702.41</v>
      </c>
      <c r="D54" s="2509">
        <f>+SUMIFS('Additional &amp; Presentation Entry'!$G$10:$G$1048576,'Additional &amp; Presentation Entry'!$F$10:$F$1048576,'TB to be sent to client'!B54)</f>
        <v>0</v>
      </c>
      <c r="E54" s="2509">
        <f t="shared" ca="1" si="0"/>
        <v>-12702.41</v>
      </c>
      <c r="J54" s="2535" t="e">
        <f ca="1">+_xlfn.XLOOKUP(B54,'TB Grouping'!D:D,'TB Grouping'!D:D)</f>
        <v>#NAME?</v>
      </c>
      <c r="L54" s="1" t="s">
        <v>3055</v>
      </c>
    </row>
    <row r="55" spans="2:12" x14ac:dyDescent="0.3">
      <c r="B55" s="183" t="s">
        <v>3056</v>
      </c>
      <c r="C55" s="2509">
        <f ca="1">+SUMIFS('TB Grouping'!F:F,'TB Grouping'!D:D,'TB to be sent to client'!B55)</f>
        <v>0</v>
      </c>
      <c r="D55" s="2509">
        <f>+SUMIFS('Additional &amp; Presentation Entry'!$G$10:$G$1048576,'Additional &amp; Presentation Entry'!$F$10:$F$1048576,'TB to be sent to client'!B55)</f>
        <v>-302.64999999999998</v>
      </c>
      <c r="E55" s="2509">
        <f t="shared" ca="1" si="0"/>
        <v>-302.64999999999998</v>
      </c>
      <c r="J55" s="2535" t="e">
        <f ca="1">+_xlfn.XLOOKUP(B55,'TB Grouping'!D:D,'TB Grouping'!D:D)</f>
        <v>#NAME?</v>
      </c>
      <c r="L55" s="1" t="s">
        <v>3056</v>
      </c>
    </row>
    <row r="56" spans="2:12" x14ac:dyDescent="0.3">
      <c r="B56" s="183" t="s">
        <v>3054</v>
      </c>
      <c r="C56" s="2509">
        <f ca="1">+SUMIFS('TB Grouping'!F:F,'TB Grouping'!D:D,'TB to be sent to client'!B56)</f>
        <v>48864</v>
      </c>
      <c r="D56" s="2509">
        <f>+SUMIFS('Additional &amp; Presentation Entry'!$G$10:$G$1048576,'Additional &amp; Presentation Entry'!$F$10:$F$1048576,'TB to be sent to client'!B56)</f>
        <v>-52386</v>
      </c>
      <c r="E56" s="2509">
        <f t="shared" ca="1" si="0"/>
        <v>-3522</v>
      </c>
      <c r="J56" s="2535" t="e">
        <f ca="1">+_xlfn.XLOOKUP(B56,'TB Grouping'!D:D,'TB Grouping'!D:D)</f>
        <v>#NAME?</v>
      </c>
      <c r="L56" s="1" t="s">
        <v>3054</v>
      </c>
    </row>
    <row r="57" spans="2:12" x14ac:dyDescent="0.3">
      <c r="B57" s="183" t="s">
        <v>2258</v>
      </c>
      <c r="C57" s="2509">
        <f ca="1">+SUMIFS('TB Grouping'!F:F,'TB Grouping'!D:D,'TB to be sent to client'!B57)</f>
        <v>3996</v>
      </c>
      <c r="D57" s="2509">
        <f>+SUMIFS('Additional &amp; Presentation Entry'!$G$10:$G$1048576,'Additional &amp; Presentation Entry'!$F$10:$F$1048576,'TB to be sent to client'!B57)</f>
        <v>-6852</v>
      </c>
      <c r="E57" s="2509">
        <f t="shared" ca="1" si="0"/>
        <v>-2856</v>
      </c>
      <c r="J57" s="2535" t="e">
        <f ca="1">+_xlfn.XLOOKUP(B57,'TB Grouping'!D:D,'TB Grouping'!D:D)</f>
        <v>#NAME?</v>
      </c>
      <c r="L57" s="1" t="s">
        <v>2258</v>
      </c>
    </row>
    <row r="58" spans="2:12" x14ac:dyDescent="0.3">
      <c r="B58" s="183" t="s">
        <v>3566</v>
      </c>
      <c r="C58" s="2509">
        <f ca="1">+SUMIFS('TB Grouping'!F:F,'TB Grouping'!D:D,'TB to be sent to client'!B58)</f>
        <v>0</v>
      </c>
      <c r="D58" s="2509">
        <f>+SUMIFS('Additional &amp; Presentation Entry'!$G$10:$G$1048576,'Additional &amp; Presentation Entry'!$F$10:$F$1048576,'TB to be sent to client'!B58)</f>
        <v>-28</v>
      </c>
      <c r="E58" s="2509">
        <f t="shared" ca="1" si="0"/>
        <v>-28</v>
      </c>
      <c r="J58" s="2535" t="e">
        <f ca="1">+_xlfn.XLOOKUP(B58,'TB Grouping'!D:D,'TB Grouping'!D:D)</f>
        <v>#NAME?</v>
      </c>
      <c r="L58" s="1" t="s">
        <v>3566</v>
      </c>
    </row>
    <row r="59" spans="2:12" x14ac:dyDescent="0.3">
      <c r="B59" s="183" t="s">
        <v>3577</v>
      </c>
      <c r="C59" s="2509">
        <f ca="1">+SUMIFS('TB Grouping'!F:F,'TB Grouping'!D:D,'TB to be sent to client'!B59)</f>
        <v>0</v>
      </c>
      <c r="D59" s="2509">
        <f>+SUMIFS('Additional &amp; Presentation Entry'!$G$10:$G$1048576,'Additional &amp; Presentation Entry'!$F$10:$F$1048576,'TB to be sent to client'!B59)</f>
        <v>0</v>
      </c>
      <c r="E59" s="2509">
        <f t="shared" ca="1" si="0"/>
        <v>0</v>
      </c>
      <c r="J59" s="2535" t="e">
        <f ca="1">+_xlfn.XLOOKUP(B59,'TB Grouping'!D:D,'TB Grouping'!D:D)</f>
        <v>#NAME?</v>
      </c>
      <c r="L59" s="1" t="s">
        <v>3577</v>
      </c>
    </row>
    <row r="60" spans="2:12" x14ac:dyDescent="0.3">
      <c r="B60" s="183" t="s">
        <v>3578</v>
      </c>
      <c r="C60" s="2509">
        <f ca="1">+SUMIFS('TB Grouping'!F:F,'TB Grouping'!D:D,'TB to be sent to client'!B60)</f>
        <v>0</v>
      </c>
      <c r="D60" s="2509">
        <f>+SUMIFS('Additional &amp; Presentation Entry'!$G$10:$G$1048576,'Additional &amp; Presentation Entry'!$F$10:$F$1048576,'TB to be sent to client'!B60)</f>
        <v>0</v>
      </c>
      <c r="E60" s="2509">
        <f t="shared" ca="1" si="0"/>
        <v>0</v>
      </c>
      <c r="J60" s="2535" t="e">
        <f ca="1">+_xlfn.XLOOKUP(B60,'TB Grouping'!D:D,'TB Grouping'!D:D)</f>
        <v>#NAME?</v>
      </c>
      <c r="L60" s="1" t="s">
        <v>3578</v>
      </c>
    </row>
    <row r="61" spans="2:12" x14ac:dyDescent="0.3">
      <c r="B61" s="183" t="s">
        <v>2262</v>
      </c>
      <c r="C61" s="2509">
        <f ca="1">+SUMIFS('TB Grouping'!F:F,'TB Grouping'!D:D,'TB to be sent to client'!B61)</f>
        <v>1064000</v>
      </c>
      <c r="D61" s="2509">
        <f>+SUMIFS('Additional &amp; Presentation Entry'!$G$10:$G$1048576,'Additional &amp; Presentation Entry'!$F$10:$F$1048576,'TB to be sent to client'!B61)</f>
        <v>0</v>
      </c>
      <c r="E61" s="2509">
        <f t="shared" ca="1" si="0"/>
        <v>1064000</v>
      </c>
      <c r="J61" s="2535" t="e">
        <f ca="1">+_xlfn.XLOOKUP(B61,'TB Grouping'!D:D,'TB Grouping'!D:D)</f>
        <v>#NAME?</v>
      </c>
      <c r="L61" s="1" t="s">
        <v>2262</v>
      </c>
    </row>
    <row r="62" spans="2:12" x14ac:dyDescent="0.3">
      <c r="B62" s="183" t="s">
        <v>3579</v>
      </c>
      <c r="C62" s="2509">
        <f ca="1">+SUMIFS('TB Grouping'!F:F,'TB Grouping'!D:D,'TB to be sent to client'!B62)</f>
        <v>0</v>
      </c>
      <c r="D62" s="2509">
        <f>+SUMIFS('Additional &amp; Presentation Entry'!$G$10:$G$1048576,'Additional &amp; Presentation Entry'!$F$10:$F$1048576,'TB to be sent to client'!B62)</f>
        <v>0</v>
      </c>
      <c r="E62" s="2509">
        <f t="shared" ca="1" si="0"/>
        <v>0</v>
      </c>
      <c r="J62" s="2535" t="e">
        <f ca="1">+_xlfn.XLOOKUP(B62,'TB Grouping'!D:D,'TB Grouping'!D:D)</f>
        <v>#NAME?</v>
      </c>
      <c r="L62" s="1" t="s">
        <v>3579</v>
      </c>
    </row>
    <row r="63" spans="2:12" x14ac:dyDescent="0.3">
      <c r="B63" s="183" t="s">
        <v>2264</v>
      </c>
      <c r="C63" s="2509">
        <f ca="1">+SUMIFS('TB Grouping'!F:F,'TB Grouping'!D:D,'TB to be sent to client'!B63)</f>
        <v>89083</v>
      </c>
      <c r="D63" s="2509">
        <f>+SUMIFS('Additional &amp; Presentation Entry'!$G$10:$G$1048576,'Additional &amp; Presentation Entry'!$F$10:$F$1048576,'TB to be sent to client'!B63)</f>
        <v>-2871.6400000000003</v>
      </c>
      <c r="E63" s="2509">
        <f t="shared" ca="1" si="0"/>
        <v>86211.36</v>
      </c>
      <c r="J63" s="2535" t="e">
        <f ca="1">+_xlfn.XLOOKUP(B63,'TB Grouping'!D:D,'TB Grouping'!D:D)</f>
        <v>#NAME?</v>
      </c>
      <c r="L63" s="1" t="s">
        <v>2264</v>
      </c>
    </row>
    <row r="64" spans="2:12" x14ac:dyDescent="0.3">
      <c r="B64" s="183" t="s">
        <v>3057</v>
      </c>
      <c r="C64" s="2509">
        <f ca="1">+SUMIFS('TB Grouping'!F:F,'TB Grouping'!D:D,'TB to be sent to client'!B64)</f>
        <v>0</v>
      </c>
      <c r="D64" s="2509">
        <f>+SUMIFS('Additional &amp; Presentation Entry'!$G$10:$G$1048576,'Additional &amp; Presentation Entry'!$F$10:$F$1048576,'TB to be sent to client'!B64)</f>
        <v>0</v>
      </c>
      <c r="E64" s="2509">
        <f t="shared" ca="1" si="0"/>
        <v>0</v>
      </c>
      <c r="J64" s="2535" t="e">
        <f ca="1">+_xlfn.XLOOKUP(B64,'TB Grouping'!D:D,'TB Grouping'!D:D)</f>
        <v>#NAME?</v>
      </c>
      <c r="L64" s="1" t="s">
        <v>3057</v>
      </c>
    </row>
    <row r="65" spans="2:12" x14ac:dyDescent="0.3">
      <c r="B65" s="183" t="s">
        <v>2265</v>
      </c>
      <c r="C65" s="2509">
        <f ca="1">+SUMIFS('TB Grouping'!F:F,'TB Grouping'!D:D,'TB to be sent to client'!B65)</f>
        <v>0</v>
      </c>
      <c r="D65" s="2509">
        <f>+SUMIFS('Additional &amp; Presentation Entry'!$G$10:$G$1048576,'Additional &amp; Presentation Entry'!$F$10:$F$1048576,'TB to be sent to client'!B65)</f>
        <v>0</v>
      </c>
      <c r="E65" s="2509">
        <f t="shared" ca="1" si="0"/>
        <v>0</v>
      </c>
      <c r="J65" s="2535" t="e">
        <f ca="1">+_xlfn.XLOOKUP(B65,'TB Grouping'!D:D,'TB Grouping'!D:D)</f>
        <v>#NAME?</v>
      </c>
      <c r="L65" s="1" t="s">
        <v>2265</v>
      </c>
    </row>
    <row r="66" spans="2:12" x14ac:dyDescent="0.3">
      <c r="B66" s="183" t="s">
        <v>3058</v>
      </c>
      <c r="C66" s="2509">
        <f ca="1">+SUMIFS('TB Grouping'!F:F,'TB Grouping'!D:D,'TB to be sent to client'!B66)</f>
        <v>-19306.740000000002</v>
      </c>
      <c r="D66" s="2509">
        <f>+SUMIFS('Additional &amp; Presentation Entry'!$G$10:$G$1048576,'Additional &amp; Presentation Entry'!$F$10:$F$1048576,'TB to be sent to client'!B66)</f>
        <v>0</v>
      </c>
      <c r="E66" s="2509">
        <f t="shared" ca="1" si="0"/>
        <v>-19306.740000000002</v>
      </c>
      <c r="J66" s="2535" t="e">
        <f ca="1">+_xlfn.XLOOKUP(B66,'TB Grouping'!D:D,'TB Grouping'!D:D)</f>
        <v>#NAME?</v>
      </c>
      <c r="L66" s="1" t="s">
        <v>3058</v>
      </c>
    </row>
    <row r="67" spans="2:12" x14ac:dyDescent="0.3">
      <c r="B67" s="183" t="s">
        <v>2285</v>
      </c>
      <c r="C67" s="2509">
        <f ca="1">+SUMIFS('TB Grouping'!F:F,'TB Grouping'!D:D,'TB to be sent to client'!B67)</f>
        <v>0</v>
      </c>
      <c r="D67" s="2509">
        <f>+SUMIFS('Additional &amp; Presentation Entry'!$G$10:$G$1048576,'Additional &amp; Presentation Entry'!$F$10:$F$1048576,'TB to be sent to client'!B67)</f>
        <v>-430</v>
      </c>
      <c r="E67" s="2509">
        <f t="shared" ca="1" si="0"/>
        <v>-430</v>
      </c>
      <c r="J67" s="2535" t="e">
        <f ca="1">+_xlfn.XLOOKUP(B67,'TB Grouping'!D:D,'TB Grouping'!D:D)</f>
        <v>#NAME?</v>
      </c>
      <c r="L67" s="1" t="s">
        <v>2285</v>
      </c>
    </row>
    <row r="68" spans="2:12" x14ac:dyDescent="0.3">
      <c r="B68" s="183" t="s">
        <v>3060</v>
      </c>
      <c r="C68" s="2509">
        <f ca="1">+SUMIFS('TB Grouping'!F:F,'TB Grouping'!D:D,'TB to be sent to client'!B68)</f>
        <v>0</v>
      </c>
      <c r="D68" s="2509">
        <f>+SUMIFS('Additional &amp; Presentation Entry'!$G$10:$G$1048576,'Additional &amp; Presentation Entry'!$F$10:$F$1048576,'TB to be sent to client'!B68)</f>
        <v>704449.22</v>
      </c>
      <c r="E68" s="2509">
        <f t="shared" ca="1" si="0"/>
        <v>704449.22</v>
      </c>
      <c r="J68" s="2535" t="e">
        <f ca="1">+_xlfn.XLOOKUP(B68,'TB Grouping'!D:D,'TB Grouping'!D:D)</f>
        <v>#NAME?</v>
      </c>
      <c r="L68" s="1" t="s">
        <v>3060</v>
      </c>
    </row>
    <row r="69" spans="2:12" x14ac:dyDescent="0.3">
      <c r="B69" s="183" t="s">
        <v>3061</v>
      </c>
      <c r="C69" s="2509">
        <f ca="1">+SUMIFS('TB Grouping'!F:F,'TB Grouping'!D:D,'TB to be sent to client'!B69)</f>
        <v>83724.009999999995</v>
      </c>
      <c r="D69" s="2509">
        <f>+SUMIFS('Additional &amp; Presentation Entry'!$G$10:$G$1048576,'Additional &amp; Presentation Entry'!$F$10:$F$1048576,'TB to be sent to client'!B69)</f>
        <v>-13719.23</v>
      </c>
      <c r="E69" s="2509">
        <f t="shared" ca="1" si="0"/>
        <v>70004.78</v>
      </c>
      <c r="J69" s="2535" t="e">
        <f ca="1">+_xlfn.XLOOKUP(B69,'TB Grouping'!D:D,'TB Grouping'!D:D)</f>
        <v>#NAME?</v>
      </c>
      <c r="L69" s="1" t="s">
        <v>3061</v>
      </c>
    </row>
    <row r="70" spans="2:12" x14ac:dyDescent="0.3">
      <c r="B70" s="183" t="s">
        <v>2290</v>
      </c>
      <c r="C70" s="2509">
        <f ca="1">+SUMIFS('TB Grouping'!F:F,'TB Grouping'!D:D,'TB to be sent to client'!B70)</f>
        <v>3557</v>
      </c>
      <c r="D70" s="2509">
        <f>+SUMIFS('Additional &amp; Presentation Entry'!$G$10:$G$1048576,'Additional &amp; Presentation Entry'!$F$10:$F$1048576,'TB to be sent to client'!B70)</f>
        <v>0</v>
      </c>
      <c r="E70" s="2509">
        <f t="shared" ca="1" si="0"/>
        <v>3557</v>
      </c>
      <c r="J70" s="2535" t="e">
        <f ca="1">+_xlfn.XLOOKUP(B70,'TB Grouping'!D:D,'TB Grouping'!D:D)</f>
        <v>#NAME?</v>
      </c>
      <c r="L70" s="1" t="s">
        <v>2290</v>
      </c>
    </row>
    <row r="71" spans="2:12" x14ac:dyDescent="0.3">
      <c r="B71" s="183" t="s">
        <v>3059</v>
      </c>
      <c r="C71" s="2509">
        <f ca="1">+SUMIFS('TB Grouping'!F:F,'TB Grouping'!D:D,'TB to be sent to client'!B71)</f>
        <v>0</v>
      </c>
      <c r="D71" s="2509">
        <f>+SUMIFS('Additional &amp; Presentation Entry'!$G$10:$G$1048576,'Additional &amp; Presentation Entry'!$F$10:$F$1048576,'TB to be sent to client'!B71)</f>
        <v>0</v>
      </c>
      <c r="E71" s="2509">
        <f t="shared" ca="1" si="0"/>
        <v>0</v>
      </c>
      <c r="J71" s="2535" t="e">
        <f ca="1">+_xlfn.XLOOKUP(B71,'TB Grouping'!D:D,'TB Grouping'!D:D)</f>
        <v>#NAME?</v>
      </c>
      <c r="L71" s="1" t="s">
        <v>3059</v>
      </c>
    </row>
    <row r="72" spans="2:12" x14ac:dyDescent="0.3">
      <c r="B72" s="183" t="s">
        <v>2291</v>
      </c>
      <c r="C72" s="2509">
        <f ca="1">+SUMIFS('TB Grouping'!F:F,'TB Grouping'!D:D,'TB to be sent to client'!B72)</f>
        <v>-15000000</v>
      </c>
      <c r="D72" s="2509">
        <f>+SUMIFS('Additional &amp; Presentation Entry'!$G$10:$G$1048576,'Additional &amp; Presentation Entry'!$F$10:$F$1048576,'TB to be sent to client'!B72)</f>
        <v>0</v>
      </c>
      <c r="E72" s="2509">
        <f t="shared" ca="1" si="0"/>
        <v>-15000000</v>
      </c>
      <c r="J72" s="2535" t="e">
        <f ca="1">+_xlfn.XLOOKUP(B72,'TB Grouping'!D:D,'TB Grouping'!D:D)</f>
        <v>#NAME?</v>
      </c>
      <c r="L72" s="1" t="s">
        <v>2291</v>
      </c>
    </row>
    <row r="73" spans="2:12" x14ac:dyDescent="0.3">
      <c r="B73" s="183" t="s">
        <v>2293</v>
      </c>
      <c r="C73" s="2509">
        <f ca="1">+SUMIFS('TB Grouping'!F:F,'TB Grouping'!D:D,'TB to be sent to client'!B73)</f>
        <v>0</v>
      </c>
      <c r="D73" s="2509">
        <f>+SUMIFS('Additional &amp; Presentation Entry'!$G$10:$G$1048576,'Additional &amp; Presentation Entry'!$F$10:$F$1048576,'TB to be sent to client'!B73)</f>
        <v>0</v>
      </c>
      <c r="E73" s="2509">
        <f t="shared" ref="E73:E136" ca="1" si="1">+C73+D73</f>
        <v>0</v>
      </c>
      <c r="J73" s="2535" t="e">
        <f ca="1">+_xlfn.XLOOKUP(B73,'TB Grouping'!D:D,'TB Grouping'!D:D)</f>
        <v>#NAME?</v>
      </c>
      <c r="L73" s="1" t="s">
        <v>2293</v>
      </c>
    </row>
    <row r="74" spans="2:12" x14ac:dyDescent="0.3">
      <c r="B74" s="183" t="s">
        <v>2295</v>
      </c>
      <c r="C74" s="2509">
        <f ca="1">+SUMIFS('TB Grouping'!F:F,'TB Grouping'!D:D,'TB to be sent to client'!B74)</f>
        <v>0</v>
      </c>
      <c r="D74" s="2509">
        <f>+SUMIFS('Additional &amp; Presentation Entry'!$G$10:$G$1048576,'Additional &amp; Presentation Entry'!$F$10:$F$1048576,'TB to be sent to client'!B74)</f>
        <v>0</v>
      </c>
      <c r="E74" s="2509">
        <f t="shared" ca="1" si="1"/>
        <v>0</v>
      </c>
      <c r="J74" s="2535" t="e">
        <f ca="1">+_xlfn.XLOOKUP(B74,'TB Grouping'!D:D,'TB Grouping'!D:D)</f>
        <v>#NAME?</v>
      </c>
      <c r="L74" s="1" t="s">
        <v>2295</v>
      </c>
    </row>
    <row r="75" spans="2:12" x14ac:dyDescent="0.3">
      <c r="B75" s="183" t="s">
        <v>2301</v>
      </c>
      <c r="C75" s="2509">
        <f ca="1">+SUMIFS('TB Grouping'!F:F,'TB Grouping'!D:D,'TB to be sent to client'!B75)</f>
        <v>-42592703.700000003</v>
      </c>
      <c r="D75" s="2509">
        <f>+SUMIFS('Additional &amp; Presentation Entry'!$G$10:$G$1048576,'Additional &amp; Presentation Entry'!$F$10:$F$1048576,'TB to be sent to client'!B75)</f>
        <v>0</v>
      </c>
      <c r="E75" s="2509">
        <f t="shared" ca="1" si="1"/>
        <v>-42592703.700000003</v>
      </c>
      <c r="J75" s="2535" t="e">
        <f ca="1">+_xlfn.XLOOKUP(B75,'TB Grouping'!D:D,'TB Grouping'!D:D)</f>
        <v>#NAME?</v>
      </c>
      <c r="L75" s="1" t="s">
        <v>2301</v>
      </c>
    </row>
    <row r="76" spans="2:12" x14ac:dyDescent="0.3">
      <c r="B76" s="183" t="s">
        <v>2303</v>
      </c>
      <c r="C76" s="2509">
        <f ca="1">+SUMIFS('TB Grouping'!F:F,'TB Grouping'!D:D,'TB to be sent to client'!B76)</f>
        <v>-840206.36</v>
      </c>
      <c r="D76" s="2509">
        <f>+SUMIFS('Additional &amp; Presentation Entry'!$G$10:$G$1048576,'Additional &amp; Presentation Entry'!$F$10:$F$1048576,'TB to be sent to client'!B76)</f>
        <v>586241.13</v>
      </c>
      <c r="E76" s="2509">
        <f t="shared" ca="1" si="1"/>
        <v>-253965.22999999998</v>
      </c>
      <c r="J76" s="2535" t="e">
        <f ca="1">+_xlfn.XLOOKUP(B76,'TB Grouping'!D:D,'TB Grouping'!D:D)</f>
        <v>#NAME?</v>
      </c>
      <c r="L76" s="1" t="s">
        <v>2303</v>
      </c>
    </row>
    <row r="77" spans="2:12" x14ac:dyDescent="0.3">
      <c r="B77" s="183" t="s">
        <v>2304</v>
      </c>
      <c r="C77" s="2509">
        <f ca="1">+SUMIFS('TB Grouping'!F:F,'TB Grouping'!D:D,'TB to be sent to client'!B77)</f>
        <v>-729987.1</v>
      </c>
      <c r="D77" s="2509">
        <f>+SUMIFS('Additional &amp; Presentation Entry'!$G$10:$G$1048576,'Additional &amp; Presentation Entry'!$F$10:$F$1048576,'TB to be sent to client'!B77)</f>
        <v>0</v>
      </c>
      <c r="E77" s="2509">
        <f t="shared" ca="1" si="1"/>
        <v>-729987.1</v>
      </c>
      <c r="J77" s="2535" t="e">
        <f ca="1">+_xlfn.XLOOKUP(B77,'TB Grouping'!D:D,'TB Grouping'!D:D)</f>
        <v>#NAME?</v>
      </c>
      <c r="L77" s="1" t="s">
        <v>2304</v>
      </c>
    </row>
    <row r="78" spans="2:12" x14ac:dyDescent="0.3">
      <c r="B78" s="183" t="s">
        <v>2305</v>
      </c>
      <c r="C78" s="2509">
        <f ca="1">+SUMIFS('TB Grouping'!F:F,'TB Grouping'!D:D,'TB to be sent to client'!B78)</f>
        <v>-4288002.32</v>
      </c>
      <c r="D78" s="2509">
        <f>+SUMIFS('Additional &amp; Presentation Entry'!$G$10:$G$1048576,'Additional &amp; Presentation Entry'!$F$10:$F$1048576,'TB to be sent to client'!B78)</f>
        <v>274757.32</v>
      </c>
      <c r="E78" s="2509">
        <f t="shared" ca="1" si="1"/>
        <v>-4013245.0000000005</v>
      </c>
      <c r="J78" s="2535" t="e">
        <f ca="1">+_xlfn.XLOOKUP(B78,'TB Grouping'!D:D,'TB Grouping'!D:D)</f>
        <v>#NAME?</v>
      </c>
      <c r="L78" s="1" t="s">
        <v>2305</v>
      </c>
    </row>
    <row r="79" spans="2:12" x14ac:dyDescent="0.3">
      <c r="B79" s="183" t="s">
        <v>2306</v>
      </c>
      <c r="C79" s="2509">
        <f ca="1">+SUMIFS('TB Grouping'!F:F,'TB Grouping'!D:D,'TB to be sent to client'!B79)</f>
        <v>-904622.16</v>
      </c>
      <c r="D79" s="2509">
        <f>+SUMIFS('Additional &amp; Presentation Entry'!$G$10:$G$1048576,'Additional &amp; Presentation Entry'!$F$10:$F$1048576,'TB to be sent to client'!B79)</f>
        <v>0</v>
      </c>
      <c r="E79" s="2509">
        <f t="shared" ca="1" si="1"/>
        <v>-904622.16</v>
      </c>
      <c r="J79" s="2535" t="e">
        <f ca="1">+_xlfn.XLOOKUP(B79,'TB Grouping'!D:D,'TB Grouping'!D:D)</f>
        <v>#NAME?</v>
      </c>
      <c r="L79" s="1" t="s">
        <v>2306</v>
      </c>
    </row>
    <row r="80" spans="2:12" x14ac:dyDescent="0.3">
      <c r="B80" s="183" t="s">
        <v>2317</v>
      </c>
      <c r="C80" s="2509">
        <f ca="1">+SUMIFS('TB Grouping'!F:F,'TB Grouping'!D:D,'TB to be sent to client'!B80)</f>
        <v>214.7</v>
      </c>
      <c r="D80" s="2509">
        <f>+SUMIFS('Additional &amp; Presentation Entry'!$G$10:$G$1048576,'Additional &amp; Presentation Entry'!$F$10:$F$1048576,'TB to be sent to client'!B80)</f>
        <v>0</v>
      </c>
      <c r="E80" s="2509">
        <f t="shared" ca="1" si="1"/>
        <v>214.7</v>
      </c>
      <c r="J80" s="2535" t="e">
        <f ca="1">+_xlfn.XLOOKUP(B80,'TB Grouping'!D:D,'TB Grouping'!D:D)</f>
        <v>#NAME?</v>
      </c>
      <c r="L80" s="1" t="s">
        <v>2317</v>
      </c>
    </row>
    <row r="81" spans="2:12" x14ac:dyDescent="0.3">
      <c r="B81" s="183" t="s">
        <v>2312</v>
      </c>
      <c r="C81" s="2509">
        <f ca="1">+SUMIFS('TB Grouping'!F:F,'TB Grouping'!D:D,'TB to be sent to client'!B81)</f>
        <v>122267474</v>
      </c>
      <c r="D81" s="2509">
        <f>+SUMIFS('Additional &amp; Presentation Entry'!$G$10:$G$1048576,'Additional &amp; Presentation Entry'!$F$10:$F$1048576,'TB to be sent to client'!B81)</f>
        <v>4774373</v>
      </c>
      <c r="E81" s="2509">
        <f t="shared" ca="1" si="1"/>
        <v>127041847</v>
      </c>
      <c r="J81" s="2535" t="e">
        <f ca="1">+_xlfn.XLOOKUP(B81,'TB Grouping'!D:D,'TB Grouping'!D:D)</f>
        <v>#NAME?</v>
      </c>
      <c r="L81" s="1" t="s">
        <v>2312</v>
      </c>
    </row>
    <row r="82" spans="2:12" x14ac:dyDescent="0.3">
      <c r="B82" s="183" t="s">
        <v>2320</v>
      </c>
      <c r="C82" s="2509">
        <f ca="1">+SUMIFS('TB Grouping'!F:F,'TB Grouping'!D:D,'TB to be sent to client'!B82)</f>
        <v>0</v>
      </c>
      <c r="D82" s="2509">
        <f>+SUMIFS('Additional &amp; Presentation Entry'!$G$10:$G$1048576,'Additional &amp; Presentation Entry'!$F$10:$F$1048576,'TB to be sent to client'!B82)</f>
        <v>0</v>
      </c>
      <c r="E82" s="2509">
        <f t="shared" ca="1" si="1"/>
        <v>0</v>
      </c>
      <c r="J82" s="2535" t="e">
        <f ca="1">+_xlfn.XLOOKUP(B82,'TB Grouping'!D:D,'TB Grouping'!D:D)</f>
        <v>#NAME?</v>
      </c>
      <c r="L82" s="1" t="s">
        <v>2320</v>
      </c>
    </row>
    <row r="83" spans="2:12" x14ac:dyDescent="0.3">
      <c r="B83" s="183" t="s">
        <v>2321</v>
      </c>
      <c r="C83" s="2509">
        <f ca="1">+SUMIFS('TB Grouping'!F:F,'TB Grouping'!D:D,'TB to be sent to client'!B83)</f>
        <v>0</v>
      </c>
      <c r="D83" s="2509">
        <f>+SUMIFS('Additional &amp; Presentation Entry'!$G$10:$G$1048576,'Additional &amp; Presentation Entry'!$F$10:$F$1048576,'TB to be sent to client'!B83)</f>
        <v>0</v>
      </c>
      <c r="E83" s="2509">
        <f t="shared" ca="1" si="1"/>
        <v>0</v>
      </c>
      <c r="J83" s="2535" t="e">
        <f ca="1">+_xlfn.XLOOKUP(B83,'TB Grouping'!D:D,'TB Grouping'!D:D)</f>
        <v>#NAME?</v>
      </c>
      <c r="L83" s="1" t="e">
        <v>#N/A</v>
      </c>
    </row>
    <row r="84" spans="2:12" x14ac:dyDescent="0.3">
      <c r="B84" s="183" t="s">
        <v>2316</v>
      </c>
      <c r="C84" s="2509">
        <f ca="1">+SUMIFS('TB Grouping'!F:F,'TB Grouping'!D:D,'TB to be sent to client'!B84)</f>
        <v>0</v>
      </c>
      <c r="D84" s="2509">
        <f>+SUMIFS('Additional &amp; Presentation Entry'!$G$10:$G$1048576,'Additional &amp; Presentation Entry'!$F$10:$F$1048576,'TB to be sent to client'!B84)</f>
        <v>0</v>
      </c>
      <c r="E84" s="2509">
        <f t="shared" ca="1" si="1"/>
        <v>0</v>
      </c>
      <c r="J84" s="2535" t="e">
        <f ca="1">+_xlfn.XLOOKUP(B84,'TB Grouping'!D:D,'TB Grouping'!D:D)</f>
        <v>#NAME?</v>
      </c>
      <c r="L84" s="1" t="s">
        <v>2316</v>
      </c>
    </row>
    <row r="85" spans="2:12" x14ac:dyDescent="0.3">
      <c r="B85" s="183" t="s">
        <v>2322</v>
      </c>
      <c r="C85" s="2509">
        <f ca="1">+SUMIFS('TB Grouping'!F:F,'TB Grouping'!D:D,'TB to be sent to client'!B85)</f>
        <v>837702.8</v>
      </c>
      <c r="D85" s="2509">
        <f>+SUMIFS('Additional &amp; Presentation Entry'!$G$10:$G$1048576,'Additional &amp; Presentation Entry'!$F$10:$F$1048576,'TB to be sent to client'!B85)</f>
        <v>586061.87943400245</v>
      </c>
      <c r="E85" s="2509">
        <f t="shared" ca="1" si="1"/>
        <v>1423764.6794340024</v>
      </c>
      <c r="J85" s="2535" t="e">
        <f ca="1">+_xlfn.XLOOKUP(B85,'TB Grouping'!D:D,'TB Grouping'!D:D)</f>
        <v>#NAME?</v>
      </c>
      <c r="L85" s="1" t="s">
        <v>2322</v>
      </c>
    </row>
    <row r="86" spans="2:12" x14ac:dyDescent="0.3">
      <c r="B86" s="183" t="s">
        <v>3062</v>
      </c>
      <c r="C86" s="2509">
        <f ca="1">+SUMIFS('TB Grouping'!F:F,'TB Grouping'!D:D,'TB to be sent to client'!B86)</f>
        <v>48579.1</v>
      </c>
      <c r="D86" s="2509">
        <f>+SUMIFS('Additional &amp; Presentation Entry'!$G$10:$G$1048576,'Additional &amp; Presentation Entry'!$F$10:$F$1048576,'TB to be sent to client'!B86)</f>
        <v>-669</v>
      </c>
      <c r="E86" s="2509">
        <f t="shared" ca="1" si="1"/>
        <v>47910.1</v>
      </c>
      <c r="J86" s="2535" t="e">
        <f ca="1">+_xlfn.XLOOKUP(B86,'TB Grouping'!D:D,'TB Grouping'!D:D)</f>
        <v>#NAME?</v>
      </c>
      <c r="L86" s="1" t="s">
        <v>3062</v>
      </c>
    </row>
    <row r="87" spans="2:12" x14ac:dyDescent="0.3">
      <c r="B87" s="183" t="s">
        <v>2324</v>
      </c>
      <c r="C87" s="2509">
        <f ca="1">+SUMIFS('TB Grouping'!F:F,'TB Grouping'!D:D,'TB to be sent to client'!B87)</f>
        <v>5197.1499999999996</v>
      </c>
      <c r="D87" s="2509">
        <f>+SUMIFS('Additional &amp; Presentation Entry'!$G$10:$G$1048576,'Additional &amp; Presentation Entry'!$F$10:$F$1048576,'TB to be sent to client'!B87)</f>
        <v>0</v>
      </c>
      <c r="E87" s="2509">
        <f t="shared" ca="1" si="1"/>
        <v>5197.1499999999996</v>
      </c>
      <c r="J87" s="2535" t="e">
        <f ca="1">+_xlfn.XLOOKUP(B87,'TB Grouping'!D:D,'TB Grouping'!D:D)</f>
        <v>#NAME?</v>
      </c>
      <c r="L87" s="1" t="s">
        <v>2324</v>
      </c>
    </row>
    <row r="88" spans="2:12" x14ac:dyDescent="0.3">
      <c r="B88" s="183" t="s">
        <v>2325</v>
      </c>
      <c r="C88" s="2509">
        <f ca="1">+SUMIFS('TB Grouping'!F:F,'TB Grouping'!D:D,'TB to be sent to client'!B88)</f>
        <v>63969.49</v>
      </c>
      <c r="D88" s="2509">
        <f>+SUMIFS('Additional &amp; Presentation Entry'!$G$10:$G$1048576,'Additional &amp; Presentation Entry'!$F$10:$F$1048576,'TB to be sent to client'!B88)</f>
        <v>0</v>
      </c>
      <c r="E88" s="2509">
        <f t="shared" ca="1" si="1"/>
        <v>63969.49</v>
      </c>
      <c r="J88" s="2535" t="e">
        <f ca="1">+_xlfn.XLOOKUP(B88,'TB Grouping'!D:D,'TB Grouping'!D:D)</f>
        <v>#NAME?</v>
      </c>
      <c r="L88" s="1" t="s">
        <v>2325</v>
      </c>
    </row>
    <row r="89" spans="2:12" x14ac:dyDescent="0.3">
      <c r="B89" s="183" t="s">
        <v>2358</v>
      </c>
      <c r="C89" s="2509">
        <f ca="1">+SUMIFS('TB Grouping'!F:F,'TB Grouping'!D:D,'TB to be sent to client'!B89)</f>
        <v>0</v>
      </c>
      <c r="D89" s="2509">
        <f>+SUMIFS('Additional &amp; Presentation Entry'!$G$10:$G$1048576,'Additional &amp; Presentation Entry'!$F$10:$F$1048576,'TB to be sent to client'!B89)</f>
        <v>0</v>
      </c>
      <c r="E89" s="2509">
        <f t="shared" ca="1" si="1"/>
        <v>0</v>
      </c>
      <c r="J89" s="2535" t="e">
        <f ca="1">+_xlfn.XLOOKUP(B89,'TB Grouping'!D:D,'TB Grouping'!D:D)</f>
        <v>#NAME?</v>
      </c>
      <c r="L89" s="1" t="s">
        <v>2358</v>
      </c>
    </row>
    <row r="90" spans="2:12" x14ac:dyDescent="0.3">
      <c r="B90" s="183" t="s">
        <v>3065</v>
      </c>
      <c r="C90" s="2509">
        <f ca="1">+SUMIFS('TB Grouping'!F:F,'TB Grouping'!D:D,'TB to be sent to client'!B90)</f>
        <v>0</v>
      </c>
      <c r="D90" s="2509">
        <f>+SUMIFS('Additional &amp; Presentation Entry'!$G$10:$G$1048576,'Additional &amp; Presentation Entry'!$F$10:$F$1048576,'TB to be sent to client'!B90)</f>
        <v>0</v>
      </c>
      <c r="E90" s="2509">
        <f t="shared" ca="1" si="1"/>
        <v>0</v>
      </c>
      <c r="J90" s="2535" t="e">
        <f ca="1">+_xlfn.XLOOKUP(B90,'TB Grouping'!D:D,'TB Grouping'!D:D)</f>
        <v>#NAME?</v>
      </c>
      <c r="L90" s="1" t="s">
        <v>3065</v>
      </c>
    </row>
    <row r="91" spans="2:12" x14ac:dyDescent="0.3">
      <c r="B91" s="183" t="s">
        <v>2360</v>
      </c>
      <c r="C91" s="2509">
        <f ca="1">+SUMIFS('TB Grouping'!F:F,'TB Grouping'!D:D,'TB to be sent to client'!B91)</f>
        <v>0</v>
      </c>
      <c r="D91" s="2509">
        <f>+SUMIFS('Additional &amp; Presentation Entry'!$G$10:$G$1048576,'Additional &amp; Presentation Entry'!$F$10:$F$1048576,'TB to be sent to client'!B91)</f>
        <v>0</v>
      </c>
      <c r="E91" s="2509">
        <f t="shared" ca="1" si="1"/>
        <v>0</v>
      </c>
      <c r="J91" s="2535" t="e">
        <f ca="1">+_xlfn.XLOOKUP(B91,'TB Grouping'!D:D,'TB Grouping'!D:D)</f>
        <v>#NAME?</v>
      </c>
      <c r="L91" s="1" t="s">
        <v>2360</v>
      </c>
    </row>
    <row r="92" spans="2:12" x14ac:dyDescent="0.3">
      <c r="B92" s="183" t="s">
        <v>2361</v>
      </c>
      <c r="C92" s="2509">
        <f ca="1">+SUMIFS('TB Grouping'!F:F,'TB Grouping'!D:D,'TB to be sent to client'!B92)</f>
        <v>316630</v>
      </c>
      <c r="D92" s="2509">
        <f>+SUMIFS('Additional &amp; Presentation Entry'!$G$10:$G$1048576,'Additional &amp; Presentation Entry'!$F$10:$F$1048576,'TB to be sent to client'!B92)</f>
        <v>316630</v>
      </c>
      <c r="E92" s="2509">
        <f t="shared" ca="1" si="1"/>
        <v>633260</v>
      </c>
      <c r="J92" s="2535" t="e">
        <f ca="1">+_xlfn.XLOOKUP(B92,'TB Grouping'!D:D,'TB Grouping'!D:D)</f>
        <v>#NAME?</v>
      </c>
      <c r="L92" s="1" t="s">
        <v>2361</v>
      </c>
    </row>
    <row r="93" spans="2:12" x14ac:dyDescent="0.3">
      <c r="B93" s="183" t="s">
        <v>2334</v>
      </c>
      <c r="C93" s="2509">
        <f ca="1">+SUMIFS('TB Grouping'!F:F,'TB Grouping'!D:D,'TB to be sent to client'!B93)</f>
        <v>0</v>
      </c>
      <c r="D93" s="2509">
        <f>+SUMIFS('Additional &amp; Presentation Entry'!$G$10:$G$1048576,'Additional &amp; Presentation Entry'!$F$10:$F$1048576,'TB to be sent to client'!B93)</f>
        <v>-1055</v>
      </c>
      <c r="E93" s="2509">
        <f t="shared" ca="1" si="1"/>
        <v>-1055</v>
      </c>
      <c r="J93" s="2535" t="e">
        <f ca="1">+_xlfn.XLOOKUP(B93,'TB Grouping'!D:D,'TB Grouping'!D:D)</f>
        <v>#NAME?</v>
      </c>
      <c r="L93" s="1" t="s">
        <v>2334</v>
      </c>
    </row>
    <row r="94" spans="2:12" x14ac:dyDescent="0.3">
      <c r="B94" s="183" t="s">
        <v>3063</v>
      </c>
      <c r="C94" s="2509">
        <f ca="1">+SUMIFS('TB Grouping'!F:F,'TB Grouping'!D:D,'TB to be sent to client'!B94)</f>
        <v>1187246.79</v>
      </c>
      <c r="D94" s="2509">
        <f>+SUMIFS('Additional &amp; Presentation Entry'!$G$10:$G$1048576,'Additional &amp; Presentation Entry'!$F$10:$F$1048576,'TB to be sent to client'!B94)</f>
        <v>10197.790000000001</v>
      </c>
      <c r="E94" s="2509">
        <f t="shared" ca="1" si="1"/>
        <v>1197444.58</v>
      </c>
      <c r="J94" s="2535" t="e">
        <f ca="1">+_xlfn.XLOOKUP(B94,'TB Grouping'!D:D,'TB Grouping'!D:D)</f>
        <v>#NAME?</v>
      </c>
      <c r="L94" s="1" t="s">
        <v>3063</v>
      </c>
    </row>
    <row r="95" spans="2:12" x14ac:dyDescent="0.3">
      <c r="B95" s="183" t="s">
        <v>2337</v>
      </c>
      <c r="C95" s="2509">
        <f ca="1">+SUMIFS('TB Grouping'!F:F,'TB Grouping'!D:D,'TB to be sent to client'!B95)</f>
        <v>677690</v>
      </c>
      <c r="D95" s="2509">
        <f>+SUMIFS('Additional &amp; Presentation Entry'!$G$10:$G$1048576,'Additional &amp; Presentation Entry'!$F$10:$F$1048576,'TB to be sent to client'!B95)</f>
        <v>677690</v>
      </c>
      <c r="E95" s="2509">
        <f t="shared" ca="1" si="1"/>
        <v>1355380</v>
      </c>
      <c r="J95" s="2535" t="e">
        <f ca="1">+_xlfn.XLOOKUP(B95,'TB Grouping'!D:D,'TB Grouping'!D:D)</f>
        <v>#NAME?</v>
      </c>
      <c r="L95" s="1" t="e">
        <v>#N/A</v>
      </c>
    </row>
    <row r="96" spans="2:12" x14ac:dyDescent="0.3">
      <c r="B96" s="183" t="s">
        <v>2346</v>
      </c>
      <c r="C96" s="2509">
        <f ca="1">+SUMIFS('TB Grouping'!F:F,'TB Grouping'!D:D,'TB to be sent to client'!B96)</f>
        <v>0</v>
      </c>
      <c r="D96" s="2509">
        <f>+SUMIFS('Additional &amp; Presentation Entry'!$G$10:$G$1048576,'Additional &amp; Presentation Entry'!$F$10:$F$1048576,'TB to be sent to client'!B96)</f>
        <v>0</v>
      </c>
      <c r="E96" s="2509">
        <f t="shared" ca="1" si="1"/>
        <v>0</v>
      </c>
      <c r="J96" s="2535" t="e">
        <f ca="1">+_xlfn.XLOOKUP(B96,'TB Grouping'!D:D,'TB Grouping'!D:D)</f>
        <v>#NAME?</v>
      </c>
      <c r="L96" s="1" t="e">
        <v>#N/A</v>
      </c>
    </row>
    <row r="97" spans="2:12" x14ac:dyDescent="0.3">
      <c r="B97" s="183" t="s">
        <v>3064</v>
      </c>
      <c r="C97" s="2509">
        <f ca="1">+SUMIFS('TB Grouping'!F:F,'TB Grouping'!D:D,'TB to be sent to client'!B97)</f>
        <v>-389722.92</v>
      </c>
      <c r="D97" s="2509">
        <f>+SUMIFS('Additional &amp; Presentation Entry'!$G$10:$G$1048576,'Additional &amp; Presentation Entry'!$F$10:$F$1048576,'TB to be sent to client'!B97)</f>
        <v>0</v>
      </c>
      <c r="E97" s="2509">
        <f t="shared" ca="1" si="1"/>
        <v>-389722.92</v>
      </c>
      <c r="J97" s="2535" t="e">
        <f ca="1">+_xlfn.XLOOKUP(B97,'TB Grouping'!D:D,'TB Grouping'!D:D)</f>
        <v>#NAME?</v>
      </c>
      <c r="L97" s="1" t="s">
        <v>3064</v>
      </c>
    </row>
    <row r="98" spans="2:12" x14ac:dyDescent="0.3">
      <c r="B98" s="183" t="s">
        <v>2366</v>
      </c>
      <c r="C98" s="2509">
        <f ca="1">+SUMIFS('TB Grouping'!F:F,'TB Grouping'!D:D,'TB to be sent to client'!B98)</f>
        <v>0</v>
      </c>
      <c r="D98" s="2509">
        <f>+SUMIFS('Additional &amp; Presentation Entry'!$G$10:$G$1048576,'Additional &amp; Presentation Entry'!$F$10:$F$1048576,'TB to be sent to client'!B98)</f>
        <v>0</v>
      </c>
      <c r="E98" s="2509">
        <f t="shared" ca="1" si="1"/>
        <v>0</v>
      </c>
      <c r="J98" s="2535" t="e">
        <f ca="1">+_xlfn.XLOOKUP(B98,'TB Grouping'!D:D,'TB Grouping'!D:D)</f>
        <v>#NAME?</v>
      </c>
      <c r="L98" s="1" t="e">
        <v>#N/A</v>
      </c>
    </row>
    <row r="99" spans="2:12" x14ac:dyDescent="0.3">
      <c r="B99" s="183" t="s">
        <v>2367</v>
      </c>
      <c r="C99" s="2509">
        <f ca="1">+SUMIFS('TB Grouping'!F:F,'TB Grouping'!D:D,'TB to be sent to client'!B99)</f>
        <v>0</v>
      </c>
      <c r="D99" s="2509">
        <f>+SUMIFS('Additional &amp; Presentation Entry'!$G$10:$G$1048576,'Additional &amp; Presentation Entry'!$F$10:$F$1048576,'TB to be sent to client'!B99)</f>
        <v>0</v>
      </c>
      <c r="E99" s="2509">
        <f t="shared" ca="1" si="1"/>
        <v>0</v>
      </c>
      <c r="J99" s="2535" t="e">
        <f ca="1">+_xlfn.XLOOKUP(B99,'TB Grouping'!D:D,'TB Grouping'!D:D)</f>
        <v>#NAME?</v>
      </c>
      <c r="L99" s="1" t="s">
        <v>2367</v>
      </c>
    </row>
    <row r="100" spans="2:12" x14ac:dyDescent="0.3">
      <c r="B100" s="2515" t="s">
        <v>3066</v>
      </c>
      <c r="C100" s="2509">
        <f ca="1">+SUMIFS('TB Grouping'!F:F,'TB Grouping'!D:D,'TB to be sent to client'!B100)</f>
        <v>-677690</v>
      </c>
      <c r="D100" s="2509">
        <f>+SUMIFS('Additional &amp; Presentation Entry'!$G$10:$G$1048576,'Additional &amp; Presentation Entry'!$F$10:$F$1048576,'TB to be sent to client'!B100)</f>
        <v>-675042.99</v>
      </c>
      <c r="E100" s="2509">
        <f t="shared" ca="1" si="1"/>
        <v>-1352732.99</v>
      </c>
      <c r="J100" s="2535" t="e">
        <f ca="1">+_xlfn.XLOOKUP(B100,'TB Grouping'!D:D,'TB Grouping'!D:D)</f>
        <v>#NAME?</v>
      </c>
      <c r="L100" s="1" t="s">
        <v>3066</v>
      </c>
    </row>
    <row r="101" spans="2:12" x14ac:dyDescent="0.3">
      <c r="B101" s="2515" t="s">
        <v>2368</v>
      </c>
      <c r="C101" s="2509">
        <f ca="1">+SUMIFS('TB Grouping'!F:F,'TB Grouping'!D:D,'TB to be sent to client'!B101)</f>
        <v>0</v>
      </c>
      <c r="D101" s="2509">
        <f>+SUMIFS('Additional &amp; Presentation Entry'!$G$10:$G$1048576,'Additional &amp; Presentation Entry'!$F$10:$F$1048576,'TB to be sent to client'!B101)</f>
        <v>39493.25</v>
      </c>
      <c r="E101" s="2509">
        <f t="shared" ca="1" si="1"/>
        <v>39493.25</v>
      </c>
      <c r="J101" s="2535" t="e">
        <f ca="1">+_xlfn.XLOOKUP(B101,'TB Grouping'!D:D,'TB Grouping'!D:D)</f>
        <v>#NAME?</v>
      </c>
      <c r="L101" s="1" t="s">
        <v>2368</v>
      </c>
    </row>
    <row r="102" spans="2:12" x14ac:dyDescent="0.3">
      <c r="B102" s="183" t="s">
        <v>2343</v>
      </c>
      <c r="C102" s="2509">
        <f ca="1">+SUMIFS('TB Grouping'!F:F,'TB Grouping'!D:D,'TB to be sent to client'!B102)</f>
        <v>0</v>
      </c>
      <c r="D102" s="2509">
        <f>+SUMIFS('Additional &amp; Presentation Entry'!$G$10:$G$1048576,'Additional &amp; Presentation Entry'!$F$10:$F$1048576,'TB to be sent to client'!B102)</f>
        <v>0</v>
      </c>
      <c r="E102" s="2509">
        <f t="shared" ca="1" si="1"/>
        <v>0</v>
      </c>
      <c r="J102" s="2535" t="e">
        <f ca="1">+_xlfn.XLOOKUP(B102,'TB Grouping'!D:D,'TB Grouping'!D:D)</f>
        <v>#NAME?</v>
      </c>
      <c r="L102" s="1" t="e">
        <v>#N/A</v>
      </c>
    </row>
    <row r="103" spans="2:12" x14ac:dyDescent="0.3">
      <c r="B103" s="2515" t="s">
        <v>2344</v>
      </c>
      <c r="C103" s="2509">
        <f ca="1">+SUMIFS('TB Grouping'!F:F,'TB Grouping'!D:D,'TB to be sent to client'!B103)</f>
        <v>0</v>
      </c>
      <c r="D103" s="2509">
        <f>+SUMIFS('Additional &amp; Presentation Entry'!$G$10:$G$1048576,'Additional &amp; Presentation Entry'!$F$10:$F$1048576,'TB to be sent to client'!B103)</f>
        <v>-11398</v>
      </c>
      <c r="E103" s="2509">
        <f t="shared" ca="1" si="1"/>
        <v>-11398</v>
      </c>
      <c r="J103" s="2535" t="e">
        <f ca="1">+_xlfn.XLOOKUP(B103,'TB Grouping'!D:D,'TB Grouping'!D:D)</f>
        <v>#NAME?</v>
      </c>
      <c r="L103" s="1" t="s">
        <v>2344</v>
      </c>
    </row>
    <row r="104" spans="2:12" x14ac:dyDescent="0.3">
      <c r="B104" s="183" t="s">
        <v>3580</v>
      </c>
      <c r="C104" s="2509">
        <f ca="1">+SUMIFS('TB Grouping'!F:F,'TB Grouping'!D:D,'TB to be sent to client'!B104)</f>
        <v>0</v>
      </c>
      <c r="D104" s="2509">
        <f>+SUMIFS('Additional &amp; Presentation Entry'!$G$10:$G$1048576,'Additional &amp; Presentation Entry'!$F$10:$F$1048576,'TB to be sent to client'!B104)</f>
        <v>0</v>
      </c>
      <c r="E104" s="2509">
        <f t="shared" ca="1" si="1"/>
        <v>0</v>
      </c>
      <c r="J104" s="2535" t="e">
        <f ca="1">+_xlfn.XLOOKUP(B104,'TB Grouping'!D:D,'TB Grouping'!D:D)</f>
        <v>#NAME?</v>
      </c>
      <c r="L104" s="1" t="s">
        <v>3580</v>
      </c>
    </row>
    <row r="105" spans="2:12" x14ac:dyDescent="0.3">
      <c r="B105" s="183" t="s">
        <v>2382</v>
      </c>
      <c r="C105" s="2509">
        <f ca="1">+SUMIFS('TB Grouping'!F:F,'TB Grouping'!D:D,'TB to be sent to client'!B105)</f>
        <v>0</v>
      </c>
      <c r="D105" s="2509">
        <f>+SUMIFS('Additional &amp; Presentation Entry'!$G$10:$G$1048576,'Additional &amp; Presentation Entry'!$F$10:$F$1048576,'TB to be sent to client'!B105)</f>
        <v>-1980</v>
      </c>
      <c r="E105" s="2509">
        <f t="shared" ca="1" si="1"/>
        <v>-1980</v>
      </c>
      <c r="J105" s="2535" t="e">
        <f ca="1">+_xlfn.XLOOKUP(B105,'TB Grouping'!D:D,'TB Grouping'!D:D)</f>
        <v>#NAME?</v>
      </c>
      <c r="L105" s="1" t="s">
        <v>2382</v>
      </c>
    </row>
    <row r="106" spans="2:12" x14ac:dyDescent="0.3">
      <c r="B106" s="183" t="s">
        <v>2373</v>
      </c>
      <c r="C106" s="2509">
        <f ca="1">+SUMIFS('TB Grouping'!F:F,'TB Grouping'!D:D,'TB to be sent to client'!B106)</f>
        <v>779573</v>
      </c>
      <c r="D106" s="2509">
        <f>+SUMIFS('Additional &amp; Presentation Entry'!$G$10:$G$1048576,'Additional &amp; Presentation Entry'!$F$10:$F$1048576,'TB to be sent to client'!B106)</f>
        <v>0</v>
      </c>
      <c r="E106" s="2509">
        <f t="shared" ca="1" si="1"/>
        <v>779573</v>
      </c>
      <c r="J106" s="2535" t="e">
        <f ca="1">+_xlfn.XLOOKUP(B106,'TB Grouping'!D:D,'TB Grouping'!D:D)</f>
        <v>#NAME?</v>
      </c>
      <c r="L106" s="1" t="s">
        <v>2373</v>
      </c>
    </row>
    <row r="107" spans="2:12" x14ac:dyDescent="0.3">
      <c r="B107" s="183" t="s">
        <v>2379</v>
      </c>
      <c r="C107" s="2509">
        <f ca="1">+SUMIFS('TB Grouping'!F:F,'TB Grouping'!D:D,'TB to be sent to client'!B107)</f>
        <v>0</v>
      </c>
      <c r="D107" s="2509">
        <f>+SUMIFS('Additional &amp; Presentation Entry'!$G$10:$G$1048576,'Additional &amp; Presentation Entry'!$F$10:$F$1048576,'TB to be sent to client'!B107)</f>
        <v>0</v>
      </c>
      <c r="E107" s="2509">
        <f t="shared" ca="1" si="1"/>
        <v>0</v>
      </c>
      <c r="J107" s="2535" t="e">
        <f ca="1">+_xlfn.XLOOKUP(B107,'TB Grouping'!D:D,'TB Grouping'!D:D)</f>
        <v>#NAME?</v>
      </c>
      <c r="L107" s="1" t="e">
        <v>#N/A</v>
      </c>
    </row>
    <row r="108" spans="2:12" x14ac:dyDescent="0.3">
      <c r="B108" s="183" t="s">
        <v>2386</v>
      </c>
      <c r="C108" s="2509">
        <f ca="1">+SUMIFS('TB Grouping'!F:F,'TB Grouping'!D:D,'TB to be sent to client'!B108)</f>
        <v>8180</v>
      </c>
      <c r="D108" s="2509">
        <f>+SUMIFS('Additional &amp; Presentation Entry'!$G$10:$G$1048576,'Additional &amp; Presentation Entry'!$F$10:$F$1048576,'TB to be sent to client'!B108)</f>
        <v>0</v>
      </c>
      <c r="E108" s="2509">
        <f t="shared" ca="1" si="1"/>
        <v>8180</v>
      </c>
      <c r="J108" s="2535" t="e">
        <f ca="1">+_xlfn.XLOOKUP(B108,'TB Grouping'!D:D,'TB Grouping'!D:D)</f>
        <v>#NAME?</v>
      </c>
      <c r="L108" s="1" t="s">
        <v>2386</v>
      </c>
    </row>
    <row r="109" spans="2:12" x14ac:dyDescent="0.3">
      <c r="B109" s="183" t="s">
        <v>3581</v>
      </c>
      <c r="C109" s="2509">
        <f ca="1">+SUMIFS('TB Grouping'!F:F,'TB Grouping'!D:D,'TB to be sent to client'!B109)</f>
        <v>92067.16</v>
      </c>
      <c r="D109" s="2509">
        <f>+SUMIFS('Additional &amp; Presentation Entry'!$G$10:$G$1048576,'Additional &amp; Presentation Entry'!$F$10:$F$1048576,'TB to be sent to client'!B109)</f>
        <v>4510526.8099999996</v>
      </c>
      <c r="E109" s="2509">
        <f t="shared" ca="1" si="1"/>
        <v>4602593.97</v>
      </c>
      <c r="J109" s="2535" t="e">
        <f ca="1">+_xlfn.XLOOKUP(B109,'TB Grouping'!D:D,'TB Grouping'!D:D)</f>
        <v>#NAME?</v>
      </c>
      <c r="L109" s="1" t="s">
        <v>3581</v>
      </c>
    </row>
    <row r="110" spans="2:12" x14ac:dyDescent="0.3">
      <c r="B110" s="2513" t="s">
        <v>2391</v>
      </c>
      <c r="C110" s="2514">
        <f ca="1">+SUMIFS('TB Grouping'!F:F,'TB Grouping'!D:D,'TB to be sent to client'!B110)</f>
        <v>0</v>
      </c>
      <c r="D110" s="2509">
        <f>+SUMIFS('Additional &amp; Presentation Entry'!$G$10:$G$1048576,'Additional &amp; Presentation Entry'!$F$10:$F$1048576,'TB to be sent to client'!B110)</f>
        <v>708.5</v>
      </c>
      <c r="E110" s="2514">
        <f t="shared" ca="1" si="1"/>
        <v>708.5</v>
      </c>
      <c r="J110" s="2535" t="e">
        <f ca="1">+_xlfn.XLOOKUP(B110,'TB Grouping'!D:D,'TB Grouping'!D:D)</f>
        <v>#NAME?</v>
      </c>
      <c r="L110" s="1" t="s">
        <v>2391</v>
      </c>
    </row>
    <row r="111" spans="2:12" x14ac:dyDescent="0.3">
      <c r="B111" s="183" t="s">
        <v>2395</v>
      </c>
      <c r="C111" s="2509">
        <f ca="1">+SUMIFS('TB Grouping'!F:F,'TB Grouping'!D:D,'TB to be sent to client'!B111)</f>
        <v>0</v>
      </c>
      <c r="D111" s="2509">
        <f>+SUMIFS('Additional &amp; Presentation Entry'!$G$10:$G$1048576,'Additional &amp; Presentation Entry'!$F$10:$F$1048576,'TB to be sent to client'!B111)</f>
        <v>0</v>
      </c>
      <c r="E111" s="2509">
        <f t="shared" ca="1" si="1"/>
        <v>0</v>
      </c>
      <c r="J111" s="2535" t="e">
        <f ca="1">+_xlfn.XLOOKUP(B111,'TB Grouping'!D:D,'TB Grouping'!D:D)</f>
        <v>#NAME?</v>
      </c>
      <c r="L111" s="1" t="s">
        <v>2395</v>
      </c>
    </row>
    <row r="112" spans="2:12" x14ac:dyDescent="0.3">
      <c r="B112" s="183" t="s">
        <v>3071</v>
      </c>
      <c r="C112" s="2509">
        <f ca="1">+SUMIFS('TB Grouping'!F:F,'TB Grouping'!D:D,'TB to be sent to client'!B112)</f>
        <v>-453997</v>
      </c>
      <c r="D112" s="2509">
        <f>+SUMIFS('Additional &amp; Presentation Entry'!$G$10:$G$1048576,'Additional &amp; Presentation Entry'!$F$10:$F$1048576,'TB to be sent to client'!B112)</f>
        <v>0</v>
      </c>
      <c r="E112" s="2509">
        <f t="shared" ca="1" si="1"/>
        <v>-453997</v>
      </c>
      <c r="J112" s="2535" t="e">
        <f ca="1">+_xlfn.XLOOKUP(B112,'TB Grouping'!D:D,'TB Grouping'!D:D)</f>
        <v>#NAME?</v>
      </c>
      <c r="L112" s="1" t="s">
        <v>3071</v>
      </c>
    </row>
    <row r="113" spans="2:12" x14ac:dyDescent="0.3">
      <c r="B113" s="183" t="s">
        <v>3072</v>
      </c>
      <c r="C113" s="2509">
        <f ca="1">+SUMIFS('TB Grouping'!F:F,'TB Grouping'!D:D,'TB to be sent to client'!B113)</f>
        <v>453997</v>
      </c>
      <c r="D113" s="2509">
        <f>+SUMIFS('Additional &amp; Presentation Entry'!$G$10:$G$1048576,'Additional &amp; Presentation Entry'!$F$10:$F$1048576,'TB to be sent to client'!B113)</f>
        <v>0</v>
      </c>
      <c r="E113" s="2509">
        <f t="shared" ca="1" si="1"/>
        <v>453997</v>
      </c>
      <c r="J113" s="2535" t="e">
        <f ca="1">+_xlfn.XLOOKUP(B113,'TB Grouping'!D:D,'TB Grouping'!D:D)</f>
        <v>#NAME?</v>
      </c>
      <c r="L113" s="1" t="s">
        <v>3072</v>
      </c>
    </row>
    <row r="114" spans="2:12" x14ac:dyDescent="0.3">
      <c r="B114" s="183" t="s">
        <v>2409</v>
      </c>
      <c r="C114" s="2509">
        <f ca="1">+SUMIFS('TB Grouping'!F:F,'TB Grouping'!D:D,'TB to be sent to client'!B114)</f>
        <v>-1070243.92</v>
      </c>
      <c r="D114" s="2509">
        <f>+SUMIFS('Additional &amp; Presentation Entry'!$G$10:$G$1048576,'Additional &amp; Presentation Entry'!$F$10:$F$1048576,'TB to be sent to client'!B114)</f>
        <v>-734317.72</v>
      </c>
      <c r="E114" s="2509">
        <f t="shared" ca="1" si="1"/>
        <v>-1804561.64</v>
      </c>
      <c r="J114" s="2535" t="e">
        <f ca="1">+_xlfn.XLOOKUP(B114,'TB Grouping'!D:D,'TB Grouping'!D:D)</f>
        <v>#NAME?</v>
      </c>
      <c r="L114" s="1" t="s">
        <v>2409</v>
      </c>
    </row>
    <row r="115" spans="2:12" x14ac:dyDescent="0.3">
      <c r="B115" s="183" t="s">
        <v>3073</v>
      </c>
      <c r="C115" s="2509">
        <f ca="1">+SUMIFS('TB Grouping'!F:F,'TB Grouping'!D:D,'TB to be sent to client'!B115)</f>
        <v>10983510.35</v>
      </c>
      <c r="D115" s="2509">
        <f>+SUMIFS('Additional &amp; Presentation Entry'!$G$10:$G$1048576,'Additional &amp; Presentation Entry'!$F$10:$F$1048576,'TB to be sent to client'!B115)</f>
        <v>0</v>
      </c>
      <c r="E115" s="2509">
        <f t="shared" ca="1" si="1"/>
        <v>10983510.35</v>
      </c>
      <c r="J115" s="2535" t="e">
        <f ca="1">+_xlfn.XLOOKUP(B115,'TB Grouping'!D:D,'TB Grouping'!D:D)</f>
        <v>#NAME?</v>
      </c>
      <c r="L115" s="1" t="s">
        <v>3073</v>
      </c>
    </row>
    <row r="116" spans="2:12" x14ac:dyDescent="0.3">
      <c r="B116" s="183" t="s">
        <v>3074</v>
      </c>
      <c r="C116" s="2509">
        <f ca="1">+SUMIFS('TB Grouping'!F:F,'TB Grouping'!D:D,'TB to be sent to client'!B116)</f>
        <v>0</v>
      </c>
      <c r="D116" s="2509">
        <f>+SUMIFS('Additional &amp; Presentation Entry'!$G$10:$G$1048576,'Additional &amp; Presentation Entry'!$F$10:$F$1048576,'TB to be sent to client'!B116)</f>
        <v>215210</v>
      </c>
      <c r="E116" s="2509">
        <f t="shared" ca="1" si="1"/>
        <v>215210</v>
      </c>
      <c r="J116" s="2535" t="e">
        <f ca="1">+_xlfn.XLOOKUP(B116,'TB Grouping'!D:D,'TB Grouping'!D:D)</f>
        <v>#NAME?</v>
      </c>
      <c r="L116" s="1" t="s">
        <v>3074</v>
      </c>
    </row>
    <row r="117" spans="2:12" x14ac:dyDescent="0.3">
      <c r="B117" s="183" t="s">
        <v>2414</v>
      </c>
      <c r="C117" s="2509">
        <f ca="1">+SUMIFS('TB Grouping'!F:F,'TB Grouping'!D:D,'TB to be sent to client'!B117)</f>
        <v>0</v>
      </c>
      <c r="D117" s="2509">
        <f>+SUMIFS('Additional &amp; Presentation Entry'!$G$10:$G$1048576,'Additional &amp; Presentation Entry'!$F$10:$F$1048576,'TB to be sent to client'!B117)</f>
        <v>0</v>
      </c>
      <c r="E117" s="2509">
        <f t="shared" ca="1" si="1"/>
        <v>0</v>
      </c>
      <c r="J117" s="2535" t="e">
        <f ca="1">+_xlfn.XLOOKUP(B117,'TB Grouping'!D:D,'TB Grouping'!D:D)</f>
        <v>#NAME?</v>
      </c>
      <c r="L117" s="1" t="s">
        <v>2414</v>
      </c>
    </row>
    <row r="118" spans="2:12" x14ac:dyDescent="0.3">
      <c r="B118" s="183" t="s">
        <v>2415</v>
      </c>
      <c r="C118" s="2509">
        <f ca="1">+SUMIFS('TB Grouping'!F:F,'TB Grouping'!D:D,'TB to be sent to client'!B118)</f>
        <v>0</v>
      </c>
      <c r="D118" s="2509">
        <f>+SUMIFS('Additional &amp; Presentation Entry'!$G$10:$G$1048576,'Additional &amp; Presentation Entry'!$F$10:$F$1048576,'TB to be sent to client'!B118)</f>
        <v>0</v>
      </c>
      <c r="E118" s="2509">
        <f t="shared" ca="1" si="1"/>
        <v>0</v>
      </c>
      <c r="J118" s="2535" t="e">
        <f ca="1">+_xlfn.XLOOKUP(B118,'TB Grouping'!D:D,'TB Grouping'!D:D)</f>
        <v>#NAME?</v>
      </c>
      <c r="L118" s="1" t="s">
        <v>2415</v>
      </c>
    </row>
    <row r="119" spans="2:12" x14ac:dyDescent="0.3">
      <c r="B119" s="183" t="s">
        <v>2417</v>
      </c>
      <c r="C119" s="2509">
        <f ca="1">+SUMIFS('TB Grouping'!F:F,'TB Grouping'!D:D,'TB to be sent to client'!B119)</f>
        <v>0</v>
      </c>
      <c r="D119" s="2509">
        <f>+SUMIFS('Additional &amp; Presentation Entry'!$G$10:$G$1048576,'Additional &amp; Presentation Entry'!$F$10:$F$1048576,'TB to be sent to client'!B119)</f>
        <v>0</v>
      </c>
      <c r="E119" s="2509">
        <f t="shared" ca="1" si="1"/>
        <v>0</v>
      </c>
      <c r="J119" s="2535" t="e">
        <f ca="1">+_xlfn.XLOOKUP(B119,'TB Grouping'!D:D,'TB Grouping'!D:D)</f>
        <v>#NAME?</v>
      </c>
      <c r="L119" s="1" t="e">
        <v>#N/A</v>
      </c>
    </row>
    <row r="120" spans="2:12" x14ac:dyDescent="0.3">
      <c r="B120" s="183" t="s">
        <v>2397</v>
      </c>
      <c r="C120" s="2509">
        <f ca="1">+SUMIFS('TB Grouping'!F:F,'TB Grouping'!D:D,'TB to be sent to client'!B120)</f>
        <v>0</v>
      </c>
      <c r="D120" s="2509">
        <f>+SUMIFS('Additional &amp; Presentation Entry'!$G$10:$G$1048576,'Additional &amp; Presentation Entry'!$F$10:$F$1048576,'TB to be sent to client'!B120)</f>
        <v>0</v>
      </c>
      <c r="E120" s="2509">
        <f t="shared" ca="1" si="1"/>
        <v>0</v>
      </c>
      <c r="J120" s="2535" t="e">
        <f ca="1">+_xlfn.XLOOKUP(B120,'TB Grouping'!D:D,'TB Grouping'!D:D)</f>
        <v>#NAME?</v>
      </c>
      <c r="L120" s="1" t="s">
        <v>2397</v>
      </c>
    </row>
    <row r="121" spans="2:12" x14ac:dyDescent="0.3">
      <c r="B121" s="183" t="s">
        <v>234</v>
      </c>
      <c r="C121" s="2509">
        <f ca="1">+SUMIFS('TB Grouping'!F:F,'TB Grouping'!D:D,'TB to be sent to client'!B121)</f>
        <v>0.74</v>
      </c>
      <c r="D121" s="2509">
        <f>+SUMIFS('Additional &amp; Presentation Entry'!$G$10:$G$1048576,'Additional &amp; Presentation Entry'!$F$10:$F$1048576,'TB to be sent to client'!B121)</f>
        <v>0</v>
      </c>
      <c r="E121" s="2509">
        <f t="shared" ca="1" si="1"/>
        <v>0.74</v>
      </c>
      <c r="J121" s="2535" t="e">
        <f ca="1">+_xlfn.XLOOKUP(B121,'TB Grouping'!D:D,'TB Grouping'!D:D)</f>
        <v>#NAME?</v>
      </c>
      <c r="L121" s="1" t="s">
        <v>234</v>
      </c>
    </row>
    <row r="122" spans="2:12" x14ac:dyDescent="0.3">
      <c r="B122" s="183" t="s">
        <v>2418</v>
      </c>
      <c r="C122" s="2509">
        <f ca="1">+SUMIFS('TB Grouping'!F:F,'TB Grouping'!D:D,'TB to be sent to client'!B122)</f>
        <v>286732.23</v>
      </c>
      <c r="D122" s="2509">
        <f>+SUMIFS('Additional &amp; Presentation Entry'!$G$10:$G$1048576,'Additional &amp; Presentation Entry'!$F$10:$F$1048576,'TB to be sent to client'!B122)</f>
        <v>40696.448767123249</v>
      </c>
      <c r="E122" s="2509">
        <f t="shared" ca="1" si="1"/>
        <v>327428.67876712326</v>
      </c>
      <c r="J122" s="2535" t="e">
        <f ca="1">+_xlfn.XLOOKUP(B122,'TB Grouping'!D:D,'TB Grouping'!D:D)</f>
        <v>#NAME?</v>
      </c>
      <c r="L122" s="1" t="s">
        <v>2418</v>
      </c>
    </row>
    <row r="123" spans="2:12" x14ac:dyDescent="0.3">
      <c r="B123" s="183" t="s">
        <v>2419</v>
      </c>
      <c r="C123" s="2509">
        <f ca="1">+SUMIFS('TB Grouping'!F:F,'TB Grouping'!D:D,'TB to be sent to client'!B123)</f>
        <v>0</v>
      </c>
      <c r="D123" s="2509">
        <f>+SUMIFS('Additional &amp; Presentation Entry'!$G$10:$G$1048576,'Additional &amp; Presentation Entry'!$F$10:$F$1048576,'TB to be sent to client'!B123)</f>
        <v>0</v>
      </c>
      <c r="E123" s="2509">
        <f t="shared" ca="1" si="1"/>
        <v>0</v>
      </c>
      <c r="J123" s="2535" t="e">
        <f ca="1">+_xlfn.XLOOKUP(B123,'TB Grouping'!D:D,'TB Grouping'!D:D)</f>
        <v>#NAME?</v>
      </c>
      <c r="L123" s="1" t="s">
        <v>2419</v>
      </c>
    </row>
    <row r="124" spans="2:12" x14ac:dyDescent="0.3">
      <c r="B124" s="183" t="s">
        <v>2420</v>
      </c>
      <c r="C124" s="2509">
        <f ca="1">+SUMIFS('TB Grouping'!F:F,'TB Grouping'!D:D,'TB to be sent to client'!B124)</f>
        <v>-5452119</v>
      </c>
      <c r="D124" s="2509">
        <f>+SUMIFS('Additional &amp; Presentation Entry'!$G$10:$G$1048576,'Additional &amp; Presentation Entry'!$F$10:$F$1048576,'TB to be sent to client'!B124)</f>
        <v>-4600138</v>
      </c>
      <c r="E124" s="2509">
        <f t="shared" ca="1" si="1"/>
        <v>-10052257</v>
      </c>
      <c r="J124" s="2535" t="e">
        <f ca="1">+_xlfn.XLOOKUP(B124,'TB Grouping'!D:D,'TB Grouping'!D:D)</f>
        <v>#NAME?</v>
      </c>
      <c r="L124" s="1" t="s">
        <v>2420</v>
      </c>
    </row>
    <row r="125" spans="2:12" x14ac:dyDescent="0.3">
      <c r="B125" s="183" t="s">
        <v>3075</v>
      </c>
      <c r="C125" s="2509">
        <f ca="1">+SUMIFS('TB Grouping'!F:F,'TB Grouping'!D:D,'TB to be sent to client'!B125)</f>
        <v>705075</v>
      </c>
      <c r="D125" s="2509">
        <f>+SUMIFS('Additional &amp; Presentation Entry'!$G$10:$G$1048576,'Additional &amp; Presentation Entry'!$F$10:$F$1048576,'TB to be sent to client'!B125)</f>
        <v>0</v>
      </c>
      <c r="E125" s="2509">
        <f t="shared" ca="1" si="1"/>
        <v>705075</v>
      </c>
      <c r="J125" s="2535" t="e">
        <f ca="1">+_xlfn.XLOOKUP(B125,'TB Grouping'!D:D,'TB Grouping'!D:D)</f>
        <v>#NAME?</v>
      </c>
      <c r="L125" s="1" t="s">
        <v>3075</v>
      </c>
    </row>
    <row r="126" spans="2:12" x14ac:dyDescent="0.3">
      <c r="B126" s="183" t="s">
        <v>2425</v>
      </c>
      <c r="C126" s="2509">
        <f ca="1">+SUMIFS('TB Grouping'!F:F,'TB Grouping'!D:D,'TB to be sent to client'!B126)</f>
        <v>12204.86</v>
      </c>
      <c r="D126" s="2509">
        <f>+SUMIFS('Additional &amp; Presentation Entry'!$G$10:$G$1048576,'Additional &amp; Presentation Entry'!$F$10:$F$1048576,'TB to be sent to client'!B126)</f>
        <v>0</v>
      </c>
      <c r="E126" s="2509">
        <f t="shared" ca="1" si="1"/>
        <v>12204.86</v>
      </c>
      <c r="J126" s="2535" t="e">
        <f ca="1">+_xlfn.XLOOKUP(B126,'TB Grouping'!D:D,'TB Grouping'!D:D)</f>
        <v>#NAME?</v>
      </c>
      <c r="L126" s="1" t="s">
        <v>2425</v>
      </c>
    </row>
    <row r="127" spans="2:12" x14ac:dyDescent="0.3">
      <c r="B127" s="183" t="s">
        <v>2426</v>
      </c>
      <c r="C127" s="2509">
        <f ca="1">+SUMIFS('TB Grouping'!F:F,'TB Grouping'!D:D,'TB to be sent to client'!B127)</f>
        <v>0</v>
      </c>
      <c r="D127" s="2509">
        <f>+SUMIFS('Additional &amp; Presentation Entry'!$G$10:$G$1048576,'Additional &amp; Presentation Entry'!$F$10:$F$1048576,'TB to be sent to client'!B127)</f>
        <v>0</v>
      </c>
      <c r="E127" s="2509">
        <f t="shared" ca="1" si="1"/>
        <v>0</v>
      </c>
      <c r="J127" s="2535" t="e">
        <f ca="1">+_xlfn.XLOOKUP(B127,'TB Grouping'!D:D,'TB Grouping'!D:D)</f>
        <v>#NAME?</v>
      </c>
      <c r="L127" s="1" t="s">
        <v>2426</v>
      </c>
    </row>
    <row r="128" spans="2:12" x14ac:dyDescent="0.3">
      <c r="B128" s="183" t="s">
        <v>3567</v>
      </c>
      <c r="C128" s="2509">
        <f ca="1">+SUMIFS('TB Grouping'!F:F,'TB Grouping'!D:D,'TB to be sent to client'!B128)</f>
        <v>0</v>
      </c>
      <c r="D128" s="2509">
        <f>+SUMIFS('Additional &amp; Presentation Entry'!$G$10:$G$1048576,'Additional &amp; Presentation Entry'!$F$10:$F$1048576,'TB to be sent to client'!B128)</f>
        <v>-118</v>
      </c>
      <c r="E128" s="2509">
        <f t="shared" ca="1" si="1"/>
        <v>-118</v>
      </c>
      <c r="J128" s="2535" t="e">
        <f ca="1">+_xlfn.XLOOKUP(B128,'TB Grouping'!D:D,'TB Grouping'!D:D)</f>
        <v>#NAME?</v>
      </c>
      <c r="L128" s="1" t="s">
        <v>3567</v>
      </c>
    </row>
    <row r="129" spans="2:12" x14ac:dyDescent="0.3">
      <c r="B129" s="2515" t="s">
        <v>3069</v>
      </c>
      <c r="C129" s="2509">
        <f ca="1">+SUMIFS('TB Grouping'!F:F,'TB Grouping'!D:D,'TB to be sent to client'!B129)</f>
        <v>0</v>
      </c>
      <c r="D129" s="2509">
        <f>+SUMIFS('Additional &amp; Presentation Entry'!$G$10:$G$1048576,'Additional &amp; Presentation Entry'!$F$10:$F$1048576,'TB to be sent to client'!B129)</f>
        <v>-6160</v>
      </c>
      <c r="E129" s="2509">
        <f t="shared" ca="1" si="1"/>
        <v>-6160</v>
      </c>
      <c r="J129" s="2535" t="e">
        <f ca="1">+_xlfn.XLOOKUP(B129,'TB Grouping'!D:D,'TB Grouping'!D:D)</f>
        <v>#NAME?</v>
      </c>
      <c r="L129" s="1" t="s">
        <v>3069</v>
      </c>
    </row>
    <row r="130" spans="2:12" x14ac:dyDescent="0.3">
      <c r="B130" s="2515" t="s">
        <v>2402</v>
      </c>
      <c r="C130" s="2509">
        <f ca="1">+SUMIFS('TB Grouping'!F:F,'TB Grouping'!D:D,'TB to be sent to client'!B130)</f>
        <v>0</v>
      </c>
      <c r="D130" s="2509">
        <f>+SUMIFS('Additional &amp; Presentation Entry'!$G$10:$G$1048576,'Additional &amp; Presentation Entry'!$F$10:$F$1048576,'TB to be sent to client'!B130)</f>
        <v>-427.5</v>
      </c>
      <c r="E130" s="2509">
        <f t="shared" ca="1" si="1"/>
        <v>-427.5</v>
      </c>
      <c r="J130" s="2535" t="e">
        <f ca="1">+_xlfn.XLOOKUP(B130,'TB Grouping'!D:D,'TB Grouping'!D:D)</f>
        <v>#NAME?</v>
      </c>
      <c r="L130" s="1" t="s">
        <v>2402</v>
      </c>
    </row>
    <row r="131" spans="2:12" x14ac:dyDescent="0.3">
      <c r="B131" s="2515" t="s">
        <v>2403</v>
      </c>
      <c r="C131" s="2509">
        <f ca="1">+SUMIFS('TB Grouping'!F:F,'TB Grouping'!D:D,'TB to be sent to client'!B131)</f>
        <v>0</v>
      </c>
      <c r="D131" s="2509">
        <f>+SUMIFS('Additional &amp; Presentation Entry'!$G$10:$G$1048576,'Additional &amp; Presentation Entry'!$F$10:$F$1048576,'TB to be sent to client'!B131)</f>
        <v>-30390.6</v>
      </c>
      <c r="E131" s="2509">
        <f t="shared" ca="1" si="1"/>
        <v>-30390.6</v>
      </c>
      <c r="J131" s="2535" t="e">
        <f ca="1">+_xlfn.XLOOKUP(B131,'TB Grouping'!D:D,'TB Grouping'!D:D)</f>
        <v>#NAME?</v>
      </c>
      <c r="L131" s="1" t="s">
        <v>2403</v>
      </c>
    </row>
    <row r="132" spans="2:12" x14ac:dyDescent="0.3">
      <c r="B132" s="183" t="s">
        <v>3070</v>
      </c>
      <c r="C132" s="2509">
        <f ca="1">+SUMIFS('TB Grouping'!F:F,'TB Grouping'!D:D,'TB to be sent to client'!B132)</f>
        <v>202401.4</v>
      </c>
      <c r="D132" s="2509">
        <f>+SUMIFS('Additional &amp; Presentation Entry'!$G$10:$G$1048576,'Additional &amp; Presentation Entry'!$F$10:$F$1048576,'TB to be sent to client'!B132)</f>
        <v>163914.12999999998</v>
      </c>
      <c r="E132" s="2509">
        <f t="shared" ca="1" si="1"/>
        <v>366315.52999999997</v>
      </c>
      <c r="J132" s="2535" t="e">
        <f ca="1">+_xlfn.XLOOKUP(B132,'TB Grouping'!D:D,'TB Grouping'!D:D)</f>
        <v>#NAME?</v>
      </c>
      <c r="L132" s="1" t="s">
        <v>3070</v>
      </c>
    </row>
    <row r="133" spans="2:12" x14ac:dyDescent="0.3">
      <c r="B133" s="183" t="s">
        <v>2440</v>
      </c>
      <c r="C133" s="2509">
        <f ca="1">+SUMIFS('TB Grouping'!F:F,'TB Grouping'!D:D,'TB to be sent to client'!B133)</f>
        <v>0</v>
      </c>
      <c r="D133" s="2509">
        <f>+SUMIFS('Additional &amp; Presentation Entry'!$G$10:$G$1048576,'Additional &amp; Presentation Entry'!$F$10:$F$1048576,'TB to be sent to client'!B133)</f>
        <v>0</v>
      </c>
      <c r="E133" s="2509">
        <f t="shared" ca="1" si="1"/>
        <v>0</v>
      </c>
      <c r="J133" s="2535" t="e">
        <f ca="1">+_xlfn.XLOOKUP(B133,'TB Grouping'!D:D,'TB Grouping'!D:D)</f>
        <v>#NAME?</v>
      </c>
      <c r="L133" s="1" t="s">
        <v>2440</v>
      </c>
    </row>
    <row r="134" spans="2:12" x14ac:dyDescent="0.3">
      <c r="B134" s="183" t="s">
        <v>2435</v>
      </c>
      <c r="C134" s="2509">
        <f ca="1">+SUMIFS('TB Grouping'!F:F,'TB Grouping'!D:D,'TB to be sent to client'!B134)</f>
        <v>0</v>
      </c>
      <c r="D134" s="2509">
        <f>+SUMIFS('Additional &amp; Presentation Entry'!$G$10:$G$1048576,'Additional &amp; Presentation Entry'!$F$10:$F$1048576,'TB to be sent to client'!B134)</f>
        <v>0</v>
      </c>
      <c r="E134" s="2509">
        <f t="shared" ca="1" si="1"/>
        <v>0</v>
      </c>
      <c r="J134" s="2535" t="e">
        <f ca="1">+_xlfn.XLOOKUP(B134,'TB Grouping'!D:D,'TB Grouping'!D:D)</f>
        <v>#NAME?</v>
      </c>
      <c r="L134" s="1" t="s">
        <v>2435</v>
      </c>
    </row>
    <row r="135" spans="2:12" x14ac:dyDescent="0.3">
      <c r="B135" s="183" t="s">
        <v>2450</v>
      </c>
      <c r="C135" s="2509">
        <f ca="1">+SUMIFS('TB Grouping'!F:F,'TB Grouping'!D:D,'TB to be sent to client'!B135)</f>
        <v>0</v>
      </c>
      <c r="D135" s="2509">
        <f>+SUMIFS('Additional &amp; Presentation Entry'!$G$10:$G$1048576,'Additional &amp; Presentation Entry'!$F$10:$F$1048576,'TB to be sent to client'!B135)</f>
        <v>0</v>
      </c>
      <c r="E135" s="2509">
        <f t="shared" ca="1" si="1"/>
        <v>0</v>
      </c>
      <c r="J135" s="2535" t="e">
        <f ca="1">+_xlfn.XLOOKUP(B135,'TB Grouping'!D:D,'TB Grouping'!D:D)</f>
        <v>#NAME?</v>
      </c>
      <c r="L135" s="1" t="s">
        <v>2450</v>
      </c>
    </row>
    <row r="136" spans="2:12" x14ac:dyDescent="0.3">
      <c r="B136" s="183" t="s">
        <v>2467</v>
      </c>
      <c r="C136" s="2509">
        <f ca="1">+SUMIFS('TB Grouping'!F:F,'TB Grouping'!D:D,'TB to be sent to client'!B136)</f>
        <v>0</v>
      </c>
      <c r="D136" s="2509">
        <f>+SUMIFS('Additional &amp; Presentation Entry'!$G$10:$G$1048576,'Additional &amp; Presentation Entry'!$F$10:$F$1048576,'TB to be sent to client'!B136)</f>
        <v>0</v>
      </c>
      <c r="E136" s="2509">
        <f t="shared" ca="1" si="1"/>
        <v>0</v>
      </c>
      <c r="J136" s="2535" t="e">
        <f ca="1">+_xlfn.XLOOKUP(B136,'TB Grouping'!D:D,'TB Grouping'!D:D)</f>
        <v>#NAME?</v>
      </c>
      <c r="L136" s="1" t="s">
        <v>2467</v>
      </c>
    </row>
    <row r="137" spans="2:12" x14ac:dyDescent="0.3">
      <c r="B137" s="183" t="s">
        <v>2458</v>
      </c>
      <c r="C137" s="2509">
        <f ca="1">+SUMIFS('TB Grouping'!F:F,'TB Grouping'!D:D,'TB to be sent to client'!B137)</f>
        <v>0</v>
      </c>
      <c r="D137" s="2509">
        <f>+SUMIFS('Additional &amp; Presentation Entry'!$G$10:$G$1048576,'Additional &amp; Presentation Entry'!$F$10:$F$1048576,'TB to be sent to client'!B137)</f>
        <v>33649</v>
      </c>
      <c r="E137" s="2509">
        <f t="shared" ref="E137:E200" ca="1" si="2">+C137+D137</f>
        <v>33649</v>
      </c>
      <c r="J137" s="2535" t="e">
        <f ca="1">+_xlfn.XLOOKUP(B137,'TB Grouping'!D:D,'TB Grouping'!D:D)</f>
        <v>#NAME?</v>
      </c>
      <c r="L137" s="1" t="s">
        <v>2458</v>
      </c>
    </row>
    <row r="138" spans="2:12" x14ac:dyDescent="0.3">
      <c r="B138" s="183" t="s">
        <v>2471</v>
      </c>
      <c r="C138" s="2509">
        <f ca="1">+SUMIFS('TB Grouping'!F:F,'TB Grouping'!D:D,'TB to be sent to client'!B138)</f>
        <v>5007918.18</v>
      </c>
      <c r="D138" s="2509">
        <f>+SUMIFS('Additional &amp; Presentation Entry'!$G$10:$G$1048576,'Additional &amp; Presentation Entry'!$F$10:$F$1048576,'TB to be sent to client'!B138)</f>
        <v>0</v>
      </c>
      <c r="E138" s="2509">
        <f t="shared" ca="1" si="2"/>
        <v>5007918.18</v>
      </c>
      <c r="J138" s="2535" t="e">
        <f ca="1">+_xlfn.XLOOKUP(B138,'TB Grouping'!D:D,'TB Grouping'!D:D)</f>
        <v>#NAME?</v>
      </c>
      <c r="L138" s="1" t="s">
        <v>2471</v>
      </c>
    </row>
    <row r="139" spans="2:12" x14ac:dyDescent="0.3">
      <c r="B139" s="183" t="s">
        <v>3582</v>
      </c>
      <c r="C139" s="2509">
        <f ca="1">+SUMIFS('TB Grouping'!F:F,'TB Grouping'!D:D,'TB to be sent to client'!B139)</f>
        <v>0</v>
      </c>
      <c r="D139" s="2509">
        <f>+SUMIFS('Additional &amp; Presentation Entry'!$G$10:$G$1048576,'Additional &amp; Presentation Entry'!$F$10:$F$1048576,'TB to be sent to client'!B139)</f>
        <v>0</v>
      </c>
      <c r="E139" s="2509">
        <f t="shared" ca="1" si="2"/>
        <v>0</v>
      </c>
      <c r="J139" s="2535" t="e">
        <f ca="1">+_xlfn.XLOOKUP(B139,'TB Grouping'!D:D,'TB Grouping'!D:D)</f>
        <v>#NAME?</v>
      </c>
      <c r="L139" s="1" t="s">
        <v>3582</v>
      </c>
    </row>
    <row r="140" spans="2:12" x14ac:dyDescent="0.3">
      <c r="B140" s="183" t="s">
        <v>3583</v>
      </c>
      <c r="C140" s="2509">
        <f ca="1">+SUMIFS('TB Grouping'!F:F,'TB Grouping'!D:D,'TB to be sent to client'!B140)</f>
        <v>0</v>
      </c>
      <c r="D140" s="2509">
        <f>+SUMIFS('Additional &amp; Presentation Entry'!$G$10:$G$1048576,'Additional &amp; Presentation Entry'!$F$10:$F$1048576,'TB to be sent to client'!B140)</f>
        <v>0</v>
      </c>
      <c r="E140" s="2509">
        <f t="shared" ca="1" si="2"/>
        <v>0</v>
      </c>
      <c r="J140" s="2535" t="e">
        <f ca="1">+_xlfn.XLOOKUP(B140,'TB Grouping'!D:D,'TB Grouping'!D:D)</f>
        <v>#NAME?</v>
      </c>
      <c r="L140" s="1" t="s">
        <v>3583</v>
      </c>
    </row>
    <row r="141" spans="2:12" x14ac:dyDescent="0.3">
      <c r="B141" s="183" t="s">
        <v>3584</v>
      </c>
      <c r="C141" s="2509">
        <f ca="1">+SUMIFS('TB Grouping'!F:F,'TB Grouping'!D:D,'TB to be sent to client'!B141)</f>
        <v>0</v>
      </c>
      <c r="D141" s="2509">
        <f>+SUMIFS('Additional &amp; Presentation Entry'!$G$10:$G$1048576,'Additional &amp; Presentation Entry'!$F$10:$F$1048576,'TB to be sent to client'!B141)</f>
        <v>0</v>
      </c>
      <c r="E141" s="2509">
        <f t="shared" ca="1" si="2"/>
        <v>0</v>
      </c>
      <c r="J141" s="2535" t="e">
        <f ca="1">+_xlfn.XLOOKUP(B141,'TB Grouping'!D:D,'TB Grouping'!D:D)</f>
        <v>#NAME?</v>
      </c>
      <c r="L141" s="1" t="s">
        <v>3584</v>
      </c>
    </row>
    <row r="142" spans="2:12" x14ac:dyDescent="0.3">
      <c r="B142" s="183" t="s">
        <v>3077</v>
      </c>
      <c r="C142" s="2509">
        <f ca="1">+SUMIFS('TB Grouping'!F:F,'TB Grouping'!D:D,'TB to be sent to client'!B142)</f>
        <v>0</v>
      </c>
      <c r="D142" s="2509">
        <f>+SUMIFS('Additional &amp; Presentation Entry'!$G$10:$G$1048576,'Additional &amp; Presentation Entry'!$F$10:$F$1048576,'TB to be sent to client'!B142)</f>
        <v>0</v>
      </c>
      <c r="E142" s="2509">
        <f t="shared" ca="1" si="2"/>
        <v>0</v>
      </c>
      <c r="J142" s="2535" t="e">
        <f ca="1">+_xlfn.XLOOKUP(B142,'TB Grouping'!D:D,'TB Grouping'!D:D)</f>
        <v>#NAME?</v>
      </c>
      <c r="L142" s="1" t="s">
        <v>3077</v>
      </c>
    </row>
    <row r="143" spans="2:12" x14ac:dyDescent="0.3">
      <c r="B143" s="183" t="s">
        <v>3076</v>
      </c>
      <c r="C143" s="2509">
        <f ca="1">+SUMIFS('TB Grouping'!F:F,'TB Grouping'!D:D,'TB to be sent to client'!B143)</f>
        <v>82969</v>
      </c>
      <c r="D143" s="2509">
        <f>+SUMIFS('Additional &amp; Presentation Entry'!$G$10:$G$1048576,'Additional &amp; Presentation Entry'!$F$10:$F$1048576,'TB to be sent to client'!B143)</f>
        <v>-25781</v>
      </c>
      <c r="E143" s="2509">
        <f t="shared" ca="1" si="2"/>
        <v>57188</v>
      </c>
      <c r="J143" s="2535" t="e">
        <f ca="1">+_xlfn.XLOOKUP(B143,'TB Grouping'!D:D,'TB Grouping'!D:D)</f>
        <v>#NAME?</v>
      </c>
      <c r="L143" s="1" t="s">
        <v>3076</v>
      </c>
    </row>
    <row r="144" spans="2:12" x14ac:dyDescent="0.3">
      <c r="B144" s="183" t="s">
        <v>3078</v>
      </c>
      <c r="C144" s="2509">
        <f ca="1">+SUMIFS('TB Grouping'!F:F,'TB Grouping'!D:D,'TB to be sent to client'!B144)</f>
        <v>1506</v>
      </c>
      <c r="D144" s="2509">
        <f>+SUMIFS('Additional &amp; Presentation Entry'!$G$10:$G$1048576,'Additional &amp; Presentation Entry'!$F$10:$F$1048576,'TB to be sent to client'!B144)</f>
        <v>0</v>
      </c>
      <c r="E144" s="2509">
        <f t="shared" ca="1" si="2"/>
        <v>1506</v>
      </c>
      <c r="J144" s="2535" t="e">
        <f ca="1">+_xlfn.XLOOKUP(B144,'TB Grouping'!D:D,'TB Grouping'!D:D)</f>
        <v>#NAME?</v>
      </c>
      <c r="L144" s="1" t="s">
        <v>3078</v>
      </c>
    </row>
    <row r="145" spans="2:12" x14ac:dyDescent="0.3">
      <c r="B145" s="183" t="s">
        <v>3585</v>
      </c>
      <c r="C145" s="2509">
        <f ca="1">+SUMIFS('TB Grouping'!F:F,'TB Grouping'!D:D,'TB to be sent to client'!B145)</f>
        <v>0</v>
      </c>
      <c r="D145" s="2509">
        <f>+SUMIFS('Additional &amp; Presentation Entry'!$G$10:$G$1048576,'Additional &amp; Presentation Entry'!$F$10:$F$1048576,'TB to be sent to client'!B145)</f>
        <v>0</v>
      </c>
      <c r="E145" s="2509">
        <f t="shared" ca="1" si="2"/>
        <v>0</v>
      </c>
      <c r="J145" s="2535" t="e">
        <f ca="1">+_xlfn.XLOOKUP(B145,'TB Grouping'!D:D,'TB Grouping'!D:D)</f>
        <v>#NAME?</v>
      </c>
      <c r="L145" s="1" t="s">
        <v>3585</v>
      </c>
    </row>
    <row r="146" spans="2:12" x14ac:dyDescent="0.3">
      <c r="B146" s="183" t="s">
        <v>3586</v>
      </c>
      <c r="C146" s="2509">
        <f ca="1">+SUMIFS('TB Grouping'!F:F,'TB Grouping'!D:D,'TB to be sent to client'!B146)</f>
        <v>0</v>
      </c>
      <c r="D146" s="2509">
        <f>+SUMIFS('Additional &amp; Presentation Entry'!$G$10:$G$1048576,'Additional &amp; Presentation Entry'!$F$10:$F$1048576,'TB to be sent to client'!B146)</f>
        <v>0</v>
      </c>
      <c r="E146" s="2509">
        <f t="shared" ca="1" si="2"/>
        <v>0</v>
      </c>
      <c r="J146" s="2535" t="e">
        <f ca="1">+_xlfn.XLOOKUP(B146,'TB Grouping'!D:D,'TB Grouping'!D:D)</f>
        <v>#NAME?</v>
      </c>
      <c r="L146" s="1" t="s">
        <v>3586</v>
      </c>
    </row>
    <row r="147" spans="2:12" x14ac:dyDescent="0.3">
      <c r="B147" s="183" t="s">
        <v>3080</v>
      </c>
      <c r="C147" s="2509">
        <f ca="1">+SUMIFS('TB Grouping'!F:F,'TB Grouping'!D:D,'TB to be sent to client'!B147)</f>
        <v>235470.11</v>
      </c>
      <c r="D147" s="2509">
        <f>+SUMIFS('Additional &amp; Presentation Entry'!$G$10:$G$1048576,'Additional &amp; Presentation Entry'!$F$10:$F$1048576,'TB to be sent to client'!B147)</f>
        <v>0</v>
      </c>
      <c r="E147" s="2509">
        <f t="shared" ca="1" si="2"/>
        <v>235470.11</v>
      </c>
      <c r="J147" s="2535" t="e">
        <f ca="1">+_xlfn.XLOOKUP(B147,'TB Grouping'!D:D,'TB Grouping'!D:D)</f>
        <v>#NAME?</v>
      </c>
      <c r="L147" s="1" t="s">
        <v>3080</v>
      </c>
    </row>
    <row r="148" spans="2:12" x14ac:dyDescent="0.3">
      <c r="B148" s="183" t="s">
        <v>3081</v>
      </c>
      <c r="C148" s="2509">
        <f ca="1">+SUMIFS('TB Grouping'!F:F,'TB Grouping'!D:D,'TB to be sent to client'!B148)</f>
        <v>235470.1</v>
      </c>
      <c r="D148" s="2509">
        <f>+SUMIFS('Additional &amp; Presentation Entry'!$G$10:$G$1048576,'Additional &amp; Presentation Entry'!$F$10:$F$1048576,'TB to be sent to client'!B148)</f>
        <v>0</v>
      </c>
      <c r="E148" s="2509">
        <f t="shared" ca="1" si="2"/>
        <v>235470.1</v>
      </c>
      <c r="J148" s="2535" t="e">
        <f ca="1">+_xlfn.XLOOKUP(B148,'TB Grouping'!D:D,'TB Grouping'!D:D)</f>
        <v>#NAME?</v>
      </c>
      <c r="L148" s="1" t="s">
        <v>3081</v>
      </c>
    </row>
    <row r="149" spans="2:12" x14ac:dyDescent="0.3">
      <c r="B149" s="183" t="s">
        <v>3082</v>
      </c>
      <c r="C149" s="2509">
        <f ca="1">+SUMIFS('TB Grouping'!F:F,'TB Grouping'!D:D,'TB to be sent to client'!B149)</f>
        <v>2933405.65</v>
      </c>
      <c r="D149" s="2509">
        <f>+SUMIFS('Additional &amp; Presentation Entry'!$G$10:$G$1048576,'Additional &amp; Presentation Entry'!$F$10:$F$1048576,'TB to be sent to client'!B149)</f>
        <v>0</v>
      </c>
      <c r="E149" s="2509">
        <f t="shared" ca="1" si="2"/>
        <v>2933405.65</v>
      </c>
      <c r="J149" s="2535" t="e">
        <f ca="1">+_xlfn.XLOOKUP(B149,'TB Grouping'!D:D,'TB Grouping'!D:D)</f>
        <v>#NAME?</v>
      </c>
      <c r="L149" s="1" t="s">
        <v>3082</v>
      </c>
    </row>
    <row r="150" spans="2:12" x14ac:dyDescent="0.3">
      <c r="B150" s="183" t="s">
        <v>2513</v>
      </c>
      <c r="C150" s="2509">
        <f ca="1">+SUMIFS('TB Grouping'!F:F,'TB Grouping'!D:D,'TB to be sent to client'!B150)</f>
        <v>0</v>
      </c>
      <c r="D150" s="2509">
        <f>+SUMIFS('Additional &amp; Presentation Entry'!$G$10:$G$1048576,'Additional &amp; Presentation Entry'!$F$10:$F$1048576,'TB to be sent to client'!B150)</f>
        <v>22750</v>
      </c>
      <c r="E150" s="2509">
        <f t="shared" ca="1" si="2"/>
        <v>22750</v>
      </c>
      <c r="J150" s="2535" t="e">
        <f ca="1">+_xlfn.XLOOKUP(B150,'TB Grouping'!D:D,'TB Grouping'!D:D)</f>
        <v>#NAME?</v>
      </c>
      <c r="L150" s="1" t="s">
        <v>2513</v>
      </c>
    </row>
    <row r="151" spans="2:12" x14ac:dyDescent="0.3">
      <c r="B151" s="183" t="s">
        <v>2517</v>
      </c>
      <c r="C151" s="2509">
        <f ca="1">+SUMIFS('TB Grouping'!F:F,'TB Grouping'!D:D,'TB to be sent to client'!B151)</f>
        <v>5566887.8600000003</v>
      </c>
      <c r="D151" s="2509">
        <f>+SUMIFS('Additional &amp; Presentation Entry'!$G$10:$G$1048576,'Additional &amp; Presentation Entry'!$F$10:$F$1048576,'TB to be sent to client'!B151)</f>
        <v>0</v>
      </c>
      <c r="E151" s="2509">
        <f t="shared" ca="1" si="2"/>
        <v>5566887.8600000003</v>
      </c>
      <c r="J151" s="2535" t="e">
        <f ca="1">+_xlfn.XLOOKUP(B151,'TB Grouping'!D:D,'TB Grouping'!D:D)</f>
        <v>#NAME?</v>
      </c>
      <c r="L151" s="1" t="s">
        <v>2517</v>
      </c>
    </row>
    <row r="152" spans="2:12" x14ac:dyDescent="0.3">
      <c r="B152" s="183" t="s">
        <v>2518</v>
      </c>
      <c r="C152" s="2509">
        <f ca="1">+SUMIFS('TB Grouping'!F:F,'TB Grouping'!D:D,'TB to be sent to client'!B152)</f>
        <v>0</v>
      </c>
      <c r="D152" s="2509">
        <f>+SUMIFS('Additional &amp; Presentation Entry'!$G$10:$G$1048576,'Additional &amp; Presentation Entry'!$F$10:$F$1048576,'TB to be sent to client'!B152)</f>
        <v>0</v>
      </c>
      <c r="E152" s="2509">
        <f t="shared" ca="1" si="2"/>
        <v>0</v>
      </c>
      <c r="J152" s="2535" t="e">
        <f ca="1">+_xlfn.XLOOKUP(B152,'TB Grouping'!D:D,'TB Grouping'!D:D)</f>
        <v>#NAME?</v>
      </c>
      <c r="L152" s="1" t="s">
        <v>2518</v>
      </c>
    </row>
    <row r="153" spans="2:12" x14ac:dyDescent="0.3">
      <c r="B153" s="183" t="s">
        <v>2521</v>
      </c>
      <c r="C153" s="2509">
        <f ca="1">+SUMIFS('TB Grouping'!F:F,'TB Grouping'!D:D,'TB to be sent to client'!B153)</f>
        <v>0</v>
      </c>
      <c r="D153" s="2509">
        <f>+SUMIFS('Additional &amp; Presentation Entry'!$G$10:$G$1048576,'Additional &amp; Presentation Entry'!$F$10:$F$1048576,'TB to be sent to client'!B153)</f>
        <v>0</v>
      </c>
      <c r="E153" s="2509">
        <f t="shared" ca="1" si="2"/>
        <v>0</v>
      </c>
      <c r="J153" s="2535" t="e">
        <f ca="1">+_xlfn.XLOOKUP(B153,'TB Grouping'!D:D,'TB Grouping'!D:D)</f>
        <v>#NAME?</v>
      </c>
      <c r="L153" s="1" t="s">
        <v>2521</v>
      </c>
    </row>
    <row r="154" spans="2:12" x14ac:dyDescent="0.3">
      <c r="B154" s="183" t="s">
        <v>2523</v>
      </c>
      <c r="C154" s="2509">
        <f ca="1">+SUMIFS('TB Grouping'!F:F,'TB Grouping'!D:D,'TB to be sent to client'!B154)</f>
        <v>0</v>
      </c>
      <c r="D154" s="2509">
        <f>+SUMIFS('Additional &amp; Presentation Entry'!$G$10:$G$1048576,'Additional &amp; Presentation Entry'!$F$10:$F$1048576,'TB to be sent to client'!B154)</f>
        <v>0</v>
      </c>
      <c r="E154" s="2509">
        <f t="shared" ca="1" si="2"/>
        <v>0</v>
      </c>
      <c r="J154" s="2535" t="e">
        <f ca="1">+_xlfn.XLOOKUP(B154,'TB Grouping'!D:D,'TB Grouping'!D:D)</f>
        <v>#NAME?</v>
      </c>
      <c r="L154" s="1" t="s">
        <v>2523</v>
      </c>
    </row>
    <row r="155" spans="2:12" x14ac:dyDescent="0.3">
      <c r="B155" s="183" t="s">
        <v>2524</v>
      </c>
      <c r="C155" s="2509">
        <f ca="1">+SUMIFS('TB Grouping'!F:F,'TB Grouping'!D:D,'TB to be sent to client'!B155)</f>
        <v>0</v>
      </c>
      <c r="D155" s="2509">
        <f>+SUMIFS('Additional &amp; Presentation Entry'!$G$10:$G$1048576,'Additional &amp; Presentation Entry'!$F$10:$F$1048576,'TB to be sent to client'!B155)</f>
        <v>0</v>
      </c>
      <c r="E155" s="2509">
        <f t="shared" ca="1" si="2"/>
        <v>0</v>
      </c>
      <c r="J155" s="2535" t="e">
        <f ca="1">+_xlfn.XLOOKUP(B155,'TB Grouping'!D:D,'TB Grouping'!D:D)</f>
        <v>#NAME?</v>
      </c>
      <c r="L155" s="1" t="s">
        <v>2524</v>
      </c>
    </row>
    <row r="156" spans="2:12" x14ac:dyDescent="0.3">
      <c r="B156" s="183" t="s">
        <v>2522</v>
      </c>
      <c r="C156" s="2509">
        <f ca="1">+SUMIFS('TB Grouping'!F:F,'TB Grouping'!D:D,'TB to be sent to client'!B156)</f>
        <v>0</v>
      </c>
      <c r="D156" s="2509">
        <f>+SUMIFS('Additional &amp; Presentation Entry'!$G$10:$G$1048576,'Additional &amp; Presentation Entry'!$F$10:$F$1048576,'TB to be sent to client'!B156)</f>
        <v>222882.90000000002</v>
      </c>
      <c r="E156" s="2509">
        <f t="shared" ca="1" si="2"/>
        <v>222882.90000000002</v>
      </c>
      <c r="J156" s="2535" t="e">
        <f ca="1">+_xlfn.XLOOKUP(B156,'TB Grouping'!D:D,'TB Grouping'!D:D)</f>
        <v>#NAME?</v>
      </c>
      <c r="L156" s="1" t="s">
        <v>2522</v>
      </c>
    </row>
    <row r="157" spans="2:12" x14ac:dyDescent="0.3">
      <c r="B157" s="183" t="s">
        <v>2500</v>
      </c>
      <c r="C157" s="2509">
        <f ca="1">+SUMIFS('TB Grouping'!F:F,'TB Grouping'!D:D,'TB to be sent to client'!B157)</f>
        <v>1326453</v>
      </c>
      <c r="D157" s="2509">
        <f>+SUMIFS('Additional &amp; Presentation Entry'!$G$10:$G$1048576,'Additional &amp; Presentation Entry'!$F$10:$F$1048576,'TB to be sent to client'!B157)</f>
        <v>0</v>
      </c>
      <c r="E157" s="2509">
        <f t="shared" ca="1" si="2"/>
        <v>1326453</v>
      </c>
      <c r="J157" s="2535" t="e">
        <f ca="1">+_xlfn.XLOOKUP(B157,'TB Grouping'!D:D,'TB Grouping'!D:D)</f>
        <v>#NAME?</v>
      </c>
      <c r="L157" s="1" t="s">
        <v>2500</v>
      </c>
    </row>
    <row r="158" spans="2:12" x14ac:dyDescent="0.3">
      <c r="B158" s="183" t="s">
        <v>2504</v>
      </c>
      <c r="C158" s="2509">
        <f ca="1">+SUMIFS('TB Grouping'!F:F,'TB Grouping'!D:D,'TB to be sent to client'!B158)</f>
        <v>0</v>
      </c>
      <c r="D158" s="2509">
        <f>+SUMIFS('Additional &amp; Presentation Entry'!$G$10:$G$1048576,'Additional &amp; Presentation Entry'!$F$10:$F$1048576,'TB to be sent to client'!B158)</f>
        <v>0</v>
      </c>
      <c r="E158" s="2509">
        <f t="shared" ca="1" si="2"/>
        <v>0</v>
      </c>
      <c r="J158" s="2535" t="e">
        <f ca="1">+_xlfn.XLOOKUP(B158,'TB Grouping'!D:D,'TB Grouping'!D:D)</f>
        <v>#NAME?</v>
      </c>
      <c r="L158" s="1" t="e">
        <v>#N/A</v>
      </c>
    </row>
    <row r="159" spans="2:12" x14ac:dyDescent="0.3">
      <c r="B159" s="183" t="s">
        <v>3084</v>
      </c>
      <c r="C159" s="2509">
        <f ca="1">+SUMIFS('TB Grouping'!F:F,'TB Grouping'!D:D,'TB to be sent to client'!B159)</f>
        <v>0</v>
      </c>
      <c r="D159" s="2509">
        <f>+SUMIFS('Additional &amp; Presentation Entry'!$G$10:$G$1048576,'Additional &amp; Presentation Entry'!$F$10:$F$1048576,'TB to be sent to client'!B159)</f>
        <v>0</v>
      </c>
      <c r="E159" s="2509">
        <f t="shared" ca="1" si="2"/>
        <v>0</v>
      </c>
      <c r="J159" s="2535" t="e">
        <f ca="1">+_xlfn.XLOOKUP(B159,'TB Grouping'!D:D,'TB Grouping'!D:D)</f>
        <v>#NAME?</v>
      </c>
      <c r="L159" s="1" t="s">
        <v>3084</v>
      </c>
    </row>
    <row r="160" spans="2:12" x14ac:dyDescent="0.3">
      <c r="B160" s="183" t="s">
        <v>2526</v>
      </c>
      <c r="C160" s="2509">
        <f ca="1">+SUMIFS('TB Grouping'!F:F,'TB Grouping'!D:D,'TB to be sent to client'!B160)</f>
        <v>3983.89</v>
      </c>
      <c r="D160" s="2509">
        <f>+SUMIFS('Additional &amp; Presentation Entry'!$G$10:$G$1048576,'Additional &amp; Presentation Entry'!$F$10:$F$1048576,'TB to be sent to client'!B160)</f>
        <v>0</v>
      </c>
      <c r="E160" s="2509">
        <f t="shared" ca="1" si="2"/>
        <v>3983.89</v>
      </c>
      <c r="J160" s="2535" t="e">
        <f ca="1">+_xlfn.XLOOKUP(B160,'TB Grouping'!D:D,'TB Grouping'!D:D)</f>
        <v>#NAME?</v>
      </c>
      <c r="L160" s="1" t="s">
        <v>2526</v>
      </c>
    </row>
    <row r="161" spans="2:12" x14ac:dyDescent="0.3">
      <c r="B161" s="183" t="s">
        <v>3085</v>
      </c>
      <c r="C161" s="2509">
        <f ca="1">+SUMIFS('TB Grouping'!F:F,'TB Grouping'!D:D,'TB to be sent to client'!B161)</f>
        <v>0</v>
      </c>
      <c r="D161" s="2509">
        <f>+SUMIFS('Additional &amp; Presentation Entry'!$G$10:$G$1048576,'Additional &amp; Presentation Entry'!$F$10:$F$1048576,'TB to be sent to client'!B161)</f>
        <v>301.85000000000002</v>
      </c>
      <c r="E161" s="2509">
        <f t="shared" ca="1" si="2"/>
        <v>301.85000000000002</v>
      </c>
      <c r="J161" s="2535" t="e">
        <f ca="1">+_xlfn.XLOOKUP(B161,'TB Grouping'!D:D,'TB Grouping'!D:D)</f>
        <v>#NAME?</v>
      </c>
      <c r="L161" s="1" t="s">
        <v>3085</v>
      </c>
    </row>
    <row r="162" spans="2:12" x14ac:dyDescent="0.3">
      <c r="B162" s="183" t="s">
        <v>2532</v>
      </c>
      <c r="C162" s="2509">
        <f ca="1">+SUMIFS('TB Grouping'!F:F,'TB Grouping'!D:D,'TB to be sent to client'!B162)</f>
        <v>0</v>
      </c>
      <c r="D162" s="2509">
        <f>+SUMIFS('Additional &amp; Presentation Entry'!$G$10:$G$1048576,'Additional &amp; Presentation Entry'!$F$10:$F$1048576,'TB to be sent to client'!B162)</f>
        <v>-525080.02283400297</v>
      </c>
      <c r="E162" s="2509">
        <f t="shared" ca="1" si="2"/>
        <v>-525080.02283400297</v>
      </c>
      <c r="J162" s="2535" t="e">
        <f ca="1">+_xlfn.XLOOKUP(B162,'TB Grouping'!D:D,'TB Grouping'!D:D)</f>
        <v>#NAME?</v>
      </c>
      <c r="L162" s="1" t="s">
        <v>2532</v>
      </c>
    </row>
    <row r="163" spans="2:12" x14ac:dyDescent="0.3">
      <c r="B163" s="183" t="s">
        <v>2533</v>
      </c>
      <c r="C163" s="2509">
        <f ca="1">+SUMIFS('TB Grouping'!F:F,'TB Grouping'!D:D,'TB to be sent to client'!B163)</f>
        <v>0</v>
      </c>
      <c r="D163" s="2509">
        <f>+SUMIFS('Additional &amp; Presentation Entry'!$G$10:$G$1048576,'Additional &amp; Presentation Entry'!$F$10:$F$1048576,'TB to be sent to client'!B163)</f>
        <v>73074.153400000519</v>
      </c>
      <c r="E163" s="2509">
        <f t="shared" ca="1" si="2"/>
        <v>73074.153400000519</v>
      </c>
      <c r="J163" s="2535" t="e">
        <f ca="1">+_xlfn.XLOOKUP(B163,'TB Grouping'!D:D,'TB Grouping'!D:D)</f>
        <v>#NAME?</v>
      </c>
      <c r="L163" s="1" t="s">
        <v>2533</v>
      </c>
    </row>
    <row r="164" spans="2:12" x14ac:dyDescent="0.3">
      <c r="B164" s="183" t="s">
        <v>2534</v>
      </c>
      <c r="C164" s="2509">
        <f ca="1">+SUMIFS('TB Grouping'!F:F,'TB Grouping'!D:D,'TB to be sent to client'!B164)</f>
        <v>0</v>
      </c>
      <c r="D164" s="2509">
        <f>+SUMIFS('Additional &amp; Presentation Entry'!$G$10:$G$1048576,'Additional &amp; Presentation Entry'!$F$10:$F$1048576,'TB to be sent to client'!B164)</f>
        <v>0</v>
      </c>
      <c r="E164" s="2509">
        <f t="shared" ca="1" si="2"/>
        <v>0</v>
      </c>
      <c r="J164" s="2535" t="e">
        <f ca="1">+_xlfn.XLOOKUP(B164,'TB Grouping'!D:D,'TB Grouping'!D:D)</f>
        <v>#NAME?</v>
      </c>
      <c r="L164" s="1" t="s">
        <v>2534</v>
      </c>
    </row>
    <row r="165" spans="2:12" x14ac:dyDescent="0.3">
      <c r="B165" s="183" t="s">
        <v>2535</v>
      </c>
      <c r="C165" s="2509">
        <f ca="1">+SUMIFS('TB Grouping'!F:F,'TB Grouping'!D:D,'TB to be sent to client'!B165)</f>
        <v>0</v>
      </c>
      <c r="D165" s="2509">
        <f>+SUMIFS('Additional &amp; Presentation Entry'!$G$10:$G$1048576,'Additional &amp; Presentation Entry'!$F$10:$F$1048576,'TB to be sent to client'!B165)</f>
        <v>0</v>
      </c>
      <c r="E165" s="2509">
        <f t="shared" ca="1" si="2"/>
        <v>0</v>
      </c>
      <c r="J165" s="2535" t="e">
        <f ca="1">+_xlfn.XLOOKUP(B165,'TB Grouping'!D:D,'TB Grouping'!D:D)</f>
        <v>#NAME?</v>
      </c>
      <c r="L165" s="1" t="s">
        <v>2535</v>
      </c>
    </row>
    <row r="166" spans="2:12" x14ac:dyDescent="0.3">
      <c r="B166" s="183" t="s">
        <v>2537</v>
      </c>
      <c r="C166" s="2509">
        <f ca="1">+SUMIFS('TB Grouping'!F:F,'TB Grouping'!D:D,'TB to be sent to client'!B166)</f>
        <v>0</v>
      </c>
      <c r="D166" s="2509">
        <f>+SUMIFS('Additional &amp; Presentation Entry'!$G$10:$G$1048576,'Additional &amp; Presentation Entry'!$F$10:$F$1048576,'TB to be sent to client'!B166)</f>
        <v>0</v>
      </c>
      <c r="E166" s="2509">
        <f t="shared" ca="1" si="2"/>
        <v>0</v>
      </c>
      <c r="J166" s="2535" t="e">
        <f ca="1">+_xlfn.XLOOKUP(B166,'TB Grouping'!D:D,'TB Grouping'!D:D)</f>
        <v>#NAME?</v>
      </c>
      <c r="L166" s="1" t="e">
        <v>#N/A</v>
      </c>
    </row>
    <row r="167" spans="2:12" x14ac:dyDescent="0.3">
      <c r="B167" s="183" t="s">
        <v>2538</v>
      </c>
      <c r="C167" s="2509">
        <f ca="1">+SUMIFS('TB Grouping'!F:F,'TB Grouping'!D:D,'TB to be sent to client'!B167)</f>
        <v>60384.639999999999</v>
      </c>
      <c r="D167" s="2509">
        <f>+SUMIFS('Additional &amp; Presentation Entry'!$G$10:$G$1048576,'Additional &amp; Presentation Entry'!$F$10:$F$1048576,'TB to be sent to client'!B167)</f>
        <v>0</v>
      </c>
      <c r="E167" s="2509">
        <f t="shared" ca="1" si="2"/>
        <v>60384.639999999999</v>
      </c>
      <c r="J167" s="2535" t="e">
        <f ca="1">+_xlfn.XLOOKUP(B167,'TB Grouping'!D:D,'TB Grouping'!D:D)</f>
        <v>#NAME?</v>
      </c>
      <c r="L167" s="1" t="s">
        <v>2538</v>
      </c>
    </row>
    <row r="168" spans="2:12" x14ac:dyDescent="0.3">
      <c r="B168" s="183" t="s">
        <v>3086</v>
      </c>
      <c r="C168" s="2509">
        <f ca="1">+SUMIFS('TB Grouping'!F:F,'TB Grouping'!D:D,'TB to be sent to client'!B168)</f>
        <v>-251599.04</v>
      </c>
      <c r="D168" s="2509">
        <f>+SUMIFS('Additional &amp; Presentation Entry'!$G$10:$G$1048576,'Additional &amp; Presentation Entry'!$F$10:$F$1048576,'TB to be sent to client'!B168)</f>
        <v>-466808.04</v>
      </c>
      <c r="E168" s="2509">
        <f t="shared" ca="1" si="2"/>
        <v>-718407.08</v>
      </c>
      <c r="J168" s="2535" t="e">
        <f ca="1">+_xlfn.XLOOKUP(B168,'TB Grouping'!D:D,'TB Grouping'!D:D)</f>
        <v>#NAME?</v>
      </c>
      <c r="L168" s="1" t="s">
        <v>3086</v>
      </c>
    </row>
    <row r="169" spans="2:12" x14ac:dyDescent="0.3">
      <c r="B169" s="183" t="s">
        <v>2539</v>
      </c>
      <c r="C169" s="2509">
        <f ca="1">+SUMIFS('TB Grouping'!F:F,'TB Grouping'!D:D,'TB to be sent to client'!B169)</f>
        <v>0</v>
      </c>
      <c r="D169" s="2509">
        <f>+SUMIFS('Additional &amp; Presentation Entry'!$G$10:$G$1048576,'Additional &amp; Presentation Entry'!$F$10:$F$1048576,'TB to be sent to client'!B169)</f>
        <v>0</v>
      </c>
      <c r="E169" s="2509">
        <f t="shared" ca="1" si="2"/>
        <v>0</v>
      </c>
      <c r="J169" s="2535" t="e">
        <f ca="1">+_xlfn.XLOOKUP(B169,'TB Grouping'!D:D,'TB Grouping'!D:D)</f>
        <v>#NAME?</v>
      </c>
      <c r="L169" s="1" t="s">
        <v>2539</v>
      </c>
    </row>
    <row r="170" spans="2:12" x14ac:dyDescent="0.3">
      <c r="B170" s="183" t="s">
        <v>2515</v>
      </c>
      <c r="C170" s="2509">
        <f ca="1">+SUMIFS('TB Grouping'!F:F,'TB Grouping'!D:D,'TB to be sent to client'!B170)</f>
        <v>0</v>
      </c>
      <c r="D170" s="2509">
        <f>+SUMIFS('Additional &amp; Presentation Entry'!$G$10:$G$1048576,'Additional &amp; Presentation Entry'!$F$10:$F$1048576,'TB to be sent to client'!B170)</f>
        <v>0</v>
      </c>
      <c r="E170" s="2509">
        <f t="shared" ca="1" si="2"/>
        <v>0</v>
      </c>
      <c r="J170" s="2535" t="e">
        <f ca="1">+_xlfn.XLOOKUP(B170,'TB Grouping'!D:D,'TB Grouping'!D:D)</f>
        <v>#NAME?</v>
      </c>
      <c r="L170" s="1" t="e">
        <v>#N/A</v>
      </c>
    </row>
    <row r="171" spans="2:12" x14ac:dyDescent="0.3">
      <c r="B171" s="183" t="s">
        <v>2540</v>
      </c>
      <c r="C171" s="2509">
        <f ca="1">+SUMIFS('TB Grouping'!F:F,'TB Grouping'!D:D,'TB to be sent to client'!B171)</f>
        <v>0</v>
      </c>
      <c r="D171" s="2509">
        <f>+SUMIFS('Additional &amp; Presentation Entry'!$G$10:$G$1048576,'Additional &amp; Presentation Entry'!$F$10:$F$1048576,'TB to be sent to client'!B171)</f>
        <v>0</v>
      </c>
      <c r="E171" s="2509">
        <f t="shared" ca="1" si="2"/>
        <v>0</v>
      </c>
      <c r="J171" s="2535" t="e">
        <f ca="1">+_xlfn.XLOOKUP(B171,'TB Grouping'!D:D,'TB Grouping'!D:D)</f>
        <v>#NAME?</v>
      </c>
      <c r="L171" s="1" t="s">
        <v>2540</v>
      </c>
    </row>
    <row r="172" spans="2:12" x14ac:dyDescent="0.3">
      <c r="B172" s="183" t="s">
        <v>2542</v>
      </c>
      <c r="C172" s="2509">
        <f ca="1">+SUMIFS('TB Grouping'!F:F,'TB Grouping'!D:D,'TB to be sent to client'!B172)</f>
        <v>0</v>
      </c>
      <c r="D172" s="2509">
        <f>+SUMIFS('Additional &amp; Presentation Entry'!$G$10:$G$1048576,'Additional &amp; Presentation Entry'!$F$10:$F$1048576,'TB to be sent to client'!B172)</f>
        <v>0</v>
      </c>
      <c r="E172" s="2509">
        <f t="shared" ca="1" si="2"/>
        <v>0</v>
      </c>
      <c r="J172" s="2535" t="e">
        <f ca="1">+_xlfn.XLOOKUP(B172,'TB Grouping'!D:D,'TB Grouping'!D:D)</f>
        <v>#NAME?</v>
      </c>
      <c r="L172" s="1" t="e">
        <v>#N/A</v>
      </c>
    </row>
    <row r="173" spans="2:12" x14ac:dyDescent="0.3">
      <c r="B173" s="183" t="s">
        <v>2541</v>
      </c>
      <c r="C173" s="2509">
        <f ca="1">+SUMIFS('TB Grouping'!F:F,'TB Grouping'!D:D,'TB to be sent to client'!B173)</f>
        <v>0</v>
      </c>
      <c r="D173" s="2509">
        <f>+SUMIFS('Additional &amp; Presentation Entry'!$G$10:$G$1048576,'Additional &amp; Presentation Entry'!$F$10:$F$1048576,'TB to be sent to client'!B173)</f>
        <v>0</v>
      </c>
      <c r="E173" s="2509">
        <f t="shared" ca="1" si="2"/>
        <v>0</v>
      </c>
      <c r="J173" s="2535" t="e">
        <f ca="1">+_xlfn.XLOOKUP(B173,'TB Grouping'!D:D,'TB Grouping'!D:D)</f>
        <v>#NAME?</v>
      </c>
      <c r="L173" s="1" t="s">
        <v>2541</v>
      </c>
    </row>
    <row r="174" spans="2:12" x14ac:dyDescent="0.3">
      <c r="B174" s="183" t="s">
        <v>3587</v>
      </c>
      <c r="C174" s="2509">
        <f ca="1">+SUMIFS('TB Grouping'!F:F,'TB Grouping'!D:D,'TB to be sent to client'!B174)</f>
        <v>0</v>
      </c>
      <c r="D174" s="2509">
        <f>+SUMIFS('Additional &amp; Presentation Entry'!$G$10:$G$1048576,'Additional &amp; Presentation Entry'!$F$10:$F$1048576,'TB to be sent to client'!B174)</f>
        <v>31006</v>
      </c>
      <c r="E174" s="2509">
        <f t="shared" ca="1" si="2"/>
        <v>31006</v>
      </c>
      <c r="J174" s="2535" t="e">
        <f ca="1">+_xlfn.XLOOKUP(B174,'TB Grouping'!D:D,'TB Grouping'!D:D)</f>
        <v>#NAME?</v>
      </c>
      <c r="L174" s="1" t="s">
        <v>3587</v>
      </c>
    </row>
    <row r="175" spans="2:12" x14ac:dyDescent="0.3">
      <c r="B175" s="183" t="s">
        <v>2554</v>
      </c>
      <c r="C175" s="2509">
        <f ca="1">+SUMIFS('TB Grouping'!F:F,'TB Grouping'!D:D,'TB to be sent to client'!B175)</f>
        <v>0</v>
      </c>
      <c r="D175" s="2509">
        <f>+SUMIFS('Additional &amp; Presentation Entry'!$G$10:$G$1048576,'Additional &amp; Presentation Entry'!$F$10:$F$1048576,'TB to be sent to client'!B175)</f>
        <v>-458193</v>
      </c>
      <c r="E175" s="2509">
        <f t="shared" ca="1" si="2"/>
        <v>-458193</v>
      </c>
      <c r="J175" s="2535" t="e">
        <f ca="1">+_xlfn.XLOOKUP(B175,'TB Grouping'!D:D,'TB Grouping'!D:D)</f>
        <v>#NAME?</v>
      </c>
      <c r="L175" s="1" t="s">
        <v>2554</v>
      </c>
    </row>
    <row r="176" spans="2:12" x14ac:dyDescent="0.3">
      <c r="B176" s="183" t="s">
        <v>2560</v>
      </c>
      <c r="C176" s="2509">
        <f ca="1">+SUMIFS('TB Grouping'!F:F,'TB Grouping'!D:D,'TB to be sent to client'!B176)</f>
        <v>0</v>
      </c>
      <c r="D176" s="2509">
        <f>+SUMIFS('Additional &amp; Presentation Entry'!$G$10:$G$1048576,'Additional &amp; Presentation Entry'!$F$10:$F$1048576,'TB to be sent to client'!B176)</f>
        <v>0</v>
      </c>
      <c r="E176" s="2509">
        <f t="shared" ca="1" si="2"/>
        <v>0</v>
      </c>
      <c r="J176" s="2535" t="e">
        <f ca="1">+_xlfn.XLOOKUP(B176,'TB Grouping'!D:D,'TB Grouping'!D:D)</f>
        <v>#NAME?</v>
      </c>
      <c r="L176" s="1" t="s">
        <v>2560</v>
      </c>
    </row>
    <row r="177" spans="2:12" x14ac:dyDescent="0.3">
      <c r="B177" s="183" t="s">
        <v>3087</v>
      </c>
      <c r="C177" s="2509">
        <f ca="1">+SUMIFS('TB Grouping'!F:F,'TB Grouping'!D:D,'TB to be sent to client'!B177)</f>
        <v>0</v>
      </c>
      <c r="D177" s="2509">
        <f>+SUMIFS('Additional &amp; Presentation Entry'!$G$10:$G$1048576,'Additional &amp; Presentation Entry'!$F$10:$F$1048576,'TB to be sent to client'!B177)</f>
        <v>0</v>
      </c>
      <c r="E177" s="2509">
        <f t="shared" ca="1" si="2"/>
        <v>0</v>
      </c>
      <c r="J177" s="2535" t="e">
        <f ca="1">+_xlfn.XLOOKUP(B177,'TB Grouping'!D:D,'TB Grouping'!D:D)</f>
        <v>#NAME?</v>
      </c>
      <c r="L177" s="1" t="s">
        <v>3087</v>
      </c>
    </row>
    <row r="178" spans="2:12" x14ac:dyDescent="0.3">
      <c r="B178" s="183" t="s">
        <v>2565</v>
      </c>
      <c r="C178" s="2509">
        <f ca="1">+SUMIFS('TB Grouping'!F:F,'TB Grouping'!D:D,'TB to be sent to client'!B178)</f>
        <v>0</v>
      </c>
      <c r="D178" s="2509">
        <f>+SUMIFS('Additional &amp; Presentation Entry'!$G$10:$G$1048576,'Additional &amp; Presentation Entry'!$F$10:$F$1048576,'TB to be sent to client'!B178)</f>
        <v>0</v>
      </c>
      <c r="E178" s="2509">
        <f t="shared" ca="1" si="2"/>
        <v>0</v>
      </c>
      <c r="J178" s="2535" t="e">
        <f ca="1">+_xlfn.XLOOKUP(B178,'TB Grouping'!D:D,'TB Grouping'!D:D)</f>
        <v>#NAME?</v>
      </c>
      <c r="L178" s="1" t="e">
        <v>#N/A</v>
      </c>
    </row>
    <row r="179" spans="2:12" x14ac:dyDescent="0.3">
      <c r="B179" s="183" t="s">
        <v>2566</v>
      </c>
      <c r="C179" s="2509">
        <f ca="1">+SUMIFS('TB Grouping'!F:F,'TB Grouping'!D:D,'TB to be sent to client'!B179)</f>
        <v>0</v>
      </c>
      <c r="D179" s="2509">
        <f>+SUMIFS('Additional &amp; Presentation Entry'!$G$10:$G$1048576,'Additional &amp; Presentation Entry'!$F$10:$F$1048576,'TB to be sent to client'!B179)</f>
        <v>0</v>
      </c>
      <c r="E179" s="2509">
        <f t="shared" ca="1" si="2"/>
        <v>0</v>
      </c>
      <c r="J179" s="2535" t="e">
        <f ca="1">+_xlfn.XLOOKUP(B179,'TB Grouping'!D:D,'TB Grouping'!D:D)</f>
        <v>#NAME?</v>
      </c>
      <c r="L179" s="1" t="e">
        <v>#N/A</v>
      </c>
    </row>
    <row r="180" spans="2:12" x14ac:dyDescent="0.3">
      <c r="B180" s="183" t="s">
        <v>2564</v>
      </c>
      <c r="C180" s="2509">
        <f ca="1">+SUMIFS('TB Grouping'!F:F,'TB Grouping'!D:D,'TB to be sent to client'!B180)</f>
        <v>0</v>
      </c>
      <c r="D180" s="2509">
        <f>+SUMIFS('Additional &amp; Presentation Entry'!$G$10:$G$1048576,'Additional &amp; Presentation Entry'!$F$10:$F$1048576,'TB to be sent to client'!B180)</f>
        <v>0</v>
      </c>
      <c r="E180" s="2509">
        <f t="shared" ca="1" si="2"/>
        <v>0</v>
      </c>
      <c r="J180" s="2535" t="e">
        <f ca="1">+_xlfn.XLOOKUP(B180,'TB Grouping'!D:D,'TB Grouping'!D:D)</f>
        <v>#NAME?</v>
      </c>
      <c r="L180" s="1" t="e">
        <v>#N/A</v>
      </c>
    </row>
    <row r="181" spans="2:12" x14ac:dyDescent="0.3">
      <c r="B181" s="183" t="s">
        <v>3588</v>
      </c>
      <c r="C181" s="2509">
        <f ca="1">+SUMIFS('TB Grouping'!F:F,'TB Grouping'!D:D,'TB to be sent to client'!B181)</f>
        <v>0</v>
      </c>
      <c r="D181" s="2509">
        <f>+SUMIFS('Additional &amp; Presentation Entry'!$G$10:$G$1048576,'Additional &amp; Presentation Entry'!$F$10:$F$1048576,'TB to be sent to client'!B181)</f>
        <v>0</v>
      </c>
      <c r="E181" s="2509">
        <f t="shared" ca="1" si="2"/>
        <v>0</v>
      </c>
      <c r="J181" s="2535" t="e">
        <f ca="1">+_xlfn.XLOOKUP(B181,'TB Grouping'!D:D,'TB Grouping'!D:D)</f>
        <v>#NAME?</v>
      </c>
      <c r="L181" s="1" t="s">
        <v>3588</v>
      </c>
    </row>
    <row r="182" spans="2:12" x14ac:dyDescent="0.3">
      <c r="B182" s="183" t="s">
        <v>3589</v>
      </c>
      <c r="C182" s="2509">
        <f ca="1">+SUMIFS('TB Grouping'!F:F,'TB Grouping'!D:D,'TB to be sent to client'!B182)</f>
        <v>0</v>
      </c>
      <c r="D182" s="2509">
        <f>+SUMIFS('Additional &amp; Presentation Entry'!$G$10:$G$1048576,'Additional &amp; Presentation Entry'!$F$10:$F$1048576,'TB to be sent to client'!B182)</f>
        <v>0</v>
      </c>
      <c r="E182" s="2509">
        <f t="shared" ca="1" si="2"/>
        <v>0</v>
      </c>
      <c r="J182" s="2535" t="e">
        <f ca="1">+_xlfn.XLOOKUP(B182,'TB Grouping'!D:D,'TB Grouping'!D:D)</f>
        <v>#NAME?</v>
      </c>
      <c r="L182" s="1" t="s">
        <v>3589</v>
      </c>
    </row>
    <row r="183" spans="2:12" x14ac:dyDescent="0.3">
      <c r="B183" s="183" t="s">
        <v>2569</v>
      </c>
      <c r="C183" s="2509">
        <f ca="1">+SUMIFS('TB Grouping'!F:F,'TB Grouping'!D:D,'TB to be sent to client'!B183)</f>
        <v>170768.02</v>
      </c>
      <c r="D183" s="2509">
        <f>+SUMIFS('Additional &amp; Presentation Entry'!$G$10:$G$1048576,'Additional &amp; Presentation Entry'!$F$10:$F$1048576,'TB to be sent to client'!B183)</f>
        <v>-150</v>
      </c>
      <c r="E183" s="2509">
        <f t="shared" ca="1" si="2"/>
        <v>170618.02</v>
      </c>
      <c r="J183" s="2535" t="e">
        <f ca="1">+_xlfn.XLOOKUP(B183,'TB Grouping'!D:D,'TB Grouping'!D:D)</f>
        <v>#NAME?</v>
      </c>
      <c r="L183" s="1" t="s">
        <v>2569</v>
      </c>
    </row>
    <row r="184" spans="2:12" x14ac:dyDescent="0.3">
      <c r="B184" s="183" t="s">
        <v>3564</v>
      </c>
      <c r="C184" s="2509">
        <f ca="1">+SUMIFS('TB Grouping'!F:F,'TB Grouping'!D:D,'TB to be sent to client'!B184)</f>
        <v>0</v>
      </c>
      <c r="D184" s="2509">
        <f>+SUMIFS('Additional &amp; Presentation Entry'!$G$10:$G$1048576,'Additional &amp; Presentation Entry'!$F$10:$F$1048576,'TB to be sent to client'!B184)</f>
        <v>-344.33</v>
      </c>
      <c r="E184" s="2509">
        <f t="shared" ca="1" si="2"/>
        <v>-344.33</v>
      </c>
      <c r="J184" s="2535" t="e">
        <f ca="1">+_xlfn.XLOOKUP(B184,'TB Grouping'!D:D,'TB Grouping'!D:D)</f>
        <v>#NAME?</v>
      </c>
      <c r="L184" s="1" t="s">
        <v>3564</v>
      </c>
    </row>
    <row r="185" spans="2:12" x14ac:dyDescent="0.3">
      <c r="B185" s="183" t="s">
        <v>2572</v>
      </c>
      <c r="C185" s="2509">
        <f ca="1">+SUMIFS('TB Grouping'!F:F,'TB Grouping'!D:D,'TB to be sent to client'!B185)</f>
        <v>-362850</v>
      </c>
      <c r="D185" s="2509">
        <f>+SUMIFS('Additional &amp; Presentation Entry'!$G$10:$G$1048576,'Additional &amp; Presentation Entry'!$F$10:$F$1048576,'TB to be sent to client'!B185)</f>
        <v>0</v>
      </c>
      <c r="E185" s="2509">
        <f t="shared" ca="1" si="2"/>
        <v>-362850</v>
      </c>
      <c r="J185" s="2535" t="e">
        <f ca="1">+_xlfn.XLOOKUP(B185,'TB Grouping'!D:D,'TB Grouping'!D:D)</f>
        <v>#NAME?</v>
      </c>
      <c r="L185" s="1" t="s">
        <v>2572</v>
      </c>
    </row>
    <row r="186" spans="2:12" x14ac:dyDescent="0.3">
      <c r="B186" s="183" t="s">
        <v>3627</v>
      </c>
      <c r="C186" s="2509">
        <f ca="1">+SUMIFS('TB Grouping'!F:F,'TB Grouping'!D:D,'TB to be sent to client'!B186)</f>
        <v>0</v>
      </c>
      <c r="D186" s="2509">
        <f>+SUMIFS('Additional &amp; Presentation Entry'!$G$10:$G$1048576,'Additional &amp; Presentation Entry'!$F$10:$F$1048576,'TB to be sent to client'!B186)</f>
        <v>0</v>
      </c>
      <c r="E186" s="2509">
        <f t="shared" ca="1" si="2"/>
        <v>0</v>
      </c>
      <c r="J186" s="2535" t="e">
        <f ca="1">+_xlfn.XLOOKUP(B186,'TB Grouping'!D:D,'TB Grouping'!D:D)</f>
        <v>#NAME?</v>
      </c>
      <c r="L186" s="1" t="s">
        <v>3627</v>
      </c>
    </row>
    <row r="187" spans="2:12" x14ac:dyDescent="0.3">
      <c r="B187" s="183" t="s">
        <v>2577</v>
      </c>
      <c r="C187" s="2509">
        <f ca="1">+SUMIFS('TB Grouping'!F:F,'TB Grouping'!D:D,'TB to be sent to client'!B187)</f>
        <v>0</v>
      </c>
      <c r="D187" s="2509">
        <f>+SUMIFS('Additional &amp; Presentation Entry'!$G$10:$G$1048576,'Additional &amp; Presentation Entry'!$F$10:$F$1048576,'TB to be sent to client'!B187)</f>
        <v>0</v>
      </c>
      <c r="E187" s="2509">
        <f t="shared" ca="1" si="2"/>
        <v>0</v>
      </c>
      <c r="J187" s="2535" t="e">
        <f ca="1">+_xlfn.XLOOKUP(B187,'TB Grouping'!D:D,'TB Grouping'!D:D)</f>
        <v>#NAME?</v>
      </c>
      <c r="L187" s="1" t="s">
        <v>2577</v>
      </c>
    </row>
    <row r="188" spans="2:12" x14ac:dyDescent="0.3">
      <c r="B188" s="183" t="s">
        <v>3088</v>
      </c>
      <c r="C188" s="2509">
        <f ca="1">+SUMIFS('TB Grouping'!F:F,'TB Grouping'!D:D,'TB to be sent to client'!B188)</f>
        <v>0</v>
      </c>
      <c r="D188" s="2509">
        <f>+SUMIFS('Additional &amp; Presentation Entry'!$G$10:$G$1048576,'Additional &amp; Presentation Entry'!$F$10:$F$1048576,'TB to be sent to client'!B188)</f>
        <v>94655</v>
      </c>
      <c r="E188" s="2509">
        <f t="shared" ca="1" si="2"/>
        <v>94655</v>
      </c>
      <c r="J188" s="2535" t="e">
        <f ca="1">+_xlfn.XLOOKUP(B188,'TB Grouping'!D:D,'TB Grouping'!D:D)</f>
        <v>#NAME?</v>
      </c>
      <c r="L188" s="1" t="s">
        <v>3088</v>
      </c>
    </row>
    <row r="189" spans="2:12" x14ac:dyDescent="0.3">
      <c r="B189" s="183" t="s">
        <v>3590</v>
      </c>
      <c r="C189" s="2509">
        <f ca="1">+SUMIFS('TB Grouping'!F:F,'TB Grouping'!D:D,'TB to be sent to client'!B189)</f>
        <v>0</v>
      </c>
      <c r="D189" s="2509">
        <f>+SUMIFS('Additional &amp; Presentation Entry'!$G$10:$G$1048576,'Additional &amp; Presentation Entry'!$F$10:$F$1048576,'TB to be sent to client'!B189)</f>
        <v>310400</v>
      </c>
      <c r="E189" s="2509">
        <f t="shared" ca="1" si="2"/>
        <v>310400</v>
      </c>
      <c r="J189" s="2535" t="e">
        <f ca="1">+_xlfn.XLOOKUP(B189,'TB Grouping'!D:D,'TB Grouping'!D:D)</f>
        <v>#NAME?</v>
      </c>
      <c r="L189" s="1" t="s">
        <v>3590</v>
      </c>
    </row>
    <row r="190" spans="2:12" x14ac:dyDescent="0.3">
      <c r="B190" s="183" t="s">
        <v>2580</v>
      </c>
      <c r="C190" s="2509">
        <f ca="1">+SUMIFS('TB Grouping'!F:F,'TB Grouping'!D:D,'TB to be sent to client'!B190)</f>
        <v>11506967.48</v>
      </c>
      <c r="D190" s="2509">
        <f>+SUMIFS('Additional &amp; Presentation Entry'!$G$10:$G$1048576,'Additional &amp; Presentation Entry'!$F$10:$F$1048576,'TB to be sent to client'!B190)</f>
        <v>150</v>
      </c>
      <c r="E190" s="2509">
        <f t="shared" ca="1" si="2"/>
        <v>11507117.48</v>
      </c>
      <c r="J190" s="2535" t="e">
        <f ca="1">+_xlfn.XLOOKUP(B190,'TB Grouping'!D:D,'TB Grouping'!D:D)</f>
        <v>#NAME?</v>
      </c>
      <c r="L190" s="1" t="s">
        <v>2580</v>
      </c>
    </row>
    <row r="191" spans="2:12" x14ac:dyDescent="0.3">
      <c r="B191" s="183" t="s">
        <v>2581</v>
      </c>
      <c r="C191" s="2509">
        <f ca="1">+SUMIFS('TB Grouping'!F:F,'TB Grouping'!D:D,'TB to be sent to client'!B191)</f>
        <v>-11506968.539999999</v>
      </c>
      <c r="D191" s="2509">
        <f>+SUMIFS('Additional &amp; Presentation Entry'!$G$10:$G$1048576,'Additional &amp; Presentation Entry'!$F$10:$F$1048576,'TB to be sent to client'!B191)</f>
        <v>0</v>
      </c>
      <c r="E191" s="2509">
        <f t="shared" ca="1" si="2"/>
        <v>-11506968.539999999</v>
      </c>
      <c r="J191" s="2535" t="e">
        <f ca="1">+_xlfn.XLOOKUP(B191,'TB Grouping'!D:D,'TB Grouping'!D:D)</f>
        <v>#NAME?</v>
      </c>
      <c r="L191" s="1" t="s">
        <v>2581</v>
      </c>
    </row>
    <row r="192" spans="2:12" x14ac:dyDescent="0.3">
      <c r="B192" s="183" t="s">
        <v>3174</v>
      </c>
      <c r="C192" s="2509">
        <f ca="1">+SUMIFS('TB Grouping'!F:F,'TB Grouping'!D:D,'TB to be sent to client'!B192)</f>
        <v>0</v>
      </c>
      <c r="D192" s="2509">
        <f>+SUMIFS('Additional &amp; Presentation Entry'!$G$10:$G$1048576,'Additional &amp; Presentation Entry'!$F$10:$F$1048576,'TB to be sent to client'!B192)</f>
        <v>-82704</v>
      </c>
      <c r="E192" s="2509">
        <f t="shared" ca="1" si="2"/>
        <v>-82704</v>
      </c>
      <c r="J192" s="2535" t="e">
        <f ca="1">+_xlfn.XLOOKUP(B192,'TB Grouping'!D:D,'TB Grouping'!D:D)</f>
        <v>#NAME?</v>
      </c>
      <c r="L192" s="1" t="s">
        <v>3174</v>
      </c>
    </row>
    <row r="193" spans="2:12" x14ac:dyDescent="0.3">
      <c r="B193" s="183" t="s">
        <v>2630</v>
      </c>
      <c r="C193" s="2509">
        <f ca="1">+SUMIFS('TB Grouping'!F:F,'TB Grouping'!D:D,'TB to be sent to client'!B193)</f>
        <v>0</v>
      </c>
      <c r="D193" s="2509">
        <f>+SUMIFS('Additional &amp; Presentation Entry'!$G$10:$G$1048576,'Additional &amp; Presentation Entry'!$F$10:$F$1048576,'TB to be sent to client'!B193)</f>
        <v>3600</v>
      </c>
      <c r="E193" s="2509">
        <f t="shared" ca="1" si="2"/>
        <v>3600</v>
      </c>
      <c r="J193" s="2535" t="e">
        <f ca="1">+_xlfn.XLOOKUP(B193,'TB Grouping'!D:D,'TB Grouping'!D:D)</f>
        <v>#NAME?</v>
      </c>
      <c r="L193" s="1" t="s">
        <v>2630</v>
      </c>
    </row>
    <row r="194" spans="2:12" x14ac:dyDescent="0.3">
      <c r="B194" s="183" t="s">
        <v>2598</v>
      </c>
      <c r="C194" s="2509">
        <f ca="1">+SUMIFS('TB Grouping'!F:F,'TB Grouping'!D:D,'TB to be sent to client'!B194)</f>
        <v>4157.34</v>
      </c>
      <c r="D194" s="2509">
        <f>+SUMIFS('Additional &amp; Presentation Entry'!$G$10:$G$1048576,'Additional &amp; Presentation Entry'!$F$10:$F$1048576,'TB to be sent to client'!B194)</f>
        <v>4157.8800000001211</v>
      </c>
      <c r="E194" s="2509">
        <f t="shared" ca="1" si="2"/>
        <v>8315.2200000001212</v>
      </c>
      <c r="J194" s="2535" t="e">
        <f ca="1">+_xlfn.XLOOKUP(B194,'TB Grouping'!D:D,'TB Grouping'!D:D)</f>
        <v>#NAME?</v>
      </c>
      <c r="L194" s="1" t="s">
        <v>2598</v>
      </c>
    </row>
    <row r="195" spans="2:12" x14ac:dyDescent="0.3">
      <c r="B195" s="183" t="s">
        <v>2609</v>
      </c>
      <c r="C195" s="2509">
        <f ca="1">+SUMIFS('TB Grouping'!F:F,'TB Grouping'!D:D,'TB to be sent to client'!B195)</f>
        <v>0</v>
      </c>
      <c r="D195" s="2509">
        <f>+SUMIFS('Additional &amp; Presentation Entry'!$G$10:$G$1048576,'Additional &amp; Presentation Entry'!$F$10:$F$1048576,'TB to be sent to client'!B195)</f>
        <v>0</v>
      </c>
      <c r="E195" s="2509">
        <f t="shared" ca="1" si="2"/>
        <v>0</v>
      </c>
      <c r="J195" s="2535" t="e">
        <f ca="1">+_xlfn.XLOOKUP(B195,'TB Grouping'!D:D,'TB Grouping'!D:D)</f>
        <v>#NAME?</v>
      </c>
      <c r="L195" s="1" t="e">
        <v>#N/A</v>
      </c>
    </row>
    <row r="196" spans="2:12" x14ac:dyDescent="0.3">
      <c r="B196" s="183" t="s">
        <v>2638</v>
      </c>
      <c r="C196" s="2509">
        <f ca="1">+SUMIFS('TB Grouping'!F:F,'TB Grouping'!D:D,'TB to be sent to client'!B196)</f>
        <v>0</v>
      </c>
      <c r="D196" s="2509">
        <f>+SUMIFS('Additional &amp; Presentation Entry'!$G$10:$G$1048576,'Additional &amp; Presentation Entry'!$F$10:$F$1048576,'TB to be sent to client'!B196)</f>
        <v>-62932.92</v>
      </c>
      <c r="E196" s="2509">
        <f t="shared" ca="1" si="2"/>
        <v>-62932.92</v>
      </c>
      <c r="J196" s="2535" t="e">
        <f ca="1">+_xlfn.XLOOKUP(B196,'TB Grouping'!D:D,'TB Grouping'!D:D)</f>
        <v>#NAME?</v>
      </c>
      <c r="L196" s="1" t="s">
        <v>2638</v>
      </c>
    </row>
    <row r="197" spans="2:12" x14ac:dyDescent="0.3">
      <c r="B197" s="183" t="s">
        <v>2640</v>
      </c>
      <c r="C197" s="2509">
        <f ca="1">+SUMIFS('TB Grouping'!F:F,'TB Grouping'!D:D,'TB to be sent to client'!B197)</f>
        <v>17473.25</v>
      </c>
      <c r="D197" s="2509">
        <f>+SUMIFS('Additional &amp; Presentation Entry'!$G$10:$G$1048576,'Additional &amp; Presentation Entry'!$F$10:$F$1048576,'TB to be sent to client'!B197)</f>
        <v>-7794.2506849315105</v>
      </c>
      <c r="E197" s="2509">
        <f t="shared" ca="1" si="2"/>
        <v>9678.9993150684895</v>
      </c>
      <c r="J197" s="2535" t="e">
        <f ca="1">+_xlfn.XLOOKUP(B197,'TB Grouping'!D:D,'TB Grouping'!D:D)</f>
        <v>#NAME?</v>
      </c>
      <c r="L197" s="1" t="s">
        <v>2640</v>
      </c>
    </row>
    <row r="198" spans="2:12" x14ac:dyDescent="0.3">
      <c r="B198" s="183" t="s">
        <v>2641</v>
      </c>
      <c r="C198" s="2509">
        <f ca="1">+SUMIFS('TB Grouping'!F:F,'TB Grouping'!D:D,'TB to be sent to client'!B198)</f>
        <v>171083.84</v>
      </c>
      <c r="D198" s="2509">
        <f>+SUMIFS('Additional &amp; Presentation Entry'!$G$10:$G$1048576,'Additional &amp; Presentation Entry'!$F$10:$F$1048576,'TB to be sent to client'!B198)</f>
        <v>-41316.164383561598</v>
      </c>
      <c r="E198" s="2509">
        <f t="shared" ca="1" si="2"/>
        <v>129767.6756164384</v>
      </c>
      <c r="J198" s="2535" t="e">
        <f ca="1">+_xlfn.XLOOKUP(B198,'TB Grouping'!D:D,'TB Grouping'!D:D)</f>
        <v>#NAME?</v>
      </c>
      <c r="L198" s="1" t="s">
        <v>2641</v>
      </c>
    </row>
    <row r="199" spans="2:12" x14ac:dyDescent="0.3">
      <c r="B199" s="183" t="s">
        <v>2642</v>
      </c>
      <c r="C199" s="2509">
        <f ca="1">+SUMIFS('TB Grouping'!F:F,'TB Grouping'!D:D,'TB to be sent to client'!B199)</f>
        <v>104698.19</v>
      </c>
      <c r="D199" s="2509">
        <f>+SUMIFS('Additional &amp; Presentation Entry'!$G$10:$G$1048576,'Additional &amp; Presentation Entry'!$F$10:$F$1048576,'TB to be sent to client'!B199)</f>
        <v>619.71561643834866</v>
      </c>
      <c r="E199" s="2509">
        <f t="shared" ca="1" si="2"/>
        <v>105317.90561643835</v>
      </c>
      <c r="J199" s="2535" t="e">
        <f ca="1">+_xlfn.XLOOKUP(B199,'TB Grouping'!D:D,'TB Grouping'!D:D)</f>
        <v>#NAME?</v>
      </c>
      <c r="L199" s="1" t="s">
        <v>2642</v>
      </c>
    </row>
    <row r="200" spans="2:12" x14ac:dyDescent="0.3">
      <c r="B200" s="183" t="s">
        <v>2636</v>
      </c>
      <c r="C200" s="2509">
        <f ca="1">+SUMIFS('TB Grouping'!F:F,'TB Grouping'!D:D,'TB to be sent to client'!B200)</f>
        <v>28284.92</v>
      </c>
      <c r="D200" s="2509">
        <f>+SUMIFS('Additional &amp; Presentation Entry'!$G$10:$G$1048576,'Additional &amp; Presentation Entry'!$F$10:$F$1048576,'TB to be sent to client'!B200)</f>
        <v>2059.0171270718201</v>
      </c>
      <c r="E200" s="2509">
        <f t="shared" ca="1" si="2"/>
        <v>30343.937127071818</v>
      </c>
      <c r="J200" s="2535" t="e">
        <f ca="1">+_xlfn.XLOOKUP(B200,'TB Grouping'!D:D,'TB Grouping'!D:D)</f>
        <v>#NAME?</v>
      </c>
      <c r="L200" s="1" t="s">
        <v>2636</v>
      </c>
    </row>
    <row r="201" spans="2:12" x14ac:dyDescent="0.3">
      <c r="B201" s="183" t="s">
        <v>2644</v>
      </c>
      <c r="C201" s="2509">
        <f ca="1">+SUMIFS('TB Grouping'!F:F,'TB Grouping'!D:D,'TB to be sent to client'!B201)</f>
        <v>26450.81</v>
      </c>
      <c r="D201" s="2509">
        <f>+SUMIFS('Additional &amp; Presentation Entry'!$G$10:$G$1048576,'Additional &amp; Presentation Entry'!$F$10:$F$1048576,'TB to be sent to client'!B201)</f>
        <v>0</v>
      </c>
      <c r="E201" s="2509">
        <f t="shared" ref="E201:E264" ca="1" si="3">+C201+D201</f>
        <v>26450.81</v>
      </c>
      <c r="J201" s="2535" t="e">
        <f ca="1">+_xlfn.XLOOKUP(B201,'TB Grouping'!D:D,'TB Grouping'!D:D)</f>
        <v>#NAME?</v>
      </c>
      <c r="L201" s="1" t="s">
        <v>2644</v>
      </c>
    </row>
    <row r="202" spans="2:12" x14ac:dyDescent="0.3">
      <c r="B202" s="183" t="s">
        <v>2645</v>
      </c>
      <c r="C202" s="2509">
        <f ca="1">+SUMIFS('TB Grouping'!F:F,'TB Grouping'!D:D,'TB to be sent to client'!B202)</f>
        <v>9937.27</v>
      </c>
      <c r="D202" s="2509">
        <f>+SUMIFS('Additional &amp; Presentation Entry'!$G$10:$G$1048576,'Additional &amp; Presentation Entry'!$F$10:$F$1048576,'TB to be sent to client'!B202)</f>
        <v>0</v>
      </c>
      <c r="E202" s="2509">
        <f t="shared" ca="1" si="3"/>
        <v>9937.27</v>
      </c>
      <c r="J202" s="2535" t="e">
        <f ca="1">+_xlfn.XLOOKUP(B202,'TB Grouping'!D:D,'TB Grouping'!D:D)</f>
        <v>#NAME?</v>
      </c>
      <c r="L202" s="1" t="s">
        <v>2645</v>
      </c>
    </row>
    <row r="203" spans="2:12" x14ac:dyDescent="0.3">
      <c r="B203" s="183" t="s">
        <v>3591</v>
      </c>
      <c r="C203" s="2509">
        <f ca="1">+SUMIFS('TB Grouping'!F:F,'TB Grouping'!D:D,'TB to be sent to client'!B203)</f>
        <v>0</v>
      </c>
      <c r="D203" s="2509">
        <f>+SUMIFS('Additional &amp; Presentation Entry'!$G$10:$G$1048576,'Additional &amp; Presentation Entry'!$F$10:$F$1048576,'TB to be sent to client'!B203)</f>
        <v>0</v>
      </c>
      <c r="E203" s="2509">
        <f t="shared" ca="1" si="3"/>
        <v>0</v>
      </c>
      <c r="J203" s="2535" t="e">
        <f ca="1">+_xlfn.XLOOKUP(B203,'TB Grouping'!D:D,'TB Grouping'!D:D)</f>
        <v>#NAME?</v>
      </c>
      <c r="L203" s="1" t="s">
        <v>3591</v>
      </c>
    </row>
    <row r="204" spans="2:12" x14ac:dyDescent="0.3">
      <c r="B204" s="183" t="s">
        <v>3173</v>
      </c>
      <c r="C204" s="2509">
        <f ca="1">+SUMIFS('TB Grouping'!F:F,'TB Grouping'!D:D,'TB to be sent to client'!B204)</f>
        <v>0</v>
      </c>
      <c r="D204" s="2509">
        <f>+SUMIFS('Additional &amp; Presentation Entry'!$G$10:$G$1048576,'Additional &amp; Presentation Entry'!$F$10:$F$1048576,'TB to be sent to client'!B204)</f>
        <v>347437.36</v>
      </c>
      <c r="E204" s="2509">
        <f t="shared" ca="1" si="3"/>
        <v>347437.36</v>
      </c>
      <c r="J204" s="2535" t="e">
        <f ca="1">+_xlfn.XLOOKUP(B204,'TB Grouping'!D:D,'TB Grouping'!D:D)</f>
        <v>#NAME?</v>
      </c>
      <c r="L204" s="1" t="s">
        <v>3173</v>
      </c>
    </row>
    <row r="205" spans="2:12" x14ac:dyDescent="0.3">
      <c r="B205" s="183" t="s">
        <v>2649</v>
      </c>
      <c r="C205" s="2509">
        <f ca="1">+SUMIFS('TB Grouping'!F:F,'TB Grouping'!D:D,'TB to be sent to client'!B205)</f>
        <v>0</v>
      </c>
      <c r="D205" s="2509">
        <f>+SUMIFS('Additional &amp; Presentation Entry'!$G$10:$G$1048576,'Additional &amp; Presentation Entry'!$F$10:$F$1048576,'TB to be sent to client'!B205)</f>
        <v>0</v>
      </c>
      <c r="E205" s="2509">
        <f t="shared" ca="1" si="3"/>
        <v>0</v>
      </c>
      <c r="J205" s="2535" t="e">
        <f ca="1">+_xlfn.XLOOKUP(B205,'TB Grouping'!D:D,'TB Grouping'!D:D)</f>
        <v>#NAME?</v>
      </c>
      <c r="L205" s="1" t="e">
        <v>#N/A</v>
      </c>
    </row>
    <row r="206" spans="2:12" x14ac:dyDescent="0.3">
      <c r="B206" s="183" t="s">
        <v>3592</v>
      </c>
      <c r="C206" s="2509">
        <f ca="1">+SUMIFS('TB Grouping'!F:F,'TB Grouping'!D:D,'TB to be sent to client'!B206)</f>
        <v>0</v>
      </c>
      <c r="D206" s="2509">
        <f>+SUMIFS('Additional &amp; Presentation Entry'!$G$10:$G$1048576,'Additional &amp; Presentation Entry'!$F$10:$F$1048576,'TB to be sent to client'!B206)</f>
        <v>0</v>
      </c>
      <c r="E206" s="2509">
        <f t="shared" ca="1" si="3"/>
        <v>0</v>
      </c>
      <c r="J206" s="2535" t="e">
        <f ca="1">+_xlfn.XLOOKUP(B206,'TB Grouping'!D:D,'TB Grouping'!D:D)</f>
        <v>#NAME?</v>
      </c>
      <c r="L206" s="1" t="s">
        <v>3592</v>
      </c>
    </row>
    <row r="207" spans="2:12" x14ac:dyDescent="0.3">
      <c r="B207" s="183" t="s">
        <v>2652</v>
      </c>
      <c r="C207" s="2509">
        <f ca="1">+SUMIFS('TB Grouping'!F:F,'TB Grouping'!D:D,'TB to be sent to client'!B207)</f>
        <v>0</v>
      </c>
      <c r="D207" s="2509">
        <f>+SUMIFS('Additional &amp; Presentation Entry'!$G$10:$G$1048576,'Additional &amp; Presentation Entry'!$F$10:$F$1048576,'TB to be sent to client'!B207)</f>
        <v>0</v>
      </c>
      <c r="E207" s="2509">
        <f t="shared" ca="1" si="3"/>
        <v>0</v>
      </c>
      <c r="J207" s="2535" t="e">
        <f ca="1">+_xlfn.XLOOKUP(B207,'TB Grouping'!D:D,'TB Grouping'!D:D)</f>
        <v>#NAME?</v>
      </c>
      <c r="L207" s="1" t="s">
        <v>2652</v>
      </c>
    </row>
    <row r="208" spans="2:12" x14ac:dyDescent="0.3">
      <c r="B208" s="183" t="s">
        <v>3090</v>
      </c>
      <c r="C208" s="2509">
        <f ca="1">+SUMIFS('TB Grouping'!F:F,'TB Grouping'!D:D,'TB to be sent to client'!B208)</f>
        <v>0</v>
      </c>
      <c r="D208" s="2509">
        <f>+SUMIFS('Additional &amp; Presentation Entry'!$G$10:$G$1048576,'Additional &amp; Presentation Entry'!$F$10:$F$1048576,'TB to be sent to client'!B208)</f>
        <v>27832</v>
      </c>
      <c r="E208" s="2509">
        <f t="shared" ca="1" si="3"/>
        <v>27832</v>
      </c>
      <c r="J208" s="2535" t="e">
        <f ca="1">+_xlfn.XLOOKUP(B208,'TB Grouping'!D:D,'TB Grouping'!D:D)</f>
        <v>#NAME?</v>
      </c>
      <c r="L208" s="1" t="s">
        <v>3090</v>
      </c>
    </row>
    <row r="209" spans="2:12" x14ac:dyDescent="0.3">
      <c r="B209" s="183" t="s">
        <v>3089</v>
      </c>
      <c r="C209" s="2509">
        <f ca="1">+SUMIFS('TB Grouping'!F:F,'TB Grouping'!D:D,'TB to be sent to client'!B209)</f>
        <v>0</v>
      </c>
      <c r="D209" s="2509">
        <f>+SUMIFS('Additional &amp; Presentation Entry'!$G$10:$G$1048576,'Additional &amp; Presentation Entry'!$F$10:$F$1048576,'TB to be sent to client'!B209)</f>
        <v>0</v>
      </c>
      <c r="E209" s="2509">
        <f t="shared" ca="1" si="3"/>
        <v>0</v>
      </c>
      <c r="J209" s="2535" t="e">
        <f ca="1">+_xlfn.XLOOKUP(B209,'TB Grouping'!D:D,'TB Grouping'!D:D)</f>
        <v>#NAME?</v>
      </c>
      <c r="L209" s="1" t="s">
        <v>3089</v>
      </c>
    </row>
    <row r="210" spans="2:12" x14ac:dyDescent="0.3">
      <c r="B210" s="183" t="s">
        <v>2656</v>
      </c>
      <c r="C210" s="2509">
        <f ca="1">+SUMIFS('TB Grouping'!F:F,'TB Grouping'!D:D,'TB to be sent to client'!B210)</f>
        <v>-4700</v>
      </c>
      <c r="D210" s="2509">
        <f>+SUMIFS('Additional &amp; Presentation Entry'!$G$10:$G$1048576,'Additional &amp; Presentation Entry'!$F$10:$F$1048576,'TB to be sent to client'!B210)</f>
        <v>4600</v>
      </c>
      <c r="E210" s="2509">
        <f t="shared" ca="1" si="3"/>
        <v>-100</v>
      </c>
      <c r="J210" s="2535" t="e">
        <f ca="1">+_xlfn.XLOOKUP(B210,'TB Grouping'!D:D,'TB Grouping'!D:D)</f>
        <v>#NAME?</v>
      </c>
      <c r="L210" s="1" t="s">
        <v>2656</v>
      </c>
    </row>
    <row r="211" spans="2:12" x14ac:dyDescent="0.3">
      <c r="B211" s="183" t="s">
        <v>2657</v>
      </c>
      <c r="C211" s="2509">
        <f ca="1">+SUMIFS('TB Grouping'!F:F,'TB Grouping'!D:D,'TB to be sent to client'!B211)</f>
        <v>1505314</v>
      </c>
      <c r="D211" s="2509">
        <f>+SUMIFS('Additional &amp; Presentation Entry'!$G$10:$G$1048576,'Additional &amp; Presentation Entry'!$F$10:$F$1048576,'TB to be sent to client'!B211)</f>
        <v>-432766</v>
      </c>
      <c r="E211" s="2509">
        <f t="shared" ca="1" si="3"/>
        <v>1072548</v>
      </c>
      <c r="J211" s="2535" t="e">
        <f ca="1">+_xlfn.XLOOKUP(B211,'TB Grouping'!D:D,'TB Grouping'!D:D)</f>
        <v>#NAME?</v>
      </c>
      <c r="L211" s="1" t="s">
        <v>2657</v>
      </c>
    </row>
    <row r="212" spans="2:12" x14ac:dyDescent="0.3">
      <c r="B212" s="183" t="s">
        <v>2658</v>
      </c>
      <c r="C212" s="2509">
        <f ca="1">+SUMIFS('TB Grouping'!F:F,'TB Grouping'!D:D,'TB to be sent to client'!B212)</f>
        <v>91250.9</v>
      </c>
      <c r="D212" s="2509">
        <f>+SUMIFS('Additional &amp; Presentation Entry'!$G$10:$G$1048576,'Additional &amp; Presentation Entry'!$F$10:$F$1048576,'TB to be sent to client'!B212)</f>
        <v>-24750</v>
      </c>
      <c r="E212" s="2509">
        <f t="shared" ca="1" si="3"/>
        <v>66500.899999999994</v>
      </c>
      <c r="J212" s="2535" t="e">
        <f ca="1">+_xlfn.XLOOKUP(B212,'TB Grouping'!D:D,'TB Grouping'!D:D)</f>
        <v>#NAME?</v>
      </c>
      <c r="L212" s="1" t="s">
        <v>2658</v>
      </c>
    </row>
    <row r="213" spans="2:12" x14ac:dyDescent="0.3">
      <c r="B213" s="183" t="s">
        <v>733</v>
      </c>
      <c r="C213" s="2509">
        <f ca="1">+SUMIFS('TB Grouping'!F:F,'TB Grouping'!D:D,'TB to be sent to client'!B213)*0+H4</f>
        <v>-80874157.920000002</v>
      </c>
      <c r="D213" s="2509">
        <f>+SUMIFS('Additional &amp; Presentation Entry'!$G$10:$G$1048576,'Additional &amp; Presentation Entry'!$F$10:$F$1048576,'TB to be sent to client'!B213)</f>
        <v>0</v>
      </c>
      <c r="E213" s="2509">
        <f t="shared" ca="1" si="3"/>
        <v>-80874157.920000002</v>
      </c>
      <c r="J213" s="2535" t="e">
        <f ca="1">+_xlfn.XLOOKUP(B213,'TB Grouping'!D:D,'TB Grouping'!D:D)</f>
        <v>#NAME?</v>
      </c>
      <c r="L213" s="1" t="s">
        <v>733</v>
      </c>
    </row>
    <row r="214" spans="2:12" x14ac:dyDescent="0.3">
      <c r="B214" s="183" t="s">
        <v>2661</v>
      </c>
      <c r="C214" s="2509">
        <f ca="1">+SUMIFS('TB Grouping'!F:F,'TB Grouping'!D:D,'TB to be sent to client'!B214)</f>
        <v>-1409952.56</v>
      </c>
      <c r="D214" s="2509">
        <f>+SUMIFS('Additional &amp; Presentation Entry'!$G$10:$G$1048576,'Additional &amp; Presentation Entry'!$F$10:$F$1048576,'TB to be sent to client'!B214)</f>
        <v>-4157.8800000001211</v>
      </c>
      <c r="E214" s="2509">
        <f t="shared" ca="1" si="3"/>
        <v>-1414110.4400000002</v>
      </c>
      <c r="J214" s="2535" t="e">
        <f ca="1">+_xlfn.XLOOKUP(B214,'TB Grouping'!D:D,'TB Grouping'!D:D)</f>
        <v>#NAME?</v>
      </c>
      <c r="L214" s="1" t="s">
        <v>2661</v>
      </c>
    </row>
    <row r="215" spans="2:12" x14ac:dyDescent="0.3">
      <c r="B215" s="183" t="s">
        <v>3092</v>
      </c>
      <c r="C215" s="2509">
        <f ca="1">+SUMIFS('TB Grouping'!F:F,'TB Grouping'!D:D,'TB to be sent to client'!B215)</f>
        <v>0</v>
      </c>
      <c r="D215" s="2509">
        <f>+SUMIFS('Additional &amp; Presentation Entry'!$G$10:$G$1048576,'Additional &amp; Presentation Entry'!$F$10:$F$1048576,'TB to be sent to client'!B215)</f>
        <v>0</v>
      </c>
      <c r="E215" s="2509">
        <f t="shared" ca="1" si="3"/>
        <v>0</v>
      </c>
      <c r="J215" s="2535" t="e">
        <f ca="1">+_xlfn.XLOOKUP(B215,'TB Grouping'!D:D,'TB Grouping'!D:D)</f>
        <v>#NAME?</v>
      </c>
      <c r="L215" s="1" t="s">
        <v>3092</v>
      </c>
    </row>
    <row r="216" spans="2:12" x14ac:dyDescent="0.3">
      <c r="B216" s="183" t="s">
        <v>3091</v>
      </c>
      <c r="C216" s="2509">
        <f ca="1">+SUMIFS('TB Grouping'!F:F,'TB Grouping'!D:D,'TB to be sent to client'!B216)</f>
        <v>0</v>
      </c>
      <c r="D216" s="2509">
        <f>+SUMIFS('Additional &amp; Presentation Entry'!$G$10:$G$1048576,'Additional &amp; Presentation Entry'!$F$10:$F$1048576,'TB to be sent to client'!B216)</f>
        <v>0</v>
      </c>
      <c r="E216" s="2509">
        <f t="shared" ca="1" si="3"/>
        <v>0</v>
      </c>
      <c r="J216" s="2535" t="e">
        <f ca="1">+_xlfn.XLOOKUP(B216,'TB Grouping'!D:D,'TB Grouping'!D:D)</f>
        <v>#NAME?</v>
      </c>
      <c r="L216" s="1" t="s">
        <v>3091</v>
      </c>
    </row>
    <row r="217" spans="2:12" x14ac:dyDescent="0.3">
      <c r="B217" s="183" t="s">
        <v>3093</v>
      </c>
      <c r="C217" s="2509">
        <f ca="1">+SUMIFS('TB Grouping'!F:F,'TB Grouping'!D:D,'TB to be sent to client'!B217)</f>
        <v>-3343429</v>
      </c>
      <c r="D217" s="2509">
        <f>+SUMIFS('Additional &amp; Presentation Entry'!$G$10:$G$1048576,'Additional &amp; Presentation Entry'!$F$10:$F$1048576,'TB to be sent to client'!B217)</f>
        <v>0</v>
      </c>
      <c r="E217" s="2509">
        <f t="shared" ca="1" si="3"/>
        <v>-3343429</v>
      </c>
      <c r="J217" s="2535" t="e">
        <f ca="1">+_xlfn.XLOOKUP(B217,'TB Grouping'!D:D,'TB Grouping'!D:D)</f>
        <v>#NAME?</v>
      </c>
      <c r="L217" s="1" t="s">
        <v>3093</v>
      </c>
    </row>
    <row r="218" spans="2:12" x14ac:dyDescent="0.3">
      <c r="B218" s="183" t="s">
        <v>3171</v>
      </c>
      <c r="C218" s="2509">
        <f ca="1">+SUMIFS('TB Grouping'!F:F,'TB Grouping'!D:D,'TB to be sent to client'!B218)</f>
        <v>0</v>
      </c>
      <c r="D218" s="2509">
        <f>+SUMIFS('Additional &amp; Presentation Entry'!$G$10:$G$1048576,'Additional &amp; Presentation Entry'!$F$10:$F$1048576,'TB to be sent to client'!B218)</f>
        <v>91954.64</v>
      </c>
      <c r="E218" s="2509">
        <f t="shared" ca="1" si="3"/>
        <v>91954.64</v>
      </c>
      <c r="J218" s="2535" t="e">
        <f ca="1">+_xlfn.XLOOKUP(B218,'TB Grouping'!D:D,'TB Grouping'!D:D)</f>
        <v>#NAME?</v>
      </c>
      <c r="L218" s="1" t="s">
        <v>3171</v>
      </c>
    </row>
    <row r="219" spans="2:12" x14ac:dyDescent="0.3">
      <c r="B219" s="183" t="s">
        <v>3094</v>
      </c>
      <c r="C219" s="2509">
        <f ca="1">+SUMIFS('TB Grouping'!F:F,'TB Grouping'!D:D,'TB to be sent to client'!B219)</f>
        <v>0</v>
      </c>
      <c r="D219" s="2509">
        <f>+SUMIFS('Additional &amp; Presentation Entry'!$G$10:$G$1048576,'Additional &amp; Presentation Entry'!$F$10:$F$1048576,'TB to be sent to client'!B219)</f>
        <v>0</v>
      </c>
      <c r="E219" s="2509">
        <f t="shared" ca="1" si="3"/>
        <v>0</v>
      </c>
      <c r="J219" s="2535" t="e">
        <f ca="1">+_xlfn.XLOOKUP(B219,'TB Grouping'!D:D,'TB Grouping'!D:D)</f>
        <v>#NAME?</v>
      </c>
      <c r="L219" s="1" t="s">
        <v>1336</v>
      </c>
    </row>
    <row r="220" spans="2:12" x14ac:dyDescent="0.3">
      <c r="B220" s="183" t="s">
        <v>2667</v>
      </c>
      <c r="C220" s="2509">
        <f ca="1">+SUMIFS('TB Grouping'!F:F,'TB Grouping'!D:D,'TB to be sent to client'!B220)</f>
        <v>0</v>
      </c>
      <c r="D220" s="2509">
        <f>+SUMIFS('Additional &amp; Presentation Entry'!$G$10:$G$1048576,'Additional &amp; Presentation Entry'!$F$10:$F$1048576,'TB to be sent to client'!B220)</f>
        <v>6815666</v>
      </c>
      <c r="E220" s="2509">
        <f t="shared" ca="1" si="3"/>
        <v>6815666</v>
      </c>
      <c r="J220" s="2535" t="e">
        <f ca="1">+_xlfn.XLOOKUP(B220,'TB Grouping'!D:D,'TB Grouping'!D:D)</f>
        <v>#NAME?</v>
      </c>
      <c r="L220" s="1" t="s">
        <v>2667</v>
      </c>
    </row>
    <row r="221" spans="2:12" x14ac:dyDescent="0.3">
      <c r="B221" s="183" t="s">
        <v>2668</v>
      </c>
      <c r="C221" s="2509">
        <f ca="1">+SUMIFS('TB Grouping'!F:F,'TB Grouping'!D:D,'TB to be sent to client'!B221)</f>
        <v>0</v>
      </c>
      <c r="D221" s="2509">
        <f>+SUMIFS('Additional &amp; Presentation Entry'!$G$10:$G$1048576,'Additional &amp; Presentation Entry'!$F$10:$F$1048576,'TB to be sent to client'!B221)</f>
        <v>736322.8</v>
      </c>
      <c r="E221" s="2509">
        <f t="shared" ca="1" si="3"/>
        <v>736322.8</v>
      </c>
      <c r="J221" s="2535" t="e">
        <f ca="1">+_xlfn.XLOOKUP(B221,'TB Grouping'!D:D,'TB Grouping'!D:D)</f>
        <v>#NAME?</v>
      </c>
      <c r="L221" s="1" t="s">
        <v>2668</v>
      </c>
    </row>
    <row r="222" spans="2:12" x14ac:dyDescent="0.3">
      <c r="B222" s="183" t="s">
        <v>3095</v>
      </c>
      <c r="C222" s="2509">
        <f ca="1">+SUMIFS('TB Grouping'!F:F,'TB Grouping'!D:D,'TB to be sent to client'!B222)</f>
        <v>-10983510</v>
      </c>
      <c r="D222" s="2509">
        <f>+SUMIFS('Additional &amp; Presentation Entry'!$G$10:$G$1048576,'Additional &amp; Presentation Entry'!$F$10:$F$1048576,'TB to be sent to client'!B222)</f>
        <v>0</v>
      </c>
      <c r="E222" s="2509">
        <f t="shared" ca="1" si="3"/>
        <v>-10983510</v>
      </c>
      <c r="J222" s="2535" t="e">
        <f ca="1">+_xlfn.XLOOKUP(B222,'TB Grouping'!D:D,'TB Grouping'!D:D)</f>
        <v>#NAME?</v>
      </c>
      <c r="L222" s="1" t="s">
        <v>3095</v>
      </c>
    </row>
    <row r="223" spans="2:12" x14ac:dyDescent="0.3">
      <c r="B223" s="183" t="s">
        <v>2671</v>
      </c>
      <c r="C223" s="2509">
        <f ca="1">+SUMIFS('TB Grouping'!F:F,'TB Grouping'!D:D,'TB to be sent to client'!B223)</f>
        <v>-6480</v>
      </c>
      <c r="D223" s="2509">
        <f>+SUMIFS('Additional &amp; Presentation Entry'!$G$10:$G$1048576,'Additional &amp; Presentation Entry'!$F$10:$F$1048576,'TB to be sent to client'!B223)</f>
        <v>0</v>
      </c>
      <c r="E223" s="2509">
        <f t="shared" ca="1" si="3"/>
        <v>-6480</v>
      </c>
      <c r="J223" s="2535" t="e">
        <f ca="1">+_xlfn.XLOOKUP(B223,'TB Grouping'!D:D,'TB Grouping'!D:D)</f>
        <v>#NAME?</v>
      </c>
      <c r="L223" s="1" t="s">
        <v>2671</v>
      </c>
    </row>
    <row r="224" spans="2:12" x14ac:dyDescent="0.3">
      <c r="B224" s="183" t="s">
        <v>2676</v>
      </c>
      <c r="C224" s="2509">
        <f ca="1">+SUMIFS('TB Grouping'!F:F,'TB Grouping'!D:D,'TB to be sent to client'!B224)</f>
        <v>31458121.219999999</v>
      </c>
      <c r="D224" s="2509">
        <f>+SUMIFS('Additional &amp; Presentation Entry'!$G$10:$G$1048576,'Additional &amp; Presentation Entry'!$F$10:$F$1048576,'TB to be sent to client'!B224)</f>
        <v>0</v>
      </c>
      <c r="E224" s="2509">
        <f t="shared" ca="1" si="3"/>
        <v>31458121.219999999</v>
      </c>
      <c r="J224" s="2535" t="e">
        <f ca="1">+_xlfn.XLOOKUP(B224,'TB Grouping'!D:D,'TB Grouping'!D:D)</f>
        <v>#NAME?</v>
      </c>
      <c r="L224" s="1" t="s">
        <v>2676</v>
      </c>
    </row>
    <row r="225" spans="2:12" x14ac:dyDescent="0.3">
      <c r="B225" s="183" t="s">
        <v>2677</v>
      </c>
      <c r="C225" s="2509">
        <f ca="1">+SUMIFS('TB Grouping'!F:F,'TB Grouping'!D:D,'TB to be sent to client'!B225)</f>
        <v>27906153.670000002</v>
      </c>
      <c r="D225" s="2509">
        <f>+SUMIFS('Additional &amp; Presentation Entry'!$G$10:$G$1048576,'Additional &amp; Presentation Entry'!$F$10:$F$1048576,'TB to be sent to client'!B225)</f>
        <v>0</v>
      </c>
      <c r="E225" s="2509">
        <f t="shared" ca="1" si="3"/>
        <v>27906153.670000002</v>
      </c>
      <c r="J225" s="2535" t="e">
        <f ca="1">+_xlfn.XLOOKUP(B225,'TB Grouping'!D:D,'TB Grouping'!D:D)</f>
        <v>#NAME?</v>
      </c>
      <c r="L225" s="1" t="s">
        <v>2677</v>
      </c>
    </row>
    <row r="226" spans="2:12" x14ac:dyDescent="0.3">
      <c r="B226" s="183" t="s">
        <v>2678</v>
      </c>
      <c r="C226" s="2509">
        <f ca="1">+SUMIFS('TB Grouping'!F:F,'TB Grouping'!D:D,'TB to be sent to client'!B226)</f>
        <v>74076573.689999998</v>
      </c>
      <c r="D226" s="2509">
        <f>+SUMIFS('Additional &amp; Presentation Entry'!$G$10:$G$1048576,'Additional &amp; Presentation Entry'!$F$10:$F$1048576,'TB to be sent to client'!B226)</f>
        <v>0</v>
      </c>
      <c r="E226" s="2509">
        <f t="shared" ca="1" si="3"/>
        <v>74076573.689999998</v>
      </c>
      <c r="J226" s="2535" t="e">
        <f ca="1">+_xlfn.XLOOKUP(B226,'TB Grouping'!D:D,'TB Grouping'!D:D)</f>
        <v>#NAME?</v>
      </c>
      <c r="L226" s="1" t="s">
        <v>2678</v>
      </c>
    </row>
    <row r="227" spans="2:12" x14ac:dyDescent="0.3">
      <c r="B227" s="183" t="s">
        <v>2680</v>
      </c>
      <c r="C227" s="2509">
        <f ca="1">+SUMIFS('TB Grouping'!F:F,'TB Grouping'!D:D,'TB to be sent to client'!B227)</f>
        <v>2864.25</v>
      </c>
      <c r="D227" s="2509">
        <f>+SUMIFS('Additional &amp; Presentation Entry'!$G$10:$G$1048576,'Additional &amp; Presentation Entry'!$F$10:$F$1048576,'TB to be sent to client'!B227)</f>
        <v>0</v>
      </c>
      <c r="E227" s="2509">
        <f t="shared" ca="1" si="3"/>
        <v>2864.25</v>
      </c>
      <c r="J227" s="2535" t="e">
        <f ca="1">+_xlfn.XLOOKUP(B227,'TB Grouping'!D:D,'TB Grouping'!D:D)</f>
        <v>#NAME?</v>
      </c>
      <c r="L227" s="1" t="s">
        <v>2680</v>
      </c>
    </row>
    <row r="228" spans="2:12" x14ac:dyDescent="0.3">
      <c r="B228" s="183" t="s">
        <v>2681</v>
      </c>
      <c r="C228" s="2509">
        <f ca="1">+SUMIFS('TB Grouping'!F:F,'TB Grouping'!D:D,'TB to be sent to client'!B228)</f>
        <v>133433069.66</v>
      </c>
      <c r="D228" s="2509">
        <f>+SUMIFS('Additional &amp; Presentation Entry'!$G$10:$G$1048576,'Additional &amp; Presentation Entry'!$F$10:$F$1048576,'TB to be sent to client'!B228)</f>
        <v>0</v>
      </c>
      <c r="E228" s="2509">
        <f t="shared" ca="1" si="3"/>
        <v>133433069.66</v>
      </c>
      <c r="J228" s="2535" t="e">
        <f ca="1">+_xlfn.XLOOKUP(B228,'TB Grouping'!D:D,'TB Grouping'!D:D)</f>
        <v>#NAME?</v>
      </c>
      <c r="L228" s="1" t="s">
        <v>2681</v>
      </c>
    </row>
    <row r="229" spans="2:12" x14ac:dyDescent="0.3">
      <c r="B229" s="183" t="s">
        <v>2682</v>
      </c>
      <c r="C229" s="2509">
        <f ca="1">+SUMIFS('TB Grouping'!F:F,'TB Grouping'!D:D,'TB to be sent to client'!B229)</f>
        <v>8549630.8800000008</v>
      </c>
      <c r="D229" s="2509">
        <f>+SUMIFS('Additional &amp; Presentation Entry'!$G$10:$G$1048576,'Additional &amp; Presentation Entry'!$F$10:$F$1048576,'TB to be sent to client'!B229)</f>
        <v>0</v>
      </c>
      <c r="E229" s="2509">
        <f t="shared" ca="1" si="3"/>
        <v>8549630.8800000008</v>
      </c>
      <c r="J229" s="2535" t="e">
        <f ca="1">+_xlfn.XLOOKUP(B229,'TB Grouping'!D:D,'TB Grouping'!D:D)</f>
        <v>#NAME?</v>
      </c>
      <c r="L229" s="1" t="s">
        <v>2682</v>
      </c>
    </row>
    <row r="230" spans="2:12" x14ac:dyDescent="0.3">
      <c r="B230" s="183" t="s">
        <v>2683</v>
      </c>
      <c r="C230" s="2509">
        <f ca="1">+SUMIFS('TB Grouping'!F:F,'TB Grouping'!D:D,'TB to be sent to client'!B230)</f>
        <v>180550</v>
      </c>
      <c r="D230" s="2509">
        <f>+SUMIFS('Additional &amp; Presentation Entry'!$G$10:$G$1048576,'Additional &amp; Presentation Entry'!$F$10:$F$1048576,'TB to be sent to client'!B230)</f>
        <v>0</v>
      </c>
      <c r="E230" s="2509">
        <f t="shared" ca="1" si="3"/>
        <v>180550</v>
      </c>
      <c r="J230" s="2535" t="e">
        <f ca="1">+_xlfn.XLOOKUP(B230,'TB Grouping'!D:D,'TB Grouping'!D:D)</f>
        <v>#NAME?</v>
      </c>
      <c r="L230" s="1" t="s">
        <v>2683</v>
      </c>
    </row>
    <row r="231" spans="2:12" x14ac:dyDescent="0.3">
      <c r="B231" s="183" t="s">
        <v>2684</v>
      </c>
      <c r="C231" s="2509">
        <f ca="1">+SUMIFS('TB Grouping'!F:F,'TB Grouping'!D:D,'TB to be sent to client'!B231)</f>
        <v>0</v>
      </c>
      <c r="D231" s="2509">
        <f>+SUMIFS('Additional &amp; Presentation Entry'!$G$10:$G$1048576,'Additional &amp; Presentation Entry'!$F$10:$F$1048576,'TB to be sent to client'!B231)</f>
        <v>0</v>
      </c>
      <c r="E231" s="2509">
        <f t="shared" ca="1" si="3"/>
        <v>0</v>
      </c>
      <c r="J231" s="2535" t="e">
        <f ca="1">+_xlfn.XLOOKUP(B231,'TB Grouping'!D:D,'TB Grouping'!D:D)</f>
        <v>#NAME?</v>
      </c>
      <c r="L231" s="1" t="e">
        <v>#N/A</v>
      </c>
    </row>
    <row r="232" spans="2:12" x14ac:dyDescent="0.3">
      <c r="B232" s="183" t="s">
        <v>2685</v>
      </c>
      <c r="C232" s="2509">
        <f ca="1">+SUMIFS('TB Grouping'!F:F,'TB Grouping'!D:D,'TB to be sent to client'!B232)</f>
        <v>0</v>
      </c>
      <c r="D232" s="2509">
        <f>+SUMIFS('Additional &amp; Presentation Entry'!$G$10:$G$1048576,'Additional &amp; Presentation Entry'!$F$10:$F$1048576,'TB to be sent to client'!B232)</f>
        <v>0</v>
      </c>
      <c r="E232" s="2509">
        <f t="shared" ca="1" si="3"/>
        <v>0</v>
      </c>
      <c r="J232" s="2535" t="e">
        <f ca="1">+_xlfn.XLOOKUP(B232,'TB Grouping'!D:D,'TB Grouping'!D:D)</f>
        <v>#NAME?</v>
      </c>
      <c r="L232" s="1" t="e">
        <v>#N/A</v>
      </c>
    </row>
    <row r="233" spans="2:12" x14ac:dyDescent="0.3">
      <c r="B233" s="183" t="s">
        <v>2714</v>
      </c>
      <c r="C233" s="2509">
        <f ca="1">+SUMIFS('TB Grouping'!F:F,'TB Grouping'!D:D,'TB to be sent to client'!B233)</f>
        <v>0</v>
      </c>
      <c r="D233" s="2509">
        <f>+SUMIFS('Additional &amp; Presentation Entry'!$G$10:$G$1048576,'Additional &amp; Presentation Entry'!$F$10:$F$1048576,'TB to be sent to client'!B233)</f>
        <v>65244</v>
      </c>
      <c r="E233" s="2509">
        <f t="shared" ca="1" si="3"/>
        <v>65244</v>
      </c>
      <c r="J233" s="2535" t="e">
        <f ca="1">+_xlfn.XLOOKUP(B233,'TB Grouping'!D:D,'TB Grouping'!D:D)</f>
        <v>#NAME?</v>
      </c>
      <c r="L233" s="1" t="s">
        <v>2714</v>
      </c>
    </row>
    <row r="234" spans="2:12" x14ac:dyDescent="0.3">
      <c r="B234" s="183" t="s">
        <v>2716</v>
      </c>
      <c r="C234" s="2509">
        <f ca="1">+SUMIFS('TB Grouping'!F:F,'TB Grouping'!D:D,'TB to be sent to client'!B234)</f>
        <v>0</v>
      </c>
      <c r="D234" s="2509">
        <f>+SUMIFS('Additional &amp; Presentation Entry'!$G$10:$G$1048576,'Additional &amp; Presentation Entry'!$F$10:$F$1048576,'TB to be sent to client'!B234)</f>
        <v>0</v>
      </c>
      <c r="E234" s="2509">
        <f t="shared" ca="1" si="3"/>
        <v>0</v>
      </c>
      <c r="J234" s="2535" t="e">
        <f ca="1">+_xlfn.XLOOKUP(B234,'TB Grouping'!D:D,'TB Grouping'!D:D)</f>
        <v>#NAME?</v>
      </c>
      <c r="L234" s="1" t="s">
        <v>2716</v>
      </c>
    </row>
    <row r="235" spans="2:12" x14ac:dyDescent="0.3">
      <c r="B235" s="183" t="s">
        <v>2718</v>
      </c>
      <c r="C235" s="2509">
        <f ca="1">+SUMIFS('TB Grouping'!F:F,'TB Grouping'!D:D,'TB to be sent to client'!B235)</f>
        <v>39340</v>
      </c>
      <c r="D235" s="2509">
        <f>+SUMIFS('Additional &amp; Presentation Entry'!$G$10:$G$1048576,'Additional &amp; Presentation Entry'!$F$10:$F$1048576,'TB to be sent to client'!B235)</f>
        <v>0</v>
      </c>
      <c r="E235" s="2509">
        <f t="shared" ca="1" si="3"/>
        <v>39340</v>
      </c>
      <c r="J235" s="2535" t="e">
        <f ca="1">+_xlfn.XLOOKUP(B235,'TB Grouping'!D:D,'TB Grouping'!D:D)</f>
        <v>#NAME?</v>
      </c>
      <c r="L235" s="1" t="s">
        <v>2718</v>
      </c>
    </row>
    <row r="236" spans="2:12" x14ac:dyDescent="0.3">
      <c r="B236" s="183" t="s">
        <v>2719</v>
      </c>
      <c r="C236" s="2509">
        <f ca="1">+SUMIFS('TB Grouping'!F:F,'TB Grouping'!D:D,'TB to be sent to client'!B236)</f>
        <v>0</v>
      </c>
      <c r="D236" s="2509">
        <f>+SUMIFS('Additional &amp; Presentation Entry'!$G$10:$G$1048576,'Additional &amp; Presentation Entry'!$F$10:$F$1048576,'TB to be sent to client'!B236)</f>
        <v>0</v>
      </c>
      <c r="E236" s="2509">
        <f t="shared" ca="1" si="3"/>
        <v>0</v>
      </c>
      <c r="J236" s="2535" t="e">
        <f ca="1">+_xlfn.XLOOKUP(B236,'TB Grouping'!D:D,'TB Grouping'!D:D)</f>
        <v>#NAME?</v>
      </c>
      <c r="L236" s="1" t="s">
        <v>2719</v>
      </c>
    </row>
    <row r="237" spans="2:12" x14ac:dyDescent="0.3">
      <c r="B237" s="183" t="s">
        <v>2723</v>
      </c>
      <c r="C237" s="2509">
        <f ca="1">+SUMIFS('TB Grouping'!F:F,'TB Grouping'!D:D,'TB to be sent to client'!B237)</f>
        <v>-128248.63</v>
      </c>
      <c r="D237" s="2509">
        <f>+SUMIFS('Additional &amp; Presentation Entry'!$G$10:$G$1048576,'Additional &amp; Presentation Entry'!$F$10:$F$1048576,'TB to be sent to client'!B237)</f>
        <v>0</v>
      </c>
      <c r="E237" s="2509">
        <f t="shared" ca="1" si="3"/>
        <v>-128248.63</v>
      </c>
      <c r="J237" s="2535" t="e">
        <f ca="1">+_xlfn.XLOOKUP(B237,'TB Grouping'!D:D,'TB Grouping'!D:D)</f>
        <v>#NAME?</v>
      </c>
      <c r="L237" s="1" t="s">
        <v>2723</v>
      </c>
    </row>
    <row r="238" spans="2:12" x14ac:dyDescent="0.3">
      <c r="B238" s="183" t="s">
        <v>2724</v>
      </c>
      <c r="C238" s="2509">
        <f ca="1">+SUMIFS('TB Grouping'!F:F,'TB Grouping'!D:D,'TB to be sent to client'!B238)</f>
        <v>0</v>
      </c>
      <c r="D238" s="2509">
        <f>+SUMIFS('Additional &amp; Presentation Entry'!$G$10:$G$1048576,'Additional &amp; Presentation Entry'!$F$10:$F$1048576,'TB to be sent to client'!B238)</f>
        <v>0</v>
      </c>
      <c r="E238" s="2509">
        <f t="shared" ca="1" si="3"/>
        <v>0</v>
      </c>
      <c r="J238" s="2535" t="e">
        <f ca="1">+_xlfn.XLOOKUP(B238,'TB Grouping'!D:D,'TB Grouping'!D:D)</f>
        <v>#NAME?</v>
      </c>
      <c r="L238" s="1" t="e">
        <v>#N/A</v>
      </c>
    </row>
    <row r="239" spans="2:12" x14ac:dyDescent="0.3">
      <c r="B239" s="183" t="s">
        <v>2728</v>
      </c>
      <c r="C239" s="2509">
        <f ca="1">+SUMIFS('TB Grouping'!F:F,'TB Grouping'!D:D,'TB to be sent to client'!B239)</f>
        <v>28167</v>
      </c>
      <c r="D239" s="2509">
        <f>+SUMIFS('Additional &amp; Presentation Entry'!$G$10:$G$1048576,'Additional &amp; Presentation Entry'!$F$10:$F$1048576,'TB to be sent to client'!B239)</f>
        <v>0</v>
      </c>
      <c r="E239" s="2509">
        <f t="shared" ca="1" si="3"/>
        <v>28167</v>
      </c>
      <c r="J239" s="2535" t="e">
        <f ca="1">+_xlfn.XLOOKUP(B239,'TB Grouping'!D:D,'TB Grouping'!D:D)</f>
        <v>#NAME?</v>
      </c>
      <c r="L239" s="1" t="s">
        <v>2728</v>
      </c>
    </row>
    <row r="240" spans="2:12" x14ac:dyDescent="0.3">
      <c r="B240" s="183" t="s">
        <v>2729</v>
      </c>
      <c r="C240" s="2509">
        <f ca="1">+SUMIFS('TB Grouping'!F:F,'TB Grouping'!D:D,'TB to be sent to client'!B240)</f>
        <v>4363183.9800000004</v>
      </c>
      <c r="D240" s="2509">
        <f>+SUMIFS('Additional &amp; Presentation Entry'!$G$10:$G$1048576,'Additional &amp; Presentation Entry'!$F$10:$F$1048576,'TB to be sent to client'!B240)</f>
        <v>0</v>
      </c>
      <c r="E240" s="2509">
        <f t="shared" ca="1" si="3"/>
        <v>4363183.9800000004</v>
      </c>
      <c r="J240" s="2535" t="e">
        <f ca="1">+_xlfn.XLOOKUP(B240,'TB Grouping'!D:D,'TB Grouping'!D:D)</f>
        <v>#NAME?</v>
      </c>
      <c r="L240" s="1" t="s">
        <v>2729</v>
      </c>
    </row>
    <row r="241" spans="2:12" x14ac:dyDescent="0.3">
      <c r="B241" s="183" t="s">
        <v>2731</v>
      </c>
      <c r="C241" s="2509">
        <f ca="1">+SUMIFS('TB Grouping'!F:F,'TB Grouping'!D:D,'TB to be sent to client'!B241)</f>
        <v>1964970.07</v>
      </c>
      <c r="D241" s="2509">
        <f>+SUMIFS('Additional &amp; Presentation Entry'!$G$10:$G$1048576,'Additional &amp; Presentation Entry'!$F$10:$F$1048576,'TB to be sent to client'!B241)</f>
        <v>-1427950.1863013699</v>
      </c>
      <c r="E241" s="2509">
        <f t="shared" ca="1" si="3"/>
        <v>537019.88369863015</v>
      </c>
      <c r="J241" s="2535" t="e">
        <f ca="1">+_xlfn.XLOOKUP(B241,'TB Grouping'!D:D,'TB Grouping'!D:D)</f>
        <v>#NAME?</v>
      </c>
      <c r="L241" s="1" t="s">
        <v>2731</v>
      </c>
    </row>
    <row r="242" spans="2:12" x14ac:dyDescent="0.3">
      <c r="B242" s="183" t="s">
        <v>2732</v>
      </c>
      <c r="C242" s="2509">
        <f ca="1">+SUMIFS('TB Grouping'!F:F,'TB Grouping'!D:D,'TB to be sent to client'!B242)</f>
        <v>7808006.25</v>
      </c>
      <c r="D242" s="2509">
        <f>+SUMIFS('Additional &amp; Presentation Entry'!$G$10:$G$1048576,'Additional &amp; Presentation Entry'!$F$10:$F$1048576,'TB to be sent to client'!B242)</f>
        <v>-599733.76000000001</v>
      </c>
      <c r="E242" s="2509">
        <f t="shared" ca="1" si="3"/>
        <v>7208272.4900000002</v>
      </c>
      <c r="J242" s="2535" t="e">
        <f ca="1">+_xlfn.XLOOKUP(B242,'TB Grouping'!D:D,'TB Grouping'!D:D)</f>
        <v>#NAME?</v>
      </c>
      <c r="L242" s="1" t="s">
        <v>2732</v>
      </c>
    </row>
    <row r="243" spans="2:12" x14ac:dyDescent="0.3">
      <c r="B243" s="183" t="s">
        <v>2733</v>
      </c>
      <c r="C243" s="2509">
        <f ca="1">+SUMIFS('TB Grouping'!F:F,'TB Grouping'!D:D,'TB to be sent to client'!B243)</f>
        <v>176715.08</v>
      </c>
      <c r="D243" s="2509">
        <f>+SUMIFS('Additional &amp; Presentation Entry'!$G$10:$G$1048576,'Additional &amp; Presentation Entry'!$F$10:$F$1048576,'TB to be sent to client'!B243)</f>
        <v>-2059.0171270718201</v>
      </c>
      <c r="E243" s="2509">
        <f t="shared" ca="1" si="3"/>
        <v>174656.06287292816</v>
      </c>
      <c r="J243" s="2535" t="e">
        <f ca="1">+_xlfn.XLOOKUP(B243,'TB Grouping'!D:D,'TB Grouping'!D:D)</f>
        <v>#NAME?</v>
      </c>
      <c r="L243" s="1" t="s">
        <v>2733</v>
      </c>
    </row>
    <row r="244" spans="2:12" x14ac:dyDescent="0.3">
      <c r="B244" s="183" t="s">
        <v>2734</v>
      </c>
      <c r="C244" s="2509">
        <f ca="1">+SUMIFS('TB Grouping'!F:F,'TB Grouping'!D:D,'TB to be sent to client'!B244)</f>
        <v>0</v>
      </c>
      <c r="D244" s="2509">
        <f>+SUMIFS('Additional &amp; Presentation Entry'!$G$10:$G$1048576,'Additional &amp; Presentation Entry'!$F$10:$F$1048576,'TB to be sent to client'!B244)</f>
        <v>0</v>
      </c>
      <c r="E244" s="2509">
        <f t="shared" ca="1" si="3"/>
        <v>0</v>
      </c>
      <c r="J244" s="2535" t="e">
        <f ca="1">+_xlfn.XLOOKUP(B244,'TB Grouping'!D:D,'TB Grouping'!D:D)</f>
        <v>#NAME?</v>
      </c>
      <c r="L244" s="1" t="e">
        <v>#N/A</v>
      </c>
    </row>
    <row r="245" spans="2:12" x14ac:dyDescent="0.3">
      <c r="B245" s="183" t="s">
        <v>2736</v>
      </c>
      <c r="C245" s="2509">
        <f ca="1">+SUMIFS('TB Grouping'!F:F,'TB Grouping'!D:D,'TB to be sent to client'!B245)</f>
        <v>0</v>
      </c>
      <c r="D245" s="2509">
        <f>+SUMIFS('Additional &amp; Presentation Entry'!$G$10:$G$1048576,'Additional &amp; Presentation Entry'!$F$10:$F$1048576,'TB to be sent to client'!B245)</f>
        <v>0</v>
      </c>
      <c r="E245" s="2509">
        <f t="shared" ca="1" si="3"/>
        <v>0</v>
      </c>
      <c r="J245" s="2535" t="e">
        <f ca="1">+_xlfn.XLOOKUP(B245,'TB Grouping'!D:D,'TB Grouping'!D:D)</f>
        <v>#NAME?</v>
      </c>
      <c r="L245" s="1" t="e">
        <v>#N/A</v>
      </c>
    </row>
    <row r="246" spans="2:12" x14ac:dyDescent="0.3">
      <c r="B246" s="183" t="s">
        <v>2737</v>
      </c>
      <c r="C246" s="2509">
        <f ca="1">+SUMIFS('TB Grouping'!F:F,'TB Grouping'!D:D,'TB to be sent to client'!B246)</f>
        <v>4280286.79</v>
      </c>
      <c r="D246" s="2509">
        <f>+SUMIFS('Additional &amp; Presentation Entry'!$G$10:$G$1048576,'Additional &amp; Presentation Entry'!$F$10:$F$1048576,'TB to be sent to client'!B246)</f>
        <v>0</v>
      </c>
      <c r="E246" s="2509">
        <f t="shared" ca="1" si="3"/>
        <v>4280286.79</v>
      </c>
      <c r="J246" s="2535" t="e">
        <f ca="1">+_xlfn.XLOOKUP(B246,'TB Grouping'!D:D,'TB Grouping'!D:D)</f>
        <v>#NAME?</v>
      </c>
      <c r="L246" s="1" t="s">
        <v>2737</v>
      </c>
    </row>
    <row r="247" spans="2:12" x14ac:dyDescent="0.3">
      <c r="B247" s="183" t="s">
        <v>2738</v>
      </c>
      <c r="C247" s="2509">
        <f ca="1">+SUMIFS('TB Grouping'!F:F,'TB Grouping'!D:D,'TB to be sent to client'!B247)</f>
        <v>1020942</v>
      </c>
      <c r="D247" s="2509">
        <f>+SUMIFS('Additional &amp; Presentation Entry'!$G$10:$G$1048576,'Additional &amp; Presentation Entry'!$F$10:$F$1048576,'TB to be sent to client'!B247)</f>
        <v>0</v>
      </c>
      <c r="E247" s="2509">
        <f t="shared" ca="1" si="3"/>
        <v>1020942</v>
      </c>
      <c r="J247" s="2535" t="e">
        <f ca="1">+_xlfn.XLOOKUP(B247,'TB Grouping'!D:D,'TB Grouping'!D:D)</f>
        <v>#NAME?</v>
      </c>
      <c r="L247" s="1" t="s">
        <v>2738</v>
      </c>
    </row>
    <row r="248" spans="2:12" x14ac:dyDescent="0.3">
      <c r="B248" s="183" t="s">
        <v>2739</v>
      </c>
      <c r="C248" s="2509">
        <f ca="1">+SUMIFS('TB Grouping'!F:F,'TB Grouping'!D:D,'TB to be sent to client'!B248)</f>
        <v>8445420.2200000007</v>
      </c>
      <c r="D248" s="2509">
        <f>+SUMIFS('Additional &amp; Presentation Entry'!$G$10:$G$1048576,'Additional &amp; Presentation Entry'!$F$10:$F$1048576,'TB to be sent to client'!B248)</f>
        <v>0</v>
      </c>
      <c r="E248" s="2509">
        <f t="shared" ca="1" si="3"/>
        <v>8445420.2200000007</v>
      </c>
      <c r="J248" s="2535" t="e">
        <f ca="1">+_xlfn.XLOOKUP(B248,'TB Grouping'!D:D,'TB Grouping'!D:D)</f>
        <v>#NAME?</v>
      </c>
      <c r="L248" s="1" t="s">
        <v>2739</v>
      </c>
    </row>
    <row r="249" spans="2:12" x14ac:dyDescent="0.3">
      <c r="B249" s="183" t="s">
        <v>2740</v>
      </c>
      <c r="C249" s="2509">
        <f ca="1">+SUMIFS('TB Grouping'!F:F,'TB Grouping'!D:D,'TB to be sent to client'!B249)</f>
        <v>146108343.41</v>
      </c>
      <c r="D249" s="2509">
        <f>+SUMIFS('Additional &amp; Presentation Entry'!$G$10:$G$1048576,'Additional &amp; Presentation Entry'!$F$10:$F$1048576,'TB to be sent to client'!B249)</f>
        <v>-798674.22</v>
      </c>
      <c r="E249" s="2509">
        <f t="shared" ca="1" si="3"/>
        <v>145309669.19</v>
      </c>
      <c r="J249" s="2535" t="e">
        <f ca="1">+_xlfn.XLOOKUP(B249,'TB Grouping'!D:D,'TB Grouping'!D:D)</f>
        <v>#NAME?</v>
      </c>
      <c r="L249" s="1" t="s">
        <v>2740</v>
      </c>
    </row>
    <row r="250" spans="2:12" x14ac:dyDescent="0.3">
      <c r="B250" s="183" t="s">
        <v>2741</v>
      </c>
      <c r="C250" s="2509">
        <f ca="1">+SUMIFS('TB Grouping'!F:F,'TB Grouping'!D:D,'TB to be sent to client'!B250)</f>
        <v>0</v>
      </c>
      <c r="D250" s="2509">
        <f>+SUMIFS('Additional &amp; Presentation Entry'!$G$10:$G$1048576,'Additional &amp; Presentation Entry'!$F$10:$F$1048576,'TB to be sent to client'!B250)</f>
        <v>0</v>
      </c>
      <c r="E250" s="2509">
        <f t="shared" ca="1" si="3"/>
        <v>0</v>
      </c>
      <c r="J250" s="2535" t="e">
        <f ca="1">+_xlfn.XLOOKUP(B250,'TB Grouping'!D:D,'TB Grouping'!D:D)</f>
        <v>#NAME?</v>
      </c>
      <c r="L250" s="1" t="e">
        <v>#N/A</v>
      </c>
    </row>
    <row r="251" spans="2:12" x14ac:dyDescent="0.3">
      <c r="B251" s="183" t="s">
        <v>2743</v>
      </c>
      <c r="C251" s="2509">
        <f ca="1">+SUMIFS('TB Grouping'!F:F,'TB Grouping'!D:D,'TB to be sent to client'!B251)</f>
        <v>-206108829.28999999</v>
      </c>
      <c r="D251" s="2509">
        <f>+SUMIFS('Additional &amp; Presentation Entry'!$G$10:$G$1048576,'Additional &amp; Presentation Entry'!$F$10:$F$1048576,'TB to be sent to client'!B251)</f>
        <v>3522185.4320455571</v>
      </c>
      <c r="E251" s="2509">
        <f t="shared" ca="1" si="3"/>
        <v>-202586643.85795444</v>
      </c>
      <c r="J251" s="2535" t="e">
        <f ca="1">+_xlfn.XLOOKUP(B251,'TB Grouping'!D:D,'TB Grouping'!D:D)</f>
        <v>#NAME?</v>
      </c>
      <c r="L251" s="1" t="s">
        <v>2743</v>
      </c>
    </row>
    <row r="252" spans="2:12" x14ac:dyDescent="0.3">
      <c r="B252" s="183" t="s">
        <v>2744</v>
      </c>
      <c r="C252" s="2509">
        <f ca="1">+SUMIFS('TB Grouping'!F:F,'TB Grouping'!D:D,'TB to be sent to client'!B252)</f>
        <v>-1193471.78</v>
      </c>
      <c r="D252" s="2509">
        <f>+SUMIFS('Additional &amp; Presentation Entry'!$G$10:$G$1048576,'Additional &amp; Presentation Entry'!$F$10:$F$1048576,'TB to be sent to client'!B252)</f>
        <v>46312.86</v>
      </c>
      <c r="E252" s="2509">
        <f t="shared" ca="1" si="3"/>
        <v>-1147158.92</v>
      </c>
      <c r="J252" s="2535" t="e">
        <f ca="1">+_xlfn.XLOOKUP(B252,'TB Grouping'!D:D,'TB Grouping'!D:D)</f>
        <v>#NAME?</v>
      </c>
      <c r="L252" s="1" t="s">
        <v>2744</v>
      </c>
    </row>
    <row r="253" spans="2:12" x14ac:dyDescent="0.3">
      <c r="B253" s="183" t="s">
        <v>2745</v>
      </c>
      <c r="C253" s="2509">
        <f ca="1">+SUMIFS('TB Grouping'!F:F,'TB Grouping'!D:D,'TB to be sent to client'!B253)</f>
        <v>0</v>
      </c>
      <c r="D253" s="2509">
        <f>+SUMIFS('Additional &amp; Presentation Entry'!$G$10:$G$1048576,'Additional &amp; Presentation Entry'!$F$10:$F$1048576,'TB to be sent to client'!B253)</f>
        <v>0</v>
      </c>
      <c r="E253" s="2509">
        <f t="shared" ca="1" si="3"/>
        <v>0</v>
      </c>
      <c r="J253" s="2535" t="e">
        <f ca="1">+_xlfn.XLOOKUP(B253,'TB Grouping'!D:D,'TB Grouping'!D:D)</f>
        <v>#NAME?</v>
      </c>
      <c r="L253" s="1" t="s">
        <v>2745</v>
      </c>
    </row>
    <row r="254" spans="2:12" x14ac:dyDescent="0.3">
      <c r="B254" s="183" t="s">
        <v>2705</v>
      </c>
      <c r="C254" s="2509">
        <f ca="1">+SUMIFS('TB Grouping'!F:F,'TB Grouping'!D:D,'TB to be sent to client'!B254)</f>
        <v>0</v>
      </c>
      <c r="D254" s="2509">
        <f>+SUMIFS('Additional &amp; Presentation Entry'!$G$10:$G$1048576,'Additional &amp; Presentation Entry'!$F$10:$F$1048576,'TB to be sent to client'!B254)</f>
        <v>0</v>
      </c>
      <c r="E254" s="2509">
        <f t="shared" ca="1" si="3"/>
        <v>0</v>
      </c>
      <c r="J254" s="2535" t="e">
        <f ca="1">+_xlfn.XLOOKUP(B254,'TB Grouping'!D:D,'TB Grouping'!D:D)</f>
        <v>#NAME?</v>
      </c>
      <c r="L254" s="1" t="s">
        <v>2705</v>
      </c>
    </row>
    <row r="255" spans="2:12" x14ac:dyDescent="0.3">
      <c r="B255" s="183" t="s">
        <v>2749</v>
      </c>
      <c r="C255" s="2509">
        <f ca="1">+SUMIFS('TB Grouping'!F:F,'TB Grouping'!D:D,'TB to be sent to client'!B255)</f>
        <v>0.4</v>
      </c>
      <c r="D255" s="2509">
        <f>+SUMIFS('Additional &amp; Presentation Entry'!$G$10:$G$1048576,'Additional &amp; Presentation Entry'!$F$10:$F$1048576,'TB to be sent to client'!B255)</f>
        <v>-560</v>
      </c>
      <c r="E255" s="2509">
        <f t="shared" ca="1" si="3"/>
        <v>-559.6</v>
      </c>
      <c r="J255" s="2535" t="e">
        <f ca="1">+_xlfn.XLOOKUP(B255,'TB Grouping'!D:D,'TB Grouping'!D:D)</f>
        <v>#NAME?</v>
      </c>
      <c r="L255" s="1" t="s">
        <v>2749</v>
      </c>
    </row>
    <row r="256" spans="2:12" x14ac:dyDescent="0.3">
      <c r="B256" s="183" t="s">
        <v>2750</v>
      </c>
      <c r="C256" s="2509">
        <f ca="1">+SUMIFS('TB Grouping'!F:F,'TB Grouping'!D:D,'TB to be sent to client'!B256)</f>
        <v>0</v>
      </c>
      <c r="D256" s="2509">
        <f>+SUMIFS('Additional &amp; Presentation Entry'!$G$10:$G$1048576,'Additional &amp; Presentation Entry'!$F$10:$F$1048576,'TB to be sent to client'!B256)</f>
        <v>0</v>
      </c>
      <c r="E256" s="2509">
        <f t="shared" ca="1" si="3"/>
        <v>0</v>
      </c>
      <c r="J256" s="2535" t="e">
        <f ca="1">+_xlfn.XLOOKUP(B256,'TB Grouping'!D:D,'TB Grouping'!D:D)</f>
        <v>#NAME?</v>
      </c>
      <c r="L256" s="1" t="e">
        <v>#N/A</v>
      </c>
    </row>
    <row r="257" spans="2:12" x14ac:dyDescent="0.3">
      <c r="B257" s="183" t="s">
        <v>2751</v>
      </c>
      <c r="C257" s="2509">
        <f ca="1">+SUMIFS('TB Grouping'!F:F,'TB Grouping'!D:D,'TB to be sent to client'!B257)</f>
        <v>0</v>
      </c>
      <c r="D257" s="2509">
        <f>+SUMIFS('Additional &amp; Presentation Entry'!$G$10:$G$1048576,'Additional &amp; Presentation Entry'!$F$10:$F$1048576,'TB to be sent to client'!B257)</f>
        <v>62688</v>
      </c>
      <c r="E257" s="2509">
        <f t="shared" ca="1" si="3"/>
        <v>62688</v>
      </c>
      <c r="J257" s="2535" t="e">
        <f ca="1">+_xlfn.XLOOKUP(B257,'TB Grouping'!D:D,'TB Grouping'!D:D)</f>
        <v>#NAME?</v>
      </c>
      <c r="L257" s="1" t="s">
        <v>2751</v>
      </c>
    </row>
    <row r="258" spans="2:12" x14ac:dyDescent="0.3">
      <c r="B258" s="183" t="s">
        <v>758</v>
      </c>
      <c r="C258" s="2509">
        <f ca="1">+SUMIFS('TB Grouping'!F:F,'TB Grouping'!D:D,'TB to be sent to client'!B258)</f>
        <v>1453988.33</v>
      </c>
      <c r="D258" s="2509">
        <f>+SUMIFS('Additional &amp; Presentation Entry'!$G$10:$G$1048576,'Additional &amp; Presentation Entry'!$F$10:$F$1048576,'TB to be sent to client'!B258)</f>
        <v>76325.333333333256</v>
      </c>
      <c r="E258" s="2509">
        <f t="shared" ca="1" si="3"/>
        <v>1530313.6633333333</v>
      </c>
      <c r="J258" s="2535" t="e">
        <f ca="1">+_xlfn.XLOOKUP(B258,'TB Grouping'!D:D,'TB Grouping'!D:D)</f>
        <v>#NAME?</v>
      </c>
      <c r="L258" s="1" t="s">
        <v>758</v>
      </c>
    </row>
    <row r="259" spans="2:12" x14ac:dyDescent="0.3">
      <c r="B259" s="183" t="s">
        <v>2754</v>
      </c>
      <c r="C259" s="2509">
        <f ca="1">+SUMIFS('TB Grouping'!F:F,'TB Grouping'!D:D,'TB to be sent to client'!B259)</f>
        <v>7985</v>
      </c>
      <c r="D259" s="2509">
        <f>+SUMIFS('Additional &amp; Presentation Entry'!$G$10:$G$1048576,'Additional &amp; Presentation Entry'!$F$10:$F$1048576,'TB to be sent to client'!B259)</f>
        <v>0</v>
      </c>
      <c r="E259" s="2509">
        <f t="shared" ca="1" si="3"/>
        <v>7985</v>
      </c>
      <c r="J259" s="2535" t="e">
        <f ca="1">+_xlfn.XLOOKUP(B259,'TB Grouping'!D:D,'TB Grouping'!D:D)</f>
        <v>#NAME?</v>
      </c>
      <c r="L259" s="1" t="s">
        <v>2754</v>
      </c>
    </row>
    <row r="260" spans="2:12" x14ac:dyDescent="0.3">
      <c r="B260" s="183" t="s">
        <v>2753</v>
      </c>
      <c r="C260" s="2509">
        <f ca="1">+SUMIFS('TB Grouping'!F:F,'TB Grouping'!D:D,'TB to be sent to client'!B260)</f>
        <v>10500</v>
      </c>
      <c r="D260" s="2509">
        <f>+SUMIFS('Additional &amp; Presentation Entry'!$G$10:$G$1048576,'Additional &amp; Presentation Entry'!$F$10:$F$1048576,'TB to be sent to client'!B260)</f>
        <v>0</v>
      </c>
      <c r="E260" s="2509">
        <f t="shared" ca="1" si="3"/>
        <v>10500</v>
      </c>
      <c r="J260" s="2535" t="e">
        <f ca="1">+_xlfn.XLOOKUP(B260,'TB Grouping'!D:D,'TB Grouping'!D:D)</f>
        <v>#NAME?</v>
      </c>
      <c r="L260" s="1" t="s">
        <v>2753</v>
      </c>
    </row>
    <row r="261" spans="2:12" x14ac:dyDescent="0.3">
      <c r="B261" s="183" t="s">
        <v>2706</v>
      </c>
      <c r="C261" s="2509">
        <f ca="1">+SUMIFS('TB Grouping'!F:F,'TB Grouping'!D:D,'TB to be sent to client'!B261)</f>
        <v>0</v>
      </c>
      <c r="D261" s="2509">
        <f>+SUMIFS('Additional &amp; Presentation Entry'!$G$10:$G$1048576,'Additional &amp; Presentation Entry'!$F$10:$F$1048576,'TB to be sent to client'!B261)</f>
        <v>0</v>
      </c>
      <c r="E261" s="2509">
        <f t="shared" ca="1" si="3"/>
        <v>0</v>
      </c>
      <c r="J261" s="2535" t="e">
        <f ca="1">+_xlfn.XLOOKUP(B261,'TB Grouping'!D:D,'TB Grouping'!D:D)</f>
        <v>#NAME?</v>
      </c>
      <c r="L261" s="1" t="s">
        <v>2706</v>
      </c>
    </row>
    <row r="262" spans="2:12" x14ac:dyDescent="0.3">
      <c r="B262" s="183" t="s">
        <v>3096</v>
      </c>
      <c r="C262" s="2509">
        <f ca="1">+SUMIFS('TB Grouping'!F:F,'TB Grouping'!D:D,'TB to be sent to client'!B262)</f>
        <v>0</v>
      </c>
      <c r="D262" s="2509">
        <f>+SUMIFS('Additional &amp; Presentation Entry'!$G$10:$G$1048576,'Additional &amp; Presentation Entry'!$F$10:$F$1048576,'TB to be sent to client'!B262)</f>
        <v>0</v>
      </c>
      <c r="E262" s="2509">
        <f t="shared" ca="1" si="3"/>
        <v>0</v>
      </c>
      <c r="J262" s="2535" t="e">
        <f ca="1">+_xlfn.XLOOKUP(B262,'TB Grouping'!D:D,'TB Grouping'!D:D)</f>
        <v>#NAME?</v>
      </c>
      <c r="L262" s="1" t="s">
        <v>3096</v>
      </c>
    </row>
    <row r="263" spans="2:12" x14ac:dyDescent="0.3">
      <c r="B263" s="183" t="s">
        <v>2708</v>
      </c>
      <c r="C263" s="2509">
        <f ca="1">+SUMIFS('TB Grouping'!F:F,'TB Grouping'!D:D,'TB to be sent to client'!B263)</f>
        <v>0</v>
      </c>
      <c r="D263" s="2509">
        <f>+SUMIFS('Additional &amp; Presentation Entry'!$G$10:$G$1048576,'Additional &amp; Presentation Entry'!$F$10:$F$1048576,'TB to be sent to client'!B263)</f>
        <v>0</v>
      </c>
      <c r="E263" s="2509">
        <f t="shared" ca="1" si="3"/>
        <v>0</v>
      </c>
      <c r="J263" s="2535" t="e">
        <f ca="1">+_xlfn.XLOOKUP(B263,'TB Grouping'!D:D,'TB Grouping'!D:D)</f>
        <v>#NAME?</v>
      </c>
      <c r="L263" s="1" t="e">
        <v>#N/A</v>
      </c>
    </row>
    <row r="264" spans="2:12" x14ac:dyDescent="0.3">
      <c r="B264" s="183" t="s">
        <v>3097</v>
      </c>
      <c r="C264" s="2509">
        <f ca="1">+SUMIFS('TB Grouping'!F:F,'TB Grouping'!D:D,'TB to be sent to client'!B264)</f>
        <v>0</v>
      </c>
      <c r="D264" s="2509">
        <f>+SUMIFS('Additional &amp; Presentation Entry'!$G$10:$G$1048576,'Additional &amp; Presentation Entry'!$F$10:$F$1048576,'TB to be sent to client'!B264)</f>
        <v>0</v>
      </c>
      <c r="E264" s="2509">
        <f t="shared" ca="1" si="3"/>
        <v>0</v>
      </c>
      <c r="J264" s="2535" t="e">
        <f ca="1">+_xlfn.XLOOKUP(B264,'TB Grouping'!D:D,'TB Grouping'!D:D)</f>
        <v>#NAME?</v>
      </c>
      <c r="L264" s="1" t="s">
        <v>3097</v>
      </c>
    </row>
    <row r="265" spans="2:12" x14ac:dyDescent="0.3">
      <c r="B265" s="183" t="s">
        <v>2757</v>
      </c>
      <c r="C265" s="2509">
        <f ca="1">+SUMIFS('TB Grouping'!F:F,'TB Grouping'!D:D,'TB to be sent to client'!B265)</f>
        <v>19.98</v>
      </c>
      <c r="D265" s="2509">
        <f>+SUMIFS('Additional &amp; Presentation Entry'!$G$10:$G$1048576,'Additional &amp; Presentation Entry'!$F$10:$F$1048576,'TB to be sent to client'!B265)</f>
        <v>0</v>
      </c>
      <c r="E265" s="2509">
        <f t="shared" ref="E265:E328" ca="1" si="4">+C265+D265</f>
        <v>19.98</v>
      </c>
      <c r="J265" s="2535" t="e">
        <f ca="1">+_xlfn.XLOOKUP(B265,'TB Grouping'!D:D,'TB Grouping'!D:D)</f>
        <v>#NAME?</v>
      </c>
      <c r="L265" s="1" t="s">
        <v>2757</v>
      </c>
    </row>
    <row r="266" spans="2:12" x14ac:dyDescent="0.3">
      <c r="B266" s="183" t="s">
        <v>3148</v>
      </c>
      <c r="C266" s="2509">
        <f ca="1">+SUMIFS('TB Grouping'!F:F,'TB Grouping'!D:D,'TB to be sent to client'!B266)</f>
        <v>0</v>
      </c>
      <c r="D266" s="2509">
        <f>+SUMIFS('Additional &amp; Presentation Entry'!$G$10:$G$1048576,'Additional &amp; Presentation Entry'!$F$10:$F$1048576,'TB to be sent to client'!B266)</f>
        <v>0</v>
      </c>
      <c r="E266" s="2509">
        <f t="shared" ca="1" si="4"/>
        <v>0</v>
      </c>
      <c r="J266" s="2535" t="e">
        <f ca="1">+_xlfn.XLOOKUP(B266,'TB Grouping'!D:D,'TB Grouping'!D:D)</f>
        <v>#NAME?</v>
      </c>
      <c r="L266" s="1" t="s">
        <v>3148</v>
      </c>
    </row>
    <row r="267" spans="2:12" x14ac:dyDescent="0.3">
      <c r="B267" s="183" t="s">
        <v>3101</v>
      </c>
      <c r="C267" s="2509">
        <f ca="1">+SUMIFS('TB Grouping'!F:F,'TB Grouping'!D:D,'TB to be sent to client'!B267)</f>
        <v>-275008</v>
      </c>
      <c r="D267" s="2509">
        <f>+SUMIFS('Additional &amp; Presentation Entry'!$G$10:$G$1048576,'Additional &amp; Presentation Entry'!$F$10:$F$1048576,'TB to be sent to client'!B267)</f>
        <v>0</v>
      </c>
      <c r="E267" s="2509">
        <f t="shared" ca="1" si="4"/>
        <v>-275008</v>
      </c>
      <c r="J267" s="2535" t="e">
        <f ca="1">+_xlfn.XLOOKUP(B267,'TB Grouping'!D:D,'TB Grouping'!D:D)</f>
        <v>#NAME?</v>
      </c>
      <c r="L267" s="1" t="s">
        <v>3101</v>
      </c>
    </row>
    <row r="268" spans="2:12" x14ac:dyDescent="0.3">
      <c r="B268" s="183" t="s">
        <v>2836</v>
      </c>
      <c r="C268" s="2509">
        <f ca="1">+SUMIFS('TB Grouping'!F:F,'TB Grouping'!D:D,'TB to be sent to client'!B268)</f>
        <v>0</v>
      </c>
      <c r="D268" s="2509">
        <f>+SUMIFS('Additional &amp; Presentation Entry'!$G$10:$G$1048576,'Additional &amp; Presentation Entry'!$F$10:$F$1048576,'TB to be sent to client'!B268)</f>
        <v>0</v>
      </c>
      <c r="E268" s="2509">
        <f t="shared" ca="1" si="4"/>
        <v>0</v>
      </c>
      <c r="J268" s="2535" t="e">
        <f ca="1">+_xlfn.XLOOKUP(B268,'TB Grouping'!D:D,'TB Grouping'!D:D)</f>
        <v>#NAME?</v>
      </c>
      <c r="L268" s="1" t="e">
        <v>#N/A</v>
      </c>
    </row>
    <row r="269" spans="2:12" x14ac:dyDescent="0.3">
      <c r="B269" s="183" t="s">
        <v>2838</v>
      </c>
      <c r="C269" s="2509">
        <f ca="1">+SUMIFS('TB Grouping'!F:F,'TB Grouping'!D:D,'TB to be sent to client'!B269)</f>
        <v>-15443674.32</v>
      </c>
      <c r="D269" s="2509">
        <f>+SUMIFS('Additional &amp; Presentation Entry'!$G$10:$G$1048576,'Additional &amp; Presentation Entry'!$F$10:$F$1048576,'TB to be sent to client'!B269)</f>
        <v>0</v>
      </c>
      <c r="E269" s="2509">
        <f t="shared" ca="1" si="4"/>
        <v>-15443674.32</v>
      </c>
      <c r="J269" s="2535" t="e">
        <f ca="1">+_xlfn.XLOOKUP(B269,'TB Grouping'!D:D,'TB Grouping'!D:D)</f>
        <v>#NAME?</v>
      </c>
      <c r="L269" s="1" t="s">
        <v>2838</v>
      </c>
    </row>
    <row r="270" spans="2:12" x14ac:dyDescent="0.3">
      <c r="B270" s="183" t="s">
        <v>2839</v>
      </c>
      <c r="C270" s="2509">
        <f ca="1">+SUMIFS('TB Grouping'!F:F,'TB Grouping'!D:D,'TB to be sent to client'!B270)</f>
        <v>-3493327.81</v>
      </c>
      <c r="D270" s="2509">
        <f>+SUMIFS('Additional &amp; Presentation Entry'!$G$10:$G$1048576,'Additional &amp; Presentation Entry'!$F$10:$F$1048576,'TB to be sent to client'!B270)</f>
        <v>593188.43000000005</v>
      </c>
      <c r="E270" s="2509">
        <f t="shared" ca="1" si="4"/>
        <v>-2900139.38</v>
      </c>
      <c r="J270" s="2535" t="e">
        <f ca="1">+_xlfn.XLOOKUP(B270,'TB Grouping'!D:D,'TB Grouping'!D:D)</f>
        <v>#NAME?</v>
      </c>
      <c r="L270" s="1" t="s">
        <v>2839</v>
      </c>
    </row>
    <row r="271" spans="2:12" x14ac:dyDescent="0.3">
      <c r="B271" s="183" t="s">
        <v>2841</v>
      </c>
      <c r="C271" s="2509">
        <f ca="1">+SUMIFS('TB Grouping'!F:F,'TB Grouping'!D:D,'TB to be sent to client'!B271)</f>
        <v>-128743932.2</v>
      </c>
      <c r="D271" s="2509">
        <f>+SUMIFS('Additional &amp; Presentation Entry'!$G$10:$G$1048576,'Additional &amp; Presentation Entry'!$F$10:$F$1048576,'TB to be sent to client'!B271)</f>
        <v>-5872674.1799999997</v>
      </c>
      <c r="E271" s="2509">
        <f t="shared" ca="1" si="4"/>
        <v>-134616606.38</v>
      </c>
      <c r="J271" s="2535" t="e">
        <f ca="1">+_xlfn.XLOOKUP(B271,'TB Grouping'!D:D,'TB Grouping'!D:D)</f>
        <v>#NAME?</v>
      </c>
      <c r="L271" s="1" t="s">
        <v>2841</v>
      </c>
    </row>
    <row r="272" spans="2:12" x14ac:dyDescent="0.3">
      <c r="B272" s="183" t="s">
        <v>2842</v>
      </c>
      <c r="C272" s="2509">
        <f ca="1">+SUMIFS('TB Grouping'!F:F,'TB Grouping'!D:D,'TB to be sent to client'!B272)</f>
        <v>-113631610.14</v>
      </c>
      <c r="D272" s="2509">
        <f>+SUMIFS('Additional &amp; Presentation Entry'!$G$10:$G$1048576,'Additional &amp; Presentation Entry'!$F$10:$F$1048576,'TB to be sent to client'!B272)</f>
        <v>15804108</v>
      </c>
      <c r="E272" s="2509">
        <f t="shared" ca="1" si="4"/>
        <v>-97827502.140000001</v>
      </c>
      <c r="J272" s="2535" t="e">
        <f ca="1">+_xlfn.XLOOKUP(B272,'TB Grouping'!D:D,'TB Grouping'!D:D)</f>
        <v>#NAME?</v>
      </c>
      <c r="L272" s="1" t="s">
        <v>2842</v>
      </c>
    </row>
    <row r="273" spans="2:12" x14ac:dyDescent="0.3">
      <c r="B273" s="183" t="s">
        <v>2843</v>
      </c>
      <c r="C273" s="2509">
        <f ca="1">+SUMIFS('TB Grouping'!F:F,'TB Grouping'!D:D,'TB to be sent to client'!B273)</f>
        <v>-195327.52</v>
      </c>
      <c r="D273" s="2509">
        <f>+SUMIFS('Additional &amp; Presentation Entry'!$G$10:$G$1048576,'Additional &amp; Presentation Entry'!$F$10:$F$1048576,'TB to be sent to client'!B273)</f>
        <v>0</v>
      </c>
      <c r="E273" s="2509">
        <f t="shared" ca="1" si="4"/>
        <v>-195327.52</v>
      </c>
      <c r="J273" s="2535" t="e">
        <f ca="1">+_xlfn.XLOOKUP(B273,'TB Grouping'!D:D,'TB Grouping'!D:D)</f>
        <v>#NAME?</v>
      </c>
      <c r="L273" s="1" t="s">
        <v>2843</v>
      </c>
    </row>
    <row r="274" spans="2:12" x14ac:dyDescent="0.3">
      <c r="B274" s="183" t="s">
        <v>3594</v>
      </c>
      <c r="C274" s="2509">
        <f ca="1">+SUMIFS('TB Grouping'!F:F,'TB Grouping'!D:D,'TB to be sent to client'!B274)</f>
        <v>0</v>
      </c>
      <c r="D274" s="2509">
        <f>+SUMIFS('Additional &amp; Presentation Entry'!$G$10:$G$1048576,'Additional &amp; Presentation Entry'!$F$10:$F$1048576,'TB to be sent to client'!B274)</f>
        <v>0</v>
      </c>
      <c r="E274" s="2509">
        <f t="shared" ca="1" si="4"/>
        <v>0</v>
      </c>
      <c r="J274" s="2535" t="e">
        <f ca="1">+_xlfn.XLOOKUP(B274,'TB Grouping'!D:D,'TB Grouping'!D:D)</f>
        <v>#NAME?</v>
      </c>
      <c r="L274" s="1" t="s">
        <v>3594</v>
      </c>
    </row>
    <row r="275" spans="2:12" x14ac:dyDescent="0.3">
      <c r="B275" s="183" t="s">
        <v>3593</v>
      </c>
      <c r="C275" s="2509">
        <f ca="1">+SUMIFS('TB Grouping'!F:F,'TB Grouping'!D:D,'TB to be sent to client'!B275)</f>
        <v>0</v>
      </c>
      <c r="D275" s="2509">
        <f>+SUMIFS('Additional &amp; Presentation Entry'!$G$10:$G$1048576,'Additional &amp; Presentation Entry'!$F$10:$F$1048576,'TB to be sent to client'!B275)</f>
        <v>0</v>
      </c>
      <c r="E275" s="2509">
        <f t="shared" ca="1" si="4"/>
        <v>0</v>
      </c>
      <c r="J275" s="2535" t="e">
        <f ca="1">+_xlfn.XLOOKUP(B275,'TB Grouping'!D:D,'TB Grouping'!D:D)</f>
        <v>#NAME?</v>
      </c>
      <c r="L275" s="1" t="s">
        <v>3593</v>
      </c>
    </row>
    <row r="276" spans="2:12" x14ac:dyDescent="0.3">
      <c r="B276" s="183" t="s">
        <v>3595</v>
      </c>
      <c r="C276" s="2509">
        <f ca="1">+SUMIFS('TB Grouping'!F:F,'TB Grouping'!D:D,'TB to be sent to client'!B276)</f>
        <v>0</v>
      </c>
      <c r="D276" s="2509">
        <f>+SUMIFS('Additional &amp; Presentation Entry'!$G$10:$G$1048576,'Additional &amp; Presentation Entry'!$F$10:$F$1048576,'TB to be sent to client'!B276)</f>
        <v>0</v>
      </c>
      <c r="E276" s="2509">
        <f t="shared" ca="1" si="4"/>
        <v>0</v>
      </c>
      <c r="J276" s="2535" t="e">
        <f ca="1">+_xlfn.XLOOKUP(B276,'TB Grouping'!D:D,'TB Grouping'!D:D)</f>
        <v>#NAME?</v>
      </c>
      <c r="L276" s="1" t="s">
        <v>3595</v>
      </c>
    </row>
    <row r="277" spans="2:12" x14ac:dyDescent="0.3">
      <c r="B277" s="183" t="s">
        <v>2769</v>
      </c>
      <c r="C277" s="2509">
        <f ca="1">+SUMIFS('TB Grouping'!F:F,'TB Grouping'!D:D,'TB to be sent to client'!B277)</f>
        <v>1396998</v>
      </c>
      <c r="D277" s="2509">
        <f>+SUMIFS('Additional &amp; Presentation Entry'!$G$10:$G$1048576,'Additional &amp; Presentation Entry'!$F$10:$F$1048576,'TB to be sent to client'!B277)</f>
        <v>0</v>
      </c>
      <c r="E277" s="2509">
        <f t="shared" ca="1" si="4"/>
        <v>1396998</v>
      </c>
      <c r="J277" s="2535" t="e">
        <f ca="1">+_xlfn.XLOOKUP(B277,'TB Grouping'!D:D,'TB Grouping'!D:D)</f>
        <v>#NAME?</v>
      </c>
      <c r="L277" s="1" t="s">
        <v>2769</v>
      </c>
    </row>
    <row r="278" spans="2:12" x14ac:dyDescent="0.3">
      <c r="B278" s="183" t="s">
        <v>2778</v>
      </c>
      <c r="C278" s="2509">
        <f ca="1">+SUMIFS('TB Grouping'!F:F,'TB Grouping'!D:D,'TB to be sent to client'!B278)</f>
        <v>0</v>
      </c>
      <c r="D278" s="2509">
        <f>+SUMIFS('Additional &amp; Presentation Entry'!$G$10:$G$1048576,'Additional &amp; Presentation Entry'!$F$10:$F$1048576,'TB to be sent to client'!B278)</f>
        <v>104272</v>
      </c>
      <c r="E278" s="2509">
        <f t="shared" ca="1" si="4"/>
        <v>104272</v>
      </c>
      <c r="J278" s="2535" t="e">
        <f ca="1">+_xlfn.XLOOKUP(B278,'TB Grouping'!D:D,'TB Grouping'!D:D)</f>
        <v>#NAME?</v>
      </c>
      <c r="L278" s="1" t="s">
        <v>2778</v>
      </c>
    </row>
    <row r="279" spans="2:12" x14ac:dyDescent="0.3">
      <c r="B279" s="183" t="s">
        <v>2851</v>
      </c>
      <c r="C279" s="2509">
        <f ca="1">+SUMIFS('TB Grouping'!F:F,'TB Grouping'!D:D,'TB to be sent to client'!B279)</f>
        <v>16400</v>
      </c>
      <c r="D279" s="2509">
        <f>+SUMIFS('Additional &amp; Presentation Entry'!$G$10:$G$1048576,'Additional &amp; Presentation Entry'!$F$10:$F$1048576,'TB to be sent to client'!B279)</f>
        <v>0</v>
      </c>
      <c r="E279" s="2509">
        <f t="shared" ca="1" si="4"/>
        <v>16400</v>
      </c>
      <c r="J279" s="2535" t="e">
        <f ca="1">+_xlfn.XLOOKUP(B279,'TB Grouping'!D:D,'TB Grouping'!D:D)</f>
        <v>#NAME?</v>
      </c>
      <c r="L279" s="1" t="s">
        <v>2851</v>
      </c>
    </row>
    <row r="280" spans="2:12" x14ac:dyDescent="0.3">
      <c r="B280" s="183" t="s">
        <v>2852</v>
      </c>
      <c r="C280" s="2509">
        <f ca="1">+SUMIFS('TB Grouping'!F:F,'TB Grouping'!D:D,'TB to be sent to client'!B280)</f>
        <v>0</v>
      </c>
      <c r="D280" s="2509">
        <f>+SUMIFS('Additional &amp; Presentation Entry'!$G$10:$G$1048576,'Additional &amp; Presentation Entry'!$F$10:$F$1048576,'TB to be sent to client'!B280)</f>
        <v>0</v>
      </c>
      <c r="E280" s="2509">
        <f t="shared" ca="1" si="4"/>
        <v>0</v>
      </c>
      <c r="J280" s="2535" t="e">
        <f ca="1">+_xlfn.XLOOKUP(B280,'TB Grouping'!D:D,'TB Grouping'!D:D)</f>
        <v>#NAME?</v>
      </c>
      <c r="L280" s="1" t="s">
        <v>2852</v>
      </c>
    </row>
    <row r="281" spans="2:12" x14ac:dyDescent="0.3">
      <c r="B281" s="183" t="s">
        <v>2853</v>
      </c>
      <c r="C281" s="2509">
        <f ca="1">+SUMIFS('TB Grouping'!F:F,'TB Grouping'!D:D,'TB to be sent to client'!B281)</f>
        <v>0</v>
      </c>
      <c r="D281" s="2509">
        <f>+SUMIFS('Additional &amp; Presentation Entry'!$G$10:$G$1048576,'Additional &amp; Presentation Entry'!$F$10:$F$1048576,'TB to be sent to client'!B281)</f>
        <v>0</v>
      </c>
      <c r="E281" s="2509">
        <f t="shared" ca="1" si="4"/>
        <v>0</v>
      </c>
      <c r="J281" s="2535" t="e">
        <f ca="1">+_xlfn.XLOOKUP(B281,'TB Grouping'!D:D,'TB Grouping'!D:D)</f>
        <v>#NAME?</v>
      </c>
      <c r="L281" s="1" t="s">
        <v>2853</v>
      </c>
    </row>
    <row r="282" spans="2:12" x14ac:dyDescent="0.3">
      <c r="B282" s="183" t="s">
        <v>3568</v>
      </c>
      <c r="C282" s="2509">
        <f ca="1">+SUMIFS('TB Grouping'!F:F,'TB Grouping'!D:D,'TB to be sent to client'!B282)</f>
        <v>0</v>
      </c>
      <c r="D282" s="2509">
        <f>+SUMIFS('Additional &amp; Presentation Entry'!$G$10:$G$1048576,'Additional &amp; Presentation Entry'!$F$10:$F$1048576,'TB to be sent to client'!B282)</f>
        <v>-115</v>
      </c>
      <c r="E282" s="2509">
        <f t="shared" ca="1" si="4"/>
        <v>-115</v>
      </c>
      <c r="J282" s="2535" t="e">
        <f ca="1">+_xlfn.XLOOKUP(B282,'TB Grouping'!D:D,'TB Grouping'!D:D)</f>
        <v>#NAME?</v>
      </c>
      <c r="L282" s="1" t="s">
        <v>3568</v>
      </c>
    </row>
    <row r="283" spans="2:12" x14ac:dyDescent="0.3">
      <c r="B283" s="183" t="s">
        <v>2859</v>
      </c>
      <c r="C283" s="2509">
        <f ca="1">+SUMIFS('TB Grouping'!F:F,'TB Grouping'!D:D,'TB to be sent to client'!B283)</f>
        <v>0</v>
      </c>
      <c r="D283" s="2509">
        <f>+SUMIFS('Additional &amp; Presentation Entry'!$G$10:$G$1048576,'Additional &amp; Presentation Entry'!$F$10:$F$1048576,'TB to be sent to client'!B283)</f>
        <v>0</v>
      </c>
      <c r="E283" s="2509">
        <f t="shared" ca="1" si="4"/>
        <v>0</v>
      </c>
      <c r="J283" s="2535" t="e">
        <f ca="1">+_xlfn.XLOOKUP(B283,'TB Grouping'!D:D,'TB Grouping'!D:D)</f>
        <v>#NAME?</v>
      </c>
      <c r="L283" s="1" t="e">
        <v>#N/A</v>
      </c>
    </row>
    <row r="284" spans="2:12" x14ac:dyDescent="0.3">
      <c r="B284" s="183" t="s">
        <v>2782</v>
      </c>
      <c r="C284" s="2509">
        <f ca="1">+SUMIFS('TB Grouping'!F:F,'TB Grouping'!D:D,'TB to be sent to client'!B284)</f>
        <v>0</v>
      </c>
      <c r="D284" s="2509">
        <f>+SUMIFS('Additional &amp; Presentation Entry'!$G$10:$G$1048576,'Additional &amp; Presentation Entry'!$F$10:$F$1048576,'TB to be sent to client'!B284)</f>
        <v>0</v>
      </c>
      <c r="E284" s="2509">
        <f t="shared" ca="1" si="4"/>
        <v>0</v>
      </c>
      <c r="J284" s="2535" t="e">
        <f ca="1">+_xlfn.XLOOKUP(B284,'TB Grouping'!D:D,'TB Grouping'!D:D)</f>
        <v>#NAME?</v>
      </c>
      <c r="L284" s="1" t="s">
        <v>2782</v>
      </c>
    </row>
    <row r="285" spans="2:12" x14ac:dyDescent="0.3">
      <c r="B285" s="183" t="s">
        <v>2785</v>
      </c>
      <c r="C285" s="2509">
        <f ca="1">+SUMIFS('TB Grouping'!F:F,'TB Grouping'!D:D,'TB to be sent to client'!B285)</f>
        <v>-1600</v>
      </c>
      <c r="D285" s="2509">
        <f>+SUMIFS('Additional &amp; Presentation Entry'!$G$10:$G$1048576,'Additional &amp; Presentation Entry'!$F$10:$F$1048576,'TB to be sent to client'!B285)</f>
        <v>0</v>
      </c>
      <c r="E285" s="2509">
        <f t="shared" ca="1" si="4"/>
        <v>-1600</v>
      </c>
      <c r="J285" s="2535" t="e">
        <f ca="1">+_xlfn.XLOOKUP(B285,'TB Grouping'!D:D,'TB Grouping'!D:D)</f>
        <v>#NAME?</v>
      </c>
      <c r="L285" s="1" t="s">
        <v>2785</v>
      </c>
    </row>
    <row r="286" spans="2:12" x14ac:dyDescent="0.3">
      <c r="B286" s="183" t="s">
        <v>2786</v>
      </c>
      <c r="C286" s="2509">
        <f ca="1">+SUMIFS('TB Grouping'!F:F,'TB Grouping'!D:D,'TB to be sent to client'!B286)</f>
        <v>-331689.56</v>
      </c>
      <c r="D286" s="2509">
        <f>+SUMIFS('Additional &amp; Presentation Entry'!$G$10:$G$1048576,'Additional &amp; Presentation Entry'!$F$10:$F$1048576,'TB to be sent to client'!B286)</f>
        <v>109691.02</v>
      </c>
      <c r="E286" s="2509">
        <f t="shared" ca="1" si="4"/>
        <v>-221998.53999999998</v>
      </c>
      <c r="J286" s="2535" t="e">
        <f ca="1">+_xlfn.XLOOKUP(B286,'TB Grouping'!D:D,'TB Grouping'!D:D)</f>
        <v>#NAME?</v>
      </c>
      <c r="L286" s="1" t="s">
        <v>2786</v>
      </c>
    </row>
    <row r="287" spans="2:12" x14ac:dyDescent="0.3">
      <c r="B287" s="2515" t="s">
        <v>3098</v>
      </c>
      <c r="C287" s="2509">
        <f ca="1">+SUMIFS('TB Grouping'!F:F,'TB Grouping'!D:D,'TB to be sent to client'!B287)</f>
        <v>0</v>
      </c>
      <c r="D287" s="2509">
        <f>+SUMIFS('Additional &amp; Presentation Entry'!$G$10:$G$1048576,'Additional &amp; Presentation Entry'!$F$10:$F$1048576,'TB to be sent to client'!B287)</f>
        <v>2068.85</v>
      </c>
      <c r="E287" s="2509">
        <f t="shared" ca="1" si="4"/>
        <v>2068.85</v>
      </c>
      <c r="J287" s="2535" t="e">
        <f ca="1">+_xlfn.XLOOKUP(B287,'TB Grouping'!D:D,'TB Grouping'!D:D)</f>
        <v>#NAME?</v>
      </c>
      <c r="L287" s="1" t="s">
        <v>3098</v>
      </c>
    </row>
    <row r="288" spans="2:12" x14ac:dyDescent="0.3">
      <c r="B288" s="2515" t="s">
        <v>3596</v>
      </c>
      <c r="C288" s="2509">
        <f ca="1">+SUMIFS('TB Grouping'!F:F,'TB Grouping'!D:D,'TB to be sent to client'!B288)</f>
        <v>3503634.75</v>
      </c>
      <c r="D288" s="2509">
        <f>+SUMIFS('Additional &amp; Presentation Entry'!$G$10:$G$1048576,'Additional &amp; Presentation Entry'!$F$10:$F$1048576,'TB to be sent to client'!B288)</f>
        <v>812196.02000000014</v>
      </c>
      <c r="E288" s="2509">
        <f t="shared" ca="1" si="4"/>
        <v>4315830.7700000005</v>
      </c>
      <c r="J288" s="2535" t="e">
        <f ca="1">+_xlfn.XLOOKUP(B288,'TB Grouping'!D:D,'TB Grouping'!D:D)</f>
        <v>#NAME?</v>
      </c>
      <c r="L288" s="1" t="s">
        <v>3596</v>
      </c>
    </row>
    <row r="289" spans="2:12" x14ac:dyDescent="0.3">
      <c r="B289" s="2515" t="s">
        <v>2798</v>
      </c>
      <c r="C289" s="2509">
        <f ca="1">+SUMIFS('TB Grouping'!F:F,'TB Grouping'!D:D,'TB to be sent to client'!B289)</f>
        <v>0</v>
      </c>
      <c r="D289" s="2509">
        <f>+SUMIFS('Additional &amp; Presentation Entry'!$G$10:$G$1048576,'Additional &amp; Presentation Entry'!$F$10:$F$1048576,'TB to be sent to client'!B289)</f>
        <v>-58.11</v>
      </c>
      <c r="E289" s="2509">
        <f t="shared" ca="1" si="4"/>
        <v>-58.11</v>
      </c>
      <c r="J289" s="2535" t="e">
        <f ca="1">+_xlfn.XLOOKUP(B289,'TB Grouping'!D:D,'TB Grouping'!D:D)</f>
        <v>#NAME?</v>
      </c>
      <c r="L289" s="1" t="s">
        <v>2798</v>
      </c>
    </row>
    <row r="290" spans="2:12" x14ac:dyDescent="0.3">
      <c r="B290" s="183" t="s">
        <v>2864</v>
      </c>
      <c r="C290" s="2509">
        <f ca="1">+SUMIFS('TB Grouping'!F:F,'TB Grouping'!D:D,'TB to be sent to client'!B290)</f>
        <v>471.95</v>
      </c>
      <c r="D290" s="2509">
        <f>+SUMIFS('Additional &amp; Presentation Entry'!$G$10:$G$1048576,'Additional &amp; Presentation Entry'!$F$10:$F$1048576,'TB to be sent to client'!B290)</f>
        <v>0</v>
      </c>
      <c r="E290" s="2509">
        <f t="shared" ca="1" si="4"/>
        <v>471.95</v>
      </c>
      <c r="J290" s="2535" t="e">
        <f ca="1">+_xlfn.XLOOKUP(B290,'TB Grouping'!D:D,'TB Grouping'!D:D)</f>
        <v>#NAME?</v>
      </c>
      <c r="L290" s="1" t="s">
        <v>2864</v>
      </c>
    </row>
    <row r="291" spans="2:12" x14ac:dyDescent="0.3">
      <c r="B291" s="183" t="s">
        <v>2807</v>
      </c>
      <c r="C291" s="2509">
        <f ca="1">+SUMIFS('TB Grouping'!F:F,'TB Grouping'!D:D,'TB to be sent to client'!B291)</f>
        <v>0</v>
      </c>
      <c r="D291" s="2509">
        <f>+SUMIFS('Additional &amp; Presentation Entry'!$G$10:$G$1048576,'Additional &amp; Presentation Entry'!$F$10:$F$1048576,'TB to be sent to client'!B291)</f>
        <v>0</v>
      </c>
      <c r="E291" s="2509">
        <f t="shared" ca="1" si="4"/>
        <v>0</v>
      </c>
      <c r="J291" s="2535" t="e">
        <f ca="1">+_xlfn.XLOOKUP(B291,'TB Grouping'!D:D,'TB Grouping'!D:D)</f>
        <v>#NAME?</v>
      </c>
      <c r="L291" s="1" t="s">
        <v>2807</v>
      </c>
    </row>
    <row r="292" spans="2:12" x14ac:dyDescent="0.3">
      <c r="B292" s="183" t="s">
        <v>2809</v>
      </c>
      <c r="C292" s="2509">
        <f ca="1">+SUMIFS('TB Grouping'!F:F,'TB Grouping'!D:D,'TB to be sent to client'!B292)</f>
        <v>0</v>
      </c>
      <c r="D292" s="2509">
        <f>+SUMIFS('Additional &amp; Presentation Entry'!$G$10:$G$1048576,'Additional &amp; Presentation Entry'!$F$10:$F$1048576,'TB to be sent to client'!B292)</f>
        <v>0</v>
      </c>
      <c r="E292" s="2509">
        <f t="shared" ca="1" si="4"/>
        <v>0</v>
      </c>
      <c r="J292" s="2535" t="e">
        <f ca="1">+_xlfn.XLOOKUP(B292,'TB Grouping'!D:D,'TB Grouping'!D:D)</f>
        <v>#NAME?</v>
      </c>
      <c r="L292" s="1" t="s">
        <v>2809</v>
      </c>
    </row>
    <row r="293" spans="2:12" x14ac:dyDescent="0.3">
      <c r="B293" s="183" t="s">
        <v>2868</v>
      </c>
      <c r="C293" s="2509">
        <f ca="1">+SUMIFS('TB Grouping'!F:F,'TB Grouping'!D:D,'TB to be sent to client'!B293)</f>
        <v>124182.17</v>
      </c>
      <c r="D293" s="2509">
        <f>+SUMIFS('Additional &amp; Presentation Entry'!$G$10:$G$1048576,'Additional &amp; Presentation Entry'!$F$10:$F$1048576,'TB to be sent to client'!B293)</f>
        <v>7794.2506849315105</v>
      </c>
      <c r="E293" s="2509">
        <f t="shared" ca="1" si="4"/>
        <v>131976.42068493151</v>
      </c>
      <c r="J293" s="2535" t="e">
        <f ca="1">+_xlfn.XLOOKUP(B293,'TB Grouping'!D:D,'TB Grouping'!D:D)</f>
        <v>#NAME?</v>
      </c>
      <c r="L293" s="1" t="s">
        <v>2868</v>
      </c>
    </row>
    <row r="294" spans="2:12" x14ac:dyDescent="0.3">
      <c r="B294" s="183" t="s">
        <v>2870</v>
      </c>
      <c r="C294" s="2509">
        <f ca="1">+SUMIFS('TB Grouping'!F:F,'TB Grouping'!D:D,'TB to be sent to client'!B294)</f>
        <v>0</v>
      </c>
      <c r="D294" s="2509">
        <f>+SUMIFS('Additional &amp; Presentation Entry'!$G$10:$G$1048576,'Additional &amp; Presentation Entry'!$F$10:$F$1048576,'TB to be sent to client'!B294)</f>
        <v>0</v>
      </c>
      <c r="E294" s="2509">
        <f t="shared" ca="1" si="4"/>
        <v>0</v>
      </c>
      <c r="J294" s="2535" t="e">
        <f ca="1">+_xlfn.XLOOKUP(B294,'TB Grouping'!D:D,'TB Grouping'!D:D)</f>
        <v>#NAME?</v>
      </c>
      <c r="L294" s="1" t="e">
        <v>#N/A</v>
      </c>
    </row>
    <row r="295" spans="2:12" x14ac:dyDescent="0.3">
      <c r="B295" s="183" t="s">
        <v>2874</v>
      </c>
      <c r="C295" s="2509">
        <f ca="1">+SUMIFS('TB Grouping'!F:F,'TB Grouping'!D:D,'TB to be sent to client'!B295)</f>
        <v>0</v>
      </c>
      <c r="D295" s="2509">
        <f>+SUMIFS('Additional &amp; Presentation Entry'!$G$10:$G$1048576,'Additional &amp; Presentation Entry'!$F$10:$F$1048576,'TB to be sent to client'!B295)</f>
        <v>0</v>
      </c>
      <c r="E295" s="2509">
        <f t="shared" ca="1" si="4"/>
        <v>0</v>
      </c>
      <c r="J295" s="2535" t="e">
        <f ca="1">+_xlfn.XLOOKUP(B295,'TB Grouping'!D:D,'TB Grouping'!D:D)</f>
        <v>#NAME?</v>
      </c>
      <c r="L295" s="1" t="s">
        <v>2874</v>
      </c>
    </row>
    <row r="296" spans="2:12" x14ac:dyDescent="0.3">
      <c r="B296" s="183" t="s">
        <v>2878</v>
      </c>
      <c r="C296" s="2509">
        <f ca="1">+SUMIFS('TB Grouping'!F:F,'TB Grouping'!D:D,'TB to be sent to client'!B296)</f>
        <v>0</v>
      </c>
      <c r="D296" s="2509">
        <f>+SUMIFS('Additional &amp; Presentation Entry'!$G$10:$G$1048576,'Additional &amp; Presentation Entry'!$F$10:$F$1048576,'TB to be sent to client'!B296)</f>
        <v>0</v>
      </c>
      <c r="E296" s="2509">
        <f t="shared" ca="1" si="4"/>
        <v>0</v>
      </c>
      <c r="J296" s="2535" t="e">
        <f ca="1">+_xlfn.XLOOKUP(B296,'TB Grouping'!D:D,'TB Grouping'!D:D)</f>
        <v>#NAME?</v>
      </c>
      <c r="L296" s="1" t="e">
        <v>#N/A</v>
      </c>
    </row>
    <row r="297" spans="2:12" x14ac:dyDescent="0.3">
      <c r="B297" s="183" t="s">
        <v>2881</v>
      </c>
      <c r="C297" s="2509">
        <f ca="1">+SUMIFS('TB Grouping'!F:F,'TB Grouping'!D:D,'TB to be sent to client'!B297)</f>
        <v>2500</v>
      </c>
      <c r="D297" s="2509">
        <f>+SUMIFS('Additional &amp; Presentation Entry'!$G$10:$G$1048576,'Additional &amp; Presentation Entry'!$F$10:$F$1048576,'TB to be sent to client'!B297)</f>
        <v>0</v>
      </c>
      <c r="E297" s="2509">
        <f t="shared" ca="1" si="4"/>
        <v>2500</v>
      </c>
      <c r="J297" s="2535" t="e">
        <f ca="1">+_xlfn.XLOOKUP(B297,'TB Grouping'!D:D,'TB Grouping'!D:D)</f>
        <v>#NAME?</v>
      </c>
      <c r="L297" s="1" t="s">
        <v>2881</v>
      </c>
    </row>
    <row r="298" spans="2:12" x14ac:dyDescent="0.3">
      <c r="B298" s="183" t="s">
        <v>2832</v>
      </c>
      <c r="C298" s="2509">
        <f ca="1">+SUMIFS('TB Grouping'!F:F,'TB Grouping'!D:D,'TB to be sent to client'!B298)</f>
        <v>0</v>
      </c>
      <c r="D298" s="2509">
        <f>+SUMIFS('Additional &amp; Presentation Entry'!$G$10:$G$1048576,'Additional &amp; Presentation Entry'!$F$10:$F$1048576,'TB to be sent to client'!B298)</f>
        <v>107844</v>
      </c>
      <c r="E298" s="2509">
        <f t="shared" ca="1" si="4"/>
        <v>107844</v>
      </c>
      <c r="J298" s="2535" t="e">
        <f ca="1">+_xlfn.XLOOKUP(B298,'TB Grouping'!D:D,'TB Grouping'!D:D)</f>
        <v>#NAME?</v>
      </c>
      <c r="L298" s="1" t="s">
        <v>2832</v>
      </c>
    </row>
    <row r="299" spans="2:12" x14ac:dyDescent="0.3">
      <c r="B299" s="183" t="s">
        <v>3153</v>
      </c>
      <c r="C299" s="2509">
        <f ca="1">+SUMIFS('TB Grouping'!F:F,'TB Grouping'!D:D,'TB to be sent to client'!B299)</f>
        <v>0</v>
      </c>
      <c r="D299" s="2509">
        <f>+SUMIFS('Additional &amp; Presentation Entry'!$G$10:$G$1048576,'Additional &amp; Presentation Entry'!$F$10:$F$1048576,'TB to be sent to client'!B299)</f>
        <v>0</v>
      </c>
      <c r="E299" s="2509">
        <f t="shared" ca="1" si="4"/>
        <v>0</v>
      </c>
      <c r="J299" s="2535" t="e">
        <f ca="1">+_xlfn.XLOOKUP(B299,'TB Grouping'!D:D,'TB Grouping'!D:D)</f>
        <v>#NAME?</v>
      </c>
      <c r="L299" s="1" t="s">
        <v>3153</v>
      </c>
    </row>
    <row r="300" spans="2:12" x14ac:dyDescent="0.3">
      <c r="B300" s="183" t="s">
        <v>3599</v>
      </c>
      <c r="C300" s="2509">
        <f ca="1">+SUMIFS('TB Grouping'!F:F,'TB Grouping'!D:D,'TB to be sent to client'!B300)</f>
        <v>0</v>
      </c>
      <c r="D300" s="2509">
        <f>+SUMIFS('Additional &amp; Presentation Entry'!$G$10:$G$1048576,'Additional &amp; Presentation Entry'!$F$10:$F$1048576,'TB to be sent to client'!B300)</f>
        <v>-130.33000000000001</v>
      </c>
      <c r="E300" s="2509">
        <f t="shared" ca="1" si="4"/>
        <v>-130.33000000000001</v>
      </c>
      <c r="J300" s="2535" t="e">
        <f ca="1">+_xlfn.XLOOKUP(B300,'TB Grouping'!D:D,'TB Grouping'!D:D)</f>
        <v>#NAME?</v>
      </c>
      <c r="L300" s="1" t="s">
        <v>3599</v>
      </c>
    </row>
    <row r="301" spans="2:12" x14ac:dyDescent="0.3">
      <c r="B301" s="183" t="s">
        <v>2890</v>
      </c>
      <c r="C301" s="2509">
        <f ca="1">+SUMIFS('TB Grouping'!F:F,'TB Grouping'!D:D,'TB to be sent to client'!B301)</f>
        <v>0</v>
      </c>
      <c r="D301" s="2509">
        <f>+SUMIFS('Additional &amp; Presentation Entry'!$G$10:$G$1048576,'Additional &amp; Presentation Entry'!$F$10:$F$1048576,'TB to be sent to client'!B301)</f>
        <v>0</v>
      </c>
      <c r="E301" s="2509">
        <f t="shared" ca="1" si="4"/>
        <v>0</v>
      </c>
      <c r="J301" s="2535" t="e">
        <f ca="1">+_xlfn.XLOOKUP(B301,'TB Grouping'!D:D,'TB Grouping'!D:D)</f>
        <v>#NAME?</v>
      </c>
      <c r="L301" s="1" t="e">
        <v>#N/A</v>
      </c>
    </row>
    <row r="302" spans="2:12" x14ac:dyDescent="0.3">
      <c r="B302" s="183" t="s">
        <v>2893</v>
      </c>
      <c r="C302" s="2509">
        <f ca="1">+SUMIFS('TB Grouping'!F:F,'TB Grouping'!D:D,'TB to be sent to client'!B302)</f>
        <v>0</v>
      </c>
      <c r="D302" s="2509">
        <f>+SUMIFS('Additional &amp; Presentation Entry'!$G$10:$G$1048576,'Additional &amp; Presentation Entry'!$F$10:$F$1048576,'TB to be sent to client'!B302)</f>
        <v>0</v>
      </c>
      <c r="E302" s="2509">
        <f t="shared" ca="1" si="4"/>
        <v>0</v>
      </c>
      <c r="J302" s="2535" t="e">
        <f ca="1">+_xlfn.XLOOKUP(B302,'TB Grouping'!D:D,'TB Grouping'!D:D)</f>
        <v>#NAME?</v>
      </c>
      <c r="L302" s="1" t="e">
        <v>#N/A</v>
      </c>
    </row>
    <row r="303" spans="2:12" x14ac:dyDescent="0.3">
      <c r="B303" s="183" t="s">
        <v>2897</v>
      </c>
      <c r="C303" s="2509">
        <f ca="1">+SUMIFS('TB Grouping'!F:F,'TB Grouping'!D:D,'TB to be sent to client'!B303)</f>
        <v>0</v>
      </c>
      <c r="D303" s="2509">
        <f>+SUMIFS('Additional &amp; Presentation Entry'!$G$10:$G$1048576,'Additional &amp; Presentation Entry'!$F$10:$F$1048576,'TB to be sent to client'!B303)</f>
        <v>0</v>
      </c>
      <c r="E303" s="2509">
        <f t="shared" ca="1" si="4"/>
        <v>0</v>
      </c>
      <c r="J303" s="2535" t="e">
        <f ca="1">+_xlfn.XLOOKUP(B303,'TB Grouping'!D:D,'TB Grouping'!D:D)</f>
        <v>#NAME?</v>
      </c>
      <c r="L303" s="1" t="e">
        <v>#N/A</v>
      </c>
    </row>
    <row r="304" spans="2:12" x14ac:dyDescent="0.3">
      <c r="B304" s="183" t="s">
        <v>2898</v>
      </c>
      <c r="C304" s="2509">
        <f ca="1">+SUMIFS('TB Grouping'!F:F,'TB Grouping'!D:D,'TB to be sent to client'!B304)</f>
        <v>0</v>
      </c>
      <c r="D304" s="2509">
        <f>+SUMIFS('Additional &amp; Presentation Entry'!$G$10:$G$1048576,'Additional &amp; Presentation Entry'!$F$10:$F$1048576,'TB to be sent to client'!B304)</f>
        <v>5152</v>
      </c>
      <c r="E304" s="2509">
        <f t="shared" ca="1" si="4"/>
        <v>5152</v>
      </c>
      <c r="J304" s="2535" t="e">
        <f ca="1">+_xlfn.XLOOKUP(B304,'TB Grouping'!D:D,'TB Grouping'!D:D)</f>
        <v>#NAME?</v>
      </c>
      <c r="L304" s="1" t="s">
        <v>2898</v>
      </c>
    </row>
    <row r="305" spans="2:12" x14ac:dyDescent="0.3">
      <c r="B305" s="183" t="s">
        <v>2899</v>
      </c>
      <c r="C305" s="2509">
        <f ca="1">+SUMIFS('TB Grouping'!F:F,'TB Grouping'!D:D,'TB to be sent to client'!B305)</f>
        <v>0</v>
      </c>
      <c r="D305" s="2509">
        <f>+SUMIFS('Additional &amp; Presentation Entry'!$G$10:$G$1048576,'Additional &amp; Presentation Entry'!$F$10:$F$1048576,'TB to be sent to client'!B305)</f>
        <v>-90</v>
      </c>
      <c r="E305" s="2509">
        <f t="shared" ca="1" si="4"/>
        <v>-90</v>
      </c>
      <c r="J305" s="2535" t="e">
        <f ca="1">+_xlfn.XLOOKUP(B305,'TB Grouping'!D:D,'TB Grouping'!D:D)</f>
        <v>#NAME?</v>
      </c>
      <c r="L305" s="1" t="s">
        <v>2899</v>
      </c>
    </row>
    <row r="306" spans="2:12" x14ac:dyDescent="0.3">
      <c r="B306" s="183" t="s">
        <v>2937</v>
      </c>
      <c r="C306" s="2509">
        <f ca="1">+SUMIFS('TB Grouping'!F:F,'TB Grouping'!D:D,'TB to be sent to client'!B306)</f>
        <v>0</v>
      </c>
      <c r="D306" s="2509">
        <f>+SUMIFS('Additional &amp; Presentation Entry'!$G$10:$G$1048576,'Additional &amp; Presentation Entry'!$F$10:$F$1048576,'TB to be sent to client'!B306)</f>
        <v>0</v>
      </c>
      <c r="E306" s="2509">
        <f t="shared" ca="1" si="4"/>
        <v>0</v>
      </c>
      <c r="J306" s="2535" t="e">
        <f ca="1">+_xlfn.XLOOKUP(B306,'TB Grouping'!D:D,'TB Grouping'!D:D)</f>
        <v>#NAME?</v>
      </c>
      <c r="L306" s="1" t="e">
        <v>#N/A</v>
      </c>
    </row>
    <row r="307" spans="2:12" x14ac:dyDescent="0.3">
      <c r="B307" s="183" t="s">
        <v>2938</v>
      </c>
      <c r="C307" s="2509">
        <f ca="1">+SUMIFS('TB Grouping'!F:F,'TB Grouping'!D:D,'TB to be sent to client'!B307)</f>
        <v>149494</v>
      </c>
      <c r="D307" s="2509">
        <f>+SUMIFS('Additional &amp; Presentation Entry'!$G$10:$G$1048576,'Additional &amp; Presentation Entry'!$F$10:$F$1048576,'TB to be sent to client'!B307)</f>
        <v>0</v>
      </c>
      <c r="E307" s="2509">
        <f t="shared" ca="1" si="4"/>
        <v>149494</v>
      </c>
      <c r="J307" s="2535" t="e">
        <f ca="1">+_xlfn.XLOOKUP(B307,'TB Grouping'!D:D,'TB Grouping'!D:D)</f>
        <v>#NAME?</v>
      </c>
      <c r="L307" s="1" t="s">
        <v>2938</v>
      </c>
    </row>
    <row r="308" spans="2:12" x14ac:dyDescent="0.3">
      <c r="B308" s="183" t="s">
        <v>2904</v>
      </c>
      <c r="C308" s="2509">
        <f ca="1">+SUMIFS('TB Grouping'!F:F,'TB Grouping'!D:D,'TB to be sent to client'!B308)</f>
        <v>0</v>
      </c>
      <c r="D308" s="2509">
        <f>+SUMIFS('Additional &amp; Presentation Entry'!$G$10:$G$1048576,'Additional &amp; Presentation Entry'!$F$10:$F$1048576,'TB to be sent to client'!B308)</f>
        <v>0</v>
      </c>
      <c r="E308" s="2509">
        <f t="shared" ca="1" si="4"/>
        <v>0</v>
      </c>
      <c r="J308" s="2535" t="e">
        <f ca="1">+_xlfn.XLOOKUP(B308,'TB Grouping'!D:D,'TB Grouping'!D:D)</f>
        <v>#NAME?</v>
      </c>
      <c r="L308" s="1" t="e">
        <v>#N/A</v>
      </c>
    </row>
    <row r="309" spans="2:12" x14ac:dyDescent="0.3">
      <c r="B309" s="183" t="s">
        <v>2905</v>
      </c>
      <c r="C309" s="2509">
        <f ca="1">+SUMIFS('TB Grouping'!F:F,'TB Grouping'!D:D,'TB to be sent to client'!B309)</f>
        <v>0</v>
      </c>
      <c r="D309" s="2509">
        <f>+SUMIFS('Additional &amp; Presentation Entry'!$G$10:$G$1048576,'Additional &amp; Presentation Entry'!$F$10:$F$1048576,'TB to be sent to client'!B309)</f>
        <v>-830.13</v>
      </c>
      <c r="E309" s="2509">
        <f t="shared" ca="1" si="4"/>
        <v>-830.13</v>
      </c>
      <c r="J309" s="2535" t="e">
        <f ca="1">+_xlfn.XLOOKUP(B309,'TB Grouping'!D:D,'TB Grouping'!D:D)</f>
        <v>#NAME?</v>
      </c>
      <c r="L309" s="1" t="s">
        <v>2905</v>
      </c>
    </row>
    <row r="310" spans="2:12" x14ac:dyDescent="0.3">
      <c r="B310" s="183" t="s">
        <v>2906</v>
      </c>
      <c r="C310" s="2509">
        <f ca="1">+SUMIFS('TB Grouping'!F:F,'TB Grouping'!D:D,'TB to be sent to client'!B310)</f>
        <v>3101</v>
      </c>
      <c r="D310" s="2509">
        <f>+SUMIFS('Additional &amp; Presentation Entry'!$G$10:$G$1048576,'Additional &amp; Presentation Entry'!$F$10:$F$1048576,'TB to be sent to client'!B310)</f>
        <v>0</v>
      </c>
      <c r="E310" s="2509">
        <f t="shared" ca="1" si="4"/>
        <v>3101</v>
      </c>
      <c r="J310" s="2535" t="e">
        <f ca="1">+_xlfn.XLOOKUP(B310,'TB Grouping'!D:D,'TB Grouping'!D:D)</f>
        <v>#NAME?</v>
      </c>
      <c r="L310" s="1" t="s">
        <v>2906</v>
      </c>
    </row>
    <row r="311" spans="2:12" x14ac:dyDescent="0.3">
      <c r="B311" s="183" t="s">
        <v>2913</v>
      </c>
      <c r="C311" s="2509">
        <f ca="1">+SUMIFS('TB Grouping'!F:F,'TB Grouping'!D:D,'TB to be sent to client'!B311)</f>
        <v>0</v>
      </c>
      <c r="D311" s="2509">
        <f>+SUMIFS('Additional &amp; Presentation Entry'!$G$10:$G$1048576,'Additional &amp; Presentation Entry'!$F$10:$F$1048576,'TB to be sent to client'!B311)</f>
        <v>0</v>
      </c>
      <c r="E311" s="2509">
        <f t="shared" ca="1" si="4"/>
        <v>0</v>
      </c>
      <c r="J311" s="2535" t="e">
        <f ca="1">+_xlfn.XLOOKUP(B311,'TB Grouping'!D:D,'TB Grouping'!D:D)</f>
        <v>#NAME?</v>
      </c>
      <c r="L311" s="1" t="e">
        <v>#N/A</v>
      </c>
    </row>
    <row r="312" spans="2:12" x14ac:dyDescent="0.3">
      <c r="B312" s="183" t="s">
        <v>2914</v>
      </c>
      <c r="C312" s="2509">
        <f ca="1">+SUMIFS('TB Grouping'!F:F,'TB Grouping'!D:D,'TB to be sent to client'!B312)</f>
        <v>0</v>
      </c>
      <c r="D312" s="2509">
        <f>+SUMIFS('Additional &amp; Presentation Entry'!$G$10:$G$1048576,'Additional &amp; Presentation Entry'!$F$10:$F$1048576,'TB to be sent to client'!B312)</f>
        <v>0</v>
      </c>
      <c r="E312" s="2509">
        <f t="shared" ca="1" si="4"/>
        <v>0</v>
      </c>
      <c r="J312" s="2535" t="e">
        <f ca="1">+_xlfn.XLOOKUP(B312,'TB Grouping'!D:D,'TB Grouping'!D:D)</f>
        <v>#NAME?</v>
      </c>
      <c r="L312" s="1" t="e">
        <v>#N/A</v>
      </c>
    </row>
    <row r="313" spans="2:12" x14ac:dyDescent="0.3">
      <c r="B313" s="183" t="s">
        <v>2915</v>
      </c>
      <c r="C313" s="2509">
        <f ca="1">+SUMIFS('TB Grouping'!F:F,'TB Grouping'!D:D,'TB to be sent to client'!B313)</f>
        <v>0</v>
      </c>
      <c r="D313" s="2509">
        <f>+SUMIFS('Additional &amp; Presentation Entry'!$G$10:$G$1048576,'Additional &amp; Presentation Entry'!$F$10:$F$1048576,'TB to be sent to client'!B313)</f>
        <v>-179937</v>
      </c>
      <c r="E313" s="2509">
        <f t="shared" ca="1" si="4"/>
        <v>-179937</v>
      </c>
      <c r="J313" s="2535" t="e">
        <f ca="1">+_xlfn.XLOOKUP(B313,'TB Grouping'!D:D,'TB Grouping'!D:D)</f>
        <v>#NAME?</v>
      </c>
      <c r="L313" s="1" t="s">
        <v>2915</v>
      </c>
    </row>
    <row r="314" spans="2:12" x14ac:dyDescent="0.3">
      <c r="B314" s="183" t="s">
        <v>2940</v>
      </c>
      <c r="C314" s="2509">
        <f ca="1">+SUMIFS('TB Grouping'!F:F,'TB Grouping'!D:D,'TB to be sent to client'!B314)</f>
        <v>-423.62</v>
      </c>
      <c r="D314" s="2509">
        <f>+SUMIFS('Additional &amp; Presentation Entry'!$G$10:$G$1048576,'Additional &amp; Presentation Entry'!$F$10:$F$1048576,'TB to be sent to client'!B314)</f>
        <v>0</v>
      </c>
      <c r="E314" s="2509">
        <f t="shared" ca="1" si="4"/>
        <v>-423.62</v>
      </c>
      <c r="J314" s="2535" t="e">
        <f ca="1">+_xlfn.XLOOKUP(B314,'TB Grouping'!D:D,'TB Grouping'!D:D)</f>
        <v>#NAME?</v>
      </c>
      <c r="L314" s="1" t="s">
        <v>2940</v>
      </c>
    </row>
    <row r="315" spans="2:12" x14ac:dyDescent="0.3">
      <c r="B315" s="183" t="s">
        <v>2941</v>
      </c>
      <c r="C315" s="2509">
        <f ca="1">+SUMIFS('TB Grouping'!F:F,'TB Grouping'!D:D,'TB to be sent to client'!B315)</f>
        <v>7.0000000000000007E-2</v>
      </c>
      <c r="D315" s="2509">
        <f>+SUMIFS('Additional &amp; Presentation Entry'!$G$10:$G$1048576,'Additional &amp; Presentation Entry'!$F$10:$F$1048576,'TB to be sent to client'!B315)</f>
        <v>0</v>
      </c>
      <c r="E315" s="2509">
        <f t="shared" ca="1" si="4"/>
        <v>7.0000000000000007E-2</v>
      </c>
      <c r="J315" s="2535" t="e">
        <f ca="1">+_xlfn.XLOOKUP(B315,'TB Grouping'!D:D,'TB Grouping'!D:D)</f>
        <v>#NAME?</v>
      </c>
      <c r="L315" s="1" t="s">
        <v>2941</v>
      </c>
    </row>
    <row r="316" spans="2:12" x14ac:dyDescent="0.3">
      <c r="B316" s="183" t="s">
        <v>2944</v>
      </c>
      <c r="C316" s="2509">
        <f ca="1">+SUMIFS('TB Grouping'!F:F,'TB Grouping'!D:D,'TB to be sent to client'!B316)</f>
        <v>-1098</v>
      </c>
      <c r="D316" s="2509">
        <f>+SUMIFS('Additional &amp; Presentation Entry'!$G$10:$G$1048576,'Additional &amp; Presentation Entry'!$F$10:$F$1048576,'TB to be sent to client'!B316)</f>
        <v>0</v>
      </c>
      <c r="E316" s="2509">
        <f t="shared" ca="1" si="4"/>
        <v>-1098</v>
      </c>
      <c r="J316" s="2535" t="e">
        <f ca="1">+_xlfn.XLOOKUP(B316,'TB Grouping'!D:D,'TB Grouping'!D:D)</f>
        <v>#NAME?</v>
      </c>
      <c r="L316" s="1" t="s">
        <v>2944</v>
      </c>
    </row>
    <row r="317" spans="2:12" x14ac:dyDescent="0.3">
      <c r="B317" s="183" t="s">
        <v>3102</v>
      </c>
      <c r="C317" s="2509">
        <f ca="1">+SUMIFS('TB Grouping'!F:F,'TB Grouping'!D:D,'TB to be sent to client'!B317)</f>
        <v>-3742.84</v>
      </c>
      <c r="D317" s="2509">
        <f>+SUMIFS('Additional &amp; Presentation Entry'!$G$10:$G$1048576,'Additional &amp; Presentation Entry'!$F$10:$F$1048576,'TB to be sent to client'!B317)</f>
        <v>0</v>
      </c>
      <c r="E317" s="2509">
        <f t="shared" ca="1" si="4"/>
        <v>-3742.84</v>
      </c>
      <c r="J317" s="2535" t="e">
        <f ca="1">+_xlfn.XLOOKUP(B317,'TB Grouping'!D:D,'TB Grouping'!D:D)</f>
        <v>#NAME?</v>
      </c>
      <c r="L317" s="1" t="s">
        <v>3102</v>
      </c>
    </row>
    <row r="318" spans="2:12" x14ac:dyDescent="0.3">
      <c r="B318" s="183" t="s">
        <v>2921</v>
      </c>
      <c r="C318" s="2509">
        <f ca="1">+SUMIFS('TB Grouping'!F:F,'TB Grouping'!D:D,'TB to be sent to client'!B318)</f>
        <v>0</v>
      </c>
      <c r="D318" s="2509">
        <f>+SUMIFS('Additional &amp; Presentation Entry'!$G$10:$G$1048576,'Additional &amp; Presentation Entry'!$F$10:$F$1048576,'TB to be sent to client'!B318)</f>
        <v>0</v>
      </c>
      <c r="E318" s="2509">
        <f t="shared" ca="1" si="4"/>
        <v>0</v>
      </c>
      <c r="J318" s="2535" t="e">
        <f ca="1">+_xlfn.XLOOKUP(B318,'TB Grouping'!D:D,'TB Grouping'!D:D)</f>
        <v>#NAME?</v>
      </c>
      <c r="L318" s="1" t="s">
        <v>2921</v>
      </c>
    </row>
    <row r="319" spans="2:12" x14ac:dyDescent="0.3">
      <c r="B319" s="183" t="s">
        <v>3103</v>
      </c>
      <c r="C319" s="2509">
        <f ca="1">+SUMIFS('TB Grouping'!F:F,'TB Grouping'!D:D,'TB to be sent to client'!B319)</f>
        <v>-26237.97</v>
      </c>
      <c r="D319" s="2509">
        <f>+SUMIFS('Additional &amp; Presentation Entry'!$G$10:$G$1048576,'Additional &amp; Presentation Entry'!$F$10:$F$1048576,'TB to be sent to client'!B319)</f>
        <v>0</v>
      </c>
      <c r="E319" s="2509">
        <f t="shared" ca="1" si="4"/>
        <v>-26237.97</v>
      </c>
      <c r="J319" s="2535" t="e">
        <f ca="1">+_xlfn.XLOOKUP(B319,'TB Grouping'!D:D,'TB Grouping'!D:D)</f>
        <v>#NAME?</v>
      </c>
      <c r="L319" s="1" t="s">
        <v>3103</v>
      </c>
    </row>
    <row r="320" spans="2:12" x14ac:dyDescent="0.3">
      <c r="B320" s="183" t="s">
        <v>3104</v>
      </c>
      <c r="C320" s="2509">
        <f ca="1">+SUMIFS('TB Grouping'!F:F,'TB Grouping'!D:D,'TB to be sent to client'!B320)</f>
        <v>-0.15</v>
      </c>
      <c r="D320" s="2509">
        <f>+SUMIFS('Additional &amp; Presentation Entry'!$G$10:$G$1048576,'Additional &amp; Presentation Entry'!$F$10:$F$1048576,'TB to be sent to client'!B320)</f>
        <v>0</v>
      </c>
      <c r="E320" s="2509">
        <f t="shared" ca="1" si="4"/>
        <v>-0.15</v>
      </c>
      <c r="J320" s="2535" t="e">
        <f ca="1">+_xlfn.XLOOKUP(B320,'TB Grouping'!D:D,'TB Grouping'!D:D)</f>
        <v>#NAME?</v>
      </c>
      <c r="L320" s="1" t="s">
        <v>3104</v>
      </c>
    </row>
    <row r="321" spans="2:12" x14ac:dyDescent="0.3">
      <c r="B321" s="183" t="s">
        <v>2945</v>
      </c>
      <c r="C321" s="2509">
        <f ca="1">+SUMIFS('TB Grouping'!F:F,'TB Grouping'!D:D,'TB to be sent to client'!B321)</f>
        <v>1909</v>
      </c>
      <c r="D321" s="2509">
        <f>+SUMIFS('Additional &amp; Presentation Entry'!$G$10:$G$1048576,'Additional &amp; Presentation Entry'!$F$10:$F$1048576,'TB to be sent to client'!B321)</f>
        <v>0</v>
      </c>
      <c r="E321" s="2509">
        <f t="shared" ca="1" si="4"/>
        <v>1909</v>
      </c>
      <c r="J321" s="2535" t="e">
        <f ca="1">+_xlfn.XLOOKUP(B321,'TB Grouping'!D:D,'TB Grouping'!D:D)</f>
        <v>#NAME?</v>
      </c>
      <c r="L321" s="1" t="s">
        <v>2945</v>
      </c>
    </row>
    <row r="322" spans="2:12" x14ac:dyDescent="0.3">
      <c r="B322" s="183" t="s">
        <v>2946</v>
      </c>
      <c r="C322" s="2509">
        <f ca="1">+SUMIFS('TB Grouping'!F:F,'TB Grouping'!D:D,'TB to be sent to client'!B322)</f>
        <v>4423.93</v>
      </c>
      <c r="D322" s="2509">
        <f>+SUMIFS('Additional &amp; Presentation Entry'!$G$10:$G$1048576,'Additional &amp; Presentation Entry'!$F$10:$F$1048576,'TB to be sent to client'!B322)</f>
        <v>0</v>
      </c>
      <c r="E322" s="2509">
        <f t="shared" ca="1" si="4"/>
        <v>4423.93</v>
      </c>
      <c r="J322" s="2535" t="e">
        <f ca="1">+_xlfn.XLOOKUP(B322,'TB Grouping'!D:D,'TB Grouping'!D:D)</f>
        <v>#NAME?</v>
      </c>
      <c r="L322" s="1" t="s">
        <v>2946</v>
      </c>
    </row>
    <row r="323" spans="2:12" x14ac:dyDescent="0.3">
      <c r="B323" s="183" t="s">
        <v>2947</v>
      </c>
      <c r="C323" s="2509">
        <f ca="1">+SUMIFS('TB Grouping'!F:F,'TB Grouping'!D:D,'TB to be sent to client'!B323)</f>
        <v>158.5</v>
      </c>
      <c r="D323" s="2509">
        <f>+SUMIFS('Additional &amp; Presentation Entry'!$G$10:$G$1048576,'Additional &amp; Presentation Entry'!$F$10:$F$1048576,'TB to be sent to client'!B323)</f>
        <v>0</v>
      </c>
      <c r="E323" s="2509">
        <f t="shared" ca="1" si="4"/>
        <v>158.5</v>
      </c>
      <c r="J323" s="2535" t="e">
        <f ca="1">+_xlfn.XLOOKUP(B323,'TB Grouping'!D:D,'TB Grouping'!D:D)</f>
        <v>#NAME?</v>
      </c>
      <c r="L323" s="1" t="s">
        <v>2947</v>
      </c>
    </row>
    <row r="324" spans="2:12" x14ac:dyDescent="0.3">
      <c r="B324" s="183" t="s">
        <v>2948</v>
      </c>
      <c r="C324" s="2509">
        <f ca="1">+SUMIFS('TB Grouping'!F:F,'TB Grouping'!D:D,'TB to be sent to client'!B324)</f>
        <v>-11569</v>
      </c>
      <c r="D324" s="2509">
        <f>+SUMIFS('Additional &amp; Presentation Entry'!$G$10:$G$1048576,'Additional &amp; Presentation Entry'!$F$10:$F$1048576,'TB to be sent to client'!B324)</f>
        <v>0</v>
      </c>
      <c r="E324" s="2509">
        <f t="shared" ca="1" si="4"/>
        <v>-11569</v>
      </c>
      <c r="J324" s="2535" t="e">
        <f ca="1">+_xlfn.XLOOKUP(B324,'TB Grouping'!D:D,'TB Grouping'!D:D)</f>
        <v>#NAME?</v>
      </c>
      <c r="L324" s="1" t="s">
        <v>2948</v>
      </c>
    </row>
    <row r="325" spans="2:12" x14ac:dyDescent="0.3">
      <c r="B325" s="183" t="s">
        <v>2949</v>
      </c>
      <c r="C325" s="2509">
        <f ca="1">+SUMIFS('TB Grouping'!F:F,'TB Grouping'!D:D,'TB to be sent to client'!B325)</f>
        <v>212</v>
      </c>
      <c r="D325" s="2509">
        <f>+SUMIFS('Additional &amp; Presentation Entry'!$G$10:$G$1048576,'Additional &amp; Presentation Entry'!$F$10:$F$1048576,'TB to be sent to client'!B325)</f>
        <v>0</v>
      </c>
      <c r="E325" s="2509">
        <f t="shared" ca="1" si="4"/>
        <v>212</v>
      </c>
      <c r="J325" s="2535" t="e">
        <f ca="1">+_xlfn.XLOOKUP(B325,'TB Grouping'!D:D,'TB Grouping'!D:D)</f>
        <v>#NAME?</v>
      </c>
      <c r="L325" s="1" t="s">
        <v>2949</v>
      </c>
    </row>
    <row r="326" spans="2:12" x14ac:dyDescent="0.3">
      <c r="B326" s="183" t="s">
        <v>3109</v>
      </c>
      <c r="C326" s="2509">
        <f ca="1">+SUMIFS('TB Grouping'!F:F,'TB Grouping'!D:D,'TB to be sent to client'!B326)</f>
        <v>-3497.61</v>
      </c>
      <c r="D326" s="2509">
        <f>+SUMIFS('Additional &amp; Presentation Entry'!$G$10:$G$1048576,'Additional &amp; Presentation Entry'!$F$10:$F$1048576,'TB to be sent to client'!B326)</f>
        <v>-7855.9966666666623</v>
      </c>
      <c r="E326" s="2509">
        <f t="shared" ca="1" si="4"/>
        <v>-11353.606666666663</v>
      </c>
      <c r="J326" s="2535" t="e">
        <f ca="1">+_xlfn.XLOOKUP(B326,'TB Grouping'!D:D,'TB Grouping'!D:D)</f>
        <v>#NAME?</v>
      </c>
      <c r="L326" s="1" t="s">
        <v>3109</v>
      </c>
    </row>
    <row r="327" spans="2:12" x14ac:dyDescent="0.3">
      <c r="B327" s="183" t="s">
        <v>2950</v>
      </c>
      <c r="C327" s="2509">
        <f ca="1">+SUMIFS('TB Grouping'!F:F,'TB Grouping'!D:D,'TB to be sent to client'!B327)</f>
        <v>21113.439999999999</v>
      </c>
      <c r="D327" s="2509">
        <f>+SUMIFS('Additional &amp; Presentation Entry'!$G$10:$G$1048576,'Additional &amp; Presentation Entry'!$F$10:$F$1048576,'TB to be sent to client'!B327)</f>
        <v>0</v>
      </c>
      <c r="E327" s="2509">
        <f t="shared" ca="1" si="4"/>
        <v>21113.439999999999</v>
      </c>
      <c r="J327" s="2535" t="e">
        <f ca="1">+_xlfn.XLOOKUP(B327,'TB Grouping'!D:D,'TB Grouping'!D:D)</f>
        <v>#NAME?</v>
      </c>
      <c r="L327" s="1" t="s">
        <v>2950</v>
      </c>
    </row>
    <row r="328" spans="2:12" x14ac:dyDescent="0.3">
      <c r="B328" s="183" t="s">
        <v>2951</v>
      </c>
      <c r="C328" s="2509">
        <f ca="1">+SUMIFS('TB Grouping'!F:F,'TB Grouping'!D:D,'TB to be sent to client'!B328)</f>
        <v>0.5</v>
      </c>
      <c r="D328" s="2509">
        <f>+SUMIFS('Additional &amp; Presentation Entry'!$G$10:$G$1048576,'Additional &amp; Presentation Entry'!$F$10:$F$1048576,'TB to be sent to client'!B328)</f>
        <v>0</v>
      </c>
      <c r="E328" s="2509">
        <f t="shared" ca="1" si="4"/>
        <v>0.5</v>
      </c>
      <c r="J328" s="2535" t="e">
        <f ca="1">+_xlfn.XLOOKUP(B328,'TB Grouping'!D:D,'TB Grouping'!D:D)</f>
        <v>#NAME?</v>
      </c>
      <c r="L328" s="1" t="s">
        <v>2951</v>
      </c>
    </row>
    <row r="329" spans="2:12" x14ac:dyDescent="0.3">
      <c r="B329" s="183" t="s">
        <v>2955</v>
      </c>
      <c r="C329" s="2509">
        <f ca="1">+SUMIFS('TB Grouping'!F:F,'TB Grouping'!D:D,'TB to be sent to client'!B329)</f>
        <v>-944</v>
      </c>
      <c r="D329" s="2509">
        <f>+SUMIFS('Additional &amp; Presentation Entry'!$G$10:$G$1048576,'Additional &amp; Presentation Entry'!$F$10:$F$1048576,'TB to be sent to client'!B329)</f>
        <v>0</v>
      </c>
      <c r="E329" s="2509">
        <f t="shared" ref="E329:E367" ca="1" si="5">+C329+D329</f>
        <v>-944</v>
      </c>
      <c r="J329" s="2535" t="e">
        <f ca="1">+_xlfn.XLOOKUP(B329,'TB Grouping'!D:D,'TB Grouping'!D:D)</f>
        <v>#NAME?</v>
      </c>
      <c r="L329" s="1" t="s">
        <v>2955</v>
      </c>
    </row>
    <row r="330" spans="2:12" x14ac:dyDescent="0.3">
      <c r="B330" s="183" t="s">
        <v>3597</v>
      </c>
      <c r="C330" s="2509">
        <f ca="1">+SUMIFS('TB Grouping'!F:F,'TB Grouping'!D:D,'TB to be sent to client'!B330)</f>
        <v>-81710.7</v>
      </c>
      <c r="D330" s="2509">
        <f>+SUMIFS('Additional &amp; Presentation Entry'!$G$10:$G$1048576,'Additional &amp; Presentation Entry'!$F$10:$F$1048576,'TB to be sent to client'!B330)</f>
        <v>0</v>
      </c>
      <c r="E330" s="2509">
        <f t="shared" ca="1" si="5"/>
        <v>-81710.7</v>
      </c>
      <c r="J330" s="2535" t="e">
        <f ca="1">+_xlfn.XLOOKUP(B330,'TB Grouping'!D:D,'TB Grouping'!D:D)</f>
        <v>#NAME?</v>
      </c>
      <c r="L330" s="1" t="s">
        <v>3597</v>
      </c>
    </row>
    <row r="331" spans="2:12" x14ac:dyDescent="0.3">
      <c r="B331" s="183" t="s">
        <v>2958</v>
      </c>
      <c r="C331" s="2509">
        <f ca="1">+SUMIFS('TB Grouping'!F:F,'TB Grouping'!D:D,'TB to be sent to client'!B331)</f>
        <v>3.22</v>
      </c>
      <c r="D331" s="2509">
        <f>+SUMIFS('Additional &amp; Presentation Entry'!$G$10:$G$1048576,'Additional &amp; Presentation Entry'!$F$10:$F$1048576,'TB to be sent to client'!B331)</f>
        <v>0</v>
      </c>
      <c r="E331" s="2509">
        <f t="shared" ca="1" si="5"/>
        <v>3.22</v>
      </c>
      <c r="J331" s="2535" t="e">
        <f ca="1">+_xlfn.XLOOKUP(B331,'TB Grouping'!D:D,'TB Grouping'!D:D)</f>
        <v>#NAME?</v>
      </c>
      <c r="L331" s="1" t="s">
        <v>2958</v>
      </c>
    </row>
    <row r="332" spans="2:12" x14ac:dyDescent="0.3">
      <c r="B332" s="183" t="s">
        <v>2959</v>
      </c>
      <c r="C332" s="2509">
        <f ca="1">+SUMIFS('TB Grouping'!F:F,'TB Grouping'!D:D,'TB to be sent to client'!B332)</f>
        <v>171634.59</v>
      </c>
      <c r="D332" s="2509">
        <f>+SUMIFS('Additional &amp; Presentation Entry'!$G$10:$G$1048576,'Additional &amp; Presentation Entry'!$F$10:$F$1048576,'TB to be sent to client'!B332)</f>
        <v>0</v>
      </c>
      <c r="E332" s="2509">
        <f t="shared" ca="1" si="5"/>
        <v>171634.59</v>
      </c>
      <c r="J332" s="2535" t="e">
        <f ca="1">+_xlfn.XLOOKUP(B332,'TB Grouping'!D:D,'TB Grouping'!D:D)</f>
        <v>#NAME?</v>
      </c>
      <c r="L332" s="1" t="s">
        <v>2959</v>
      </c>
    </row>
    <row r="333" spans="2:12" x14ac:dyDescent="0.3">
      <c r="B333" s="183" t="s">
        <v>2960</v>
      </c>
      <c r="C333" s="2509">
        <f ca="1">+SUMIFS('TB Grouping'!F:F,'TB Grouping'!D:D,'TB to be sent to client'!B333)</f>
        <v>691936.21</v>
      </c>
      <c r="D333" s="2509">
        <f>+SUMIFS('Additional &amp; Presentation Entry'!$G$10:$G$1048576,'Additional &amp; Presentation Entry'!$F$10:$F$1048576,'TB to be sent to client'!B333)</f>
        <v>0</v>
      </c>
      <c r="E333" s="2509">
        <f t="shared" ca="1" si="5"/>
        <v>691936.21</v>
      </c>
      <c r="J333" s="2535" t="e">
        <f ca="1">+_xlfn.XLOOKUP(B333,'TB Grouping'!D:D,'TB Grouping'!D:D)</f>
        <v>#NAME?</v>
      </c>
      <c r="L333" s="1" t="s">
        <v>2960</v>
      </c>
    </row>
    <row r="334" spans="2:12" x14ac:dyDescent="0.3">
      <c r="B334" s="183" t="s">
        <v>3106</v>
      </c>
      <c r="C334" s="2509">
        <f ca="1">+SUMIFS('TB Grouping'!F:F,'TB Grouping'!D:D,'TB to be sent to client'!B334)</f>
        <v>-72925</v>
      </c>
      <c r="D334" s="2509">
        <f>+SUMIFS('Additional &amp; Presentation Entry'!$G$10:$G$1048576,'Additional &amp; Presentation Entry'!$F$10:$F$1048576,'TB to be sent to client'!B334)</f>
        <v>0</v>
      </c>
      <c r="E334" s="2509">
        <f t="shared" ca="1" si="5"/>
        <v>-72925</v>
      </c>
      <c r="J334" s="2535" t="e">
        <f ca="1">+_xlfn.XLOOKUP(B334,'TB Grouping'!D:D,'TB Grouping'!D:D)</f>
        <v>#NAME?</v>
      </c>
      <c r="L334" s="1" t="s">
        <v>3106</v>
      </c>
    </row>
    <row r="335" spans="2:12" x14ac:dyDescent="0.3">
      <c r="B335" s="183" t="s">
        <v>2908</v>
      </c>
      <c r="C335" s="2509">
        <f ca="1">+SUMIFS('TB Grouping'!F:F,'TB Grouping'!D:D,'TB to be sent to client'!B335)</f>
        <v>0</v>
      </c>
      <c r="D335" s="2509">
        <f>+SUMIFS('Additional &amp; Presentation Entry'!$G$10:$G$1048576,'Additional &amp; Presentation Entry'!$F$10:$F$1048576,'TB to be sent to client'!B335)</f>
        <v>0</v>
      </c>
      <c r="E335" s="2509">
        <f t="shared" ca="1" si="5"/>
        <v>0</v>
      </c>
      <c r="J335" s="2535" t="e">
        <f ca="1">+_xlfn.XLOOKUP(B335,'TB Grouping'!D:D,'TB Grouping'!D:D)</f>
        <v>#NAME?</v>
      </c>
      <c r="L335" s="1" t="e">
        <v>#N/A</v>
      </c>
    </row>
    <row r="336" spans="2:12" x14ac:dyDescent="0.3">
      <c r="B336" s="183" t="s">
        <v>2909</v>
      </c>
      <c r="C336" s="2509">
        <f ca="1">+SUMIFS('TB Grouping'!F:F,'TB Grouping'!D:D,'TB to be sent to client'!B336)</f>
        <v>0</v>
      </c>
      <c r="D336" s="2509">
        <f>+SUMIFS('Additional &amp; Presentation Entry'!$G$10:$G$1048576,'Additional &amp; Presentation Entry'!$F$10:$F$1048576,'TB to be sent to client'!B336)</f>
        <v>0</v>
      </c>
      <c r="E336" s="2509">
        <f t="shared" ca="1" si="5"/>
        <v>0</v>
      </c>
      <c r="J336" s="2535" t="e">
        <f ca="1">+_xlfn.XLOOKUP(B336,'TB Grouping'!D:D,'TB Grouping'!D:D)</f>
        <v>#NAME?</v>
      </c>
      <c r="L336" s="1" t="e">
        <v>#N/A</v>
      </c>
    </row>
    <row r="337" spans="2:12" x14ac:dyDescent="0.3">
      <c r="B337" s="183" t="s">
        <v>2910</v>
      </c>
      <c r="C337" s="2509">
        <f ca="1">+SUMIFS('TB Grouping'!F:F,'TB Grouping'!D:D,'TB to be sent to client'!B337)</f>
        <v>0</v>
      </c>
      <c r="D337" s="2509">
        <f>+SUMIFS('Additional &amp; Presentation Entry'!$G$10:$G$1048576,'Additional &amp; Presentation Entry'!$F$10:$F$1048576,'TB to be sent to client'!B337)</f>
        <v>-6614033.96</v>
      </c>
      <c r="E337" s="2509">
        <f t="shared" ca="1" si="5"/>
        <v>-6614033.96</v>
      </c>
      <c r="J337" s="2535" t="e">
        <f ca="1">+_xlfn.XLOOKUP(B337,'TB Grouping'!D:D,'TB Grouping'!D:D)</f>
        <v>#NAME?</v>
      </c>
      <c r="L337" s="1" t="s">
        <v>2910</v>
      </c>
    </row>
    <row r="338" spans="2:12" x14ac:dyDescent="0.3">
      <c r="B338" s="183" t="s">
        <v>2912</v>
      </c>
      <c r="C338" s="2509">
        <f ca="1">+SUMIFS('TB Grouping'!F:F,'TB Grouping'!D:D,'TB to be sent to client'!B338)</f>
        <v>0</v>
      </c>
      <c r="D338" s="2509">
        <f>+SUMIFS('Additional &amp; Presentation Entry'!$G$10:$G$1048576,'Additional &amp; Presentation Entry'!$F$10:$F$1048576,'TB to be sent to client'!B338)</f>
        <v>213.71</v>
      </c>
      <c r="E338" s="2509">
        <f t="shared" ca="1" si="5"/>
        <v>213.71</v>
      </c>
      <c r="J338" s="2535" t="e">
        <f ca="1">+_xlfn.XLOOKUP(B338,'TB Grouping'!D:D,'TB Grouping'!D:D)</f>
        <v>#NAME?</v>
      </c>
      <c r="L338" s="1" t="s">
        <v>2912</v>
      </c>
    </row>
    <row r="339" spans="2:12" x14ac:dyDescent="0.3">
      <c r="B339" s="183" t="s">
        <v>3108</v>
      </c>
      <c r="C339" s="2509">
        <f ca="1">+SUMIFS('TB Grouping'!F:F,'TB Grouping'!D:D,'TB to be sent to client'!B339)</f>
        <v>17.16</v>
      </c>
      <c r="D339" s="2509">
        <f>+SUMIFS('Additional &amp; Presentation Entry'!$G$10:$G$1048576,'Additional &amp; Presentation Entry'!$F$10:$F$1048576,'TB to be sent to client'!B339)</f>
        <v>-2261944.4099999997</v>
      </c>
      <c r="E339" s="2509">
        <f t="shared" ca="1" si="5"/>
        <v>-2261927.2499999995</v>
      </c>
      <c r="J339" s="2535" t="e">
        <f ca="1">+_xlfn.XLOOKUP(B339,'TB Grouping'!D:D,'TB Grouping'!D:D)</f>
        <v>#NAME?</v>
      </c>
      <c r="L339" s="1" t="s">
        <v>3108</v>
      </c>
    </row>
    <row r="340" spans="2:12" x14ac:dyDescent="0.3">
      <c r="B340" s="183" t="s">
        <v>2922</v>
      </c>
      <c r="C340" s="2509">
        <f ca="1">+SUMIFS('TB Grouping'!F:F,'TB Grouping'!D:D,'TB to be sent to client'!B340)</f>
        <v>0</v>
      </c>
      <c r="D340" s="2509">
        <f>+SUMIFS('Additional &amp; Presentation Entry'!$G$10:$G$1048576,'Additional &amp; Presentation Entry'!$F$10:$F$1048576,'TB to be sent to client'!B340)</f>
        <v>-2218.79</v>
      </c>
      <c r="E340" s="2509">
        <f t="shared" ca="1" si="5"/>
        <v>-2218.79</v>
      </c>
      <c r="J340" s="2535" t="e">
        <f ca="1">+_xlfn.XLOOKUP(B340,'TB Grouping'!D:D,'TB Grouping'!D:D)</f>
        <v>#NAME?</v>
      </c>
      <c r="L340" s="1" t="s">
        <v>2922</v>
      </c>
    </row>
    <row r="341" spans="2:12" x14ac:dyDescent="0.3">
      <c r="B341" s="183" t="s">
        <v>3111</v>
      </c>
      <c r="C341" s="2509">
        <f ca="1">+SUMIFS('TB Grouping'!F:F,'TB Grouping'!D:D,'TB to be sent to client'!B341)</f>
        <v>-1781311</v>
      </c>
      <c r="D341" s="2509">
        <f>+SUMIFS('Additional &amp; Presentation Entry'!$G$10:$G$1048576,'Additional &amp; Presentation Entry'!$F$10:$F$1048576,'TB to be sent to client'!B341)</f>
        <v>0</v>
      </c>
      <c r="E341" s="2509">
        <f t="shared" ca="1" si="5"/>
        <v>-1781311</v>
      </c>
      <c r="J341" s="2535" t="e">
        <f ca="1">+_xlfn.XLOOKUP(B341,'TB Grouping'!D:D,'TB Grouping'!D:D)</f>
        <v>#NAME?</v>
      </c>
      <c r="L341" s="1" t="s">
        <v>3111</v>
      </c>
    </row>
    <row r="342" spans="2:12" x14ac:dyDescent="0.3">
      <c r="B342" s="183" t="s">
        <v>3112</v>
      </c>
      <c r="C342" s="2509">
        <f ca="1">+SUMIFS('TB Grouping'!F:F,'TB Grouping'!D:D,'TB to be sent to client'!B342)</f>
        <v>0</v>
      </c>
      <c r="D342" s="2509">
        <f>+SUMIFS('Additional &amp; Presentation Entry'!$G$10:$G$1048576,'Additional &amp; Presentation Entry'!$F$10:$F$1048576,'TB to be sent to client'!B342)</f>
        <v>0</v>
      </c>
      <c r="E342" s="2509">
        <f t="shared" ca="1" si="5"/>
        <v>0</v>
      </c>
      <c r="J342" s="2535" t="e">
        <f ca="1">+_xlfn.XLOOKUP(B342,'TB Grouping'!D:D,'TB Grouping'!D:D)</f>
        <v>#NAME?</v>
      </c>
      <c r="L342" s="1" t="s">
        <v>3112</v>
      </c>
    </row>
    <row r="343" spans="2:12" x14ac:dyDescent="0.3">
      <c r="B343" s="183" t="s">
        <v>2961</v>
      </c>
      <c r="C343" s="2509">
        <f ca="1">+SUMIFS('TB Grouping'!F:F,'TB Grouping'!D:D,'TB to be sent to client'!B343)</f>
        <v>0</v>
      </c>
      <c r="D343" s="2509">
        <f>+SUMIFS('Additional &amp; Presentation Entry'!$G$10:$G$1048576,'Additional &amp; Presentation Entry'!$F$10:$F$1048576,'TB to be sent to client'!B343)</f>
        <v>0</v>
      </c>
      <c r="E343" s="2509">
        <f t="shared" ca="1" si="5"/>
        <v>0</v>
      </c>
      <c r="J343" s="2535" t="e">
        <f ca="1">+_xlfn.XLOOKUP(B343,'TB Grouping'!D:D,'TB Grouping'!D:D)</f>
        <v>#NAME?</v>
      </c>
      <c r="L343" s="1" t="s">
        <v>2961</v>
      </c>
    </row>
    <row r="344" spans="2:12" x14ac:dyDescent="0.3">
      <c r="B344" s="183" t="s">
        <v>2962</v>
      </c>
      <c r="C344" s="2509">
        <f ca="1">+SUMIFS('TB Grouping'!F:F,'TB Grouping'!D:D,'TB to be sent to client'!B344)</f>
        <v>0</v>
      </c>
      <c r="D344" s="2509">
        <f>+SUMIFS('Additional &amp; Presentation Entry'!$G$10:$G$1048576,'Additional &amp; Presentation Entry'!$F$10:$F$1048576,'TB to be sent to client'!B344)</f>
        <v>0</v>
      </c>
      <c r="E344" s="2509">
        <f t="shared" ca="1" si="5"/>
        <v>0</v>
      </c>
      <c r="J344" s="2535" t="e">
        <f ca="1">+_xlfn.XLOOKUP(B344,'TB Grouping'!D:D,'TB Grouping'!D:D)</f>
        <v>#NAME?</v>
      </c>
      <c r="L344" s="1" t="s">
        <v>2962</v>
      </c>
    </row>
    <row r="345" spans="2:12" x14ac:dyDescent="0.3">
      <c r="B345" s="183" t="s">
        <v>2967</v>
      </c>
      <c r="C345" s="2509">
        <f ca="1">+SUMIFS('TB Grouping'!F:F,'TB Grouping'!D:D,'TB to be sent to client'!B345)</f>
        <v>19697.98</v>
      </c>
      <c r="D345" s="2509">
        <f>+SUMIFS('Additional &amp; Presentation Entry'!$G$10:$G$1048576,'Additional &amp; Presentation Entry'!$F$10:$F$1048576,'TB to be sent to client'!B345)</f>
        <v>0</v>
      </c>
      <c r="E345" s="2509">
        <f t="shared" ca="1" si="5"/>
        <v>19697.98</v>
      </c>
      <c r="J345" s="2535" t="e">
        <f ca="1">+_xlfn.XLOOKUP(B345,'TB Grouping'!D:D,'TB Grouping'!D:D)</f>
        <v>#NAME?</v>
      </c>
      <c r="L345" s="1" t="s">
        <v>2967</v>
      </c>
    </row>
    <row r="346" spans="2:12" x14ac:dyDescent="0.3">
      <c r="B346" s="183" t="s">
        <v>2968</v>
      </c>
      <c r="C346" s="2509">
        <f ca="1">+SUMIFS('TB Grouping'!F:F,'TB Grouping'!D:D,'TB to be sent to client'!B346)</f>
        <v>46444.26</v>
      </c>
      <c r="D346" s="2509">
        <f>+SUMIFS('Additional &amp; Presentation Entry'!$G$10:$G$1048576,'Additional &amp; Presentation Entry'!$F$10:$F$1048576,'TB to be sent to client'!B346)</f>
        <v>0</v>
      </c>
      <c r="E346" s="2509">
        <f t="shared" ca="1" si="5"/>
        <v>46444.26</v>
      </c>
      <c r="J346" s="2535" t="e">
        <f ca="1">+_xlfn.XLOOKUP(B346,'TB Grouping'!D:D,'TB Grouping'!D:D)</f>
        <v>#NAME?</v>
      </c>
      <c r="L346" s="1" t="s">
        <v>2968</v>
      </c>
    </row>
    <row r="347" spans="2:12" x14ac:dyDescent="0.3">
      <c r="B347" s="183" t="s">
        <v>2970</v>
      </c>
      <c r="C347" s="2509">
        <f ca="1">+SUMIFS('TB Grouping'!F:F,'TB Grouping'!D:D,'TB to be sent to client'!B347)</f>
        <v>0</v>
      </c>
      <c r="D347" s="2509">
        <f>+SUMIFS('Additional &amp; Presentation Entry'!$G$10:$G$1048576,'Additional &amp; Presentation Entry'!$F$10:$F$1048576,'TB to be sent to client'!B347)</f>
        <v>0</v>
      </c>
      <c r="E347" s="2509">
        <f t="shared" ca="1" si="5"/>
        <v>0</v>
      </c>
      <c r="J347" s="2535" t="e">
        <f ca="1">+_xlfn.XLOOKUP(B347,'TB Grouping'!D:D,'TB Grouping'!D:D)</f>
        <v>#NAME?</v>
      </c>
      <c r="L347" s="1" t="e">
        <v>#N/A</v>
      </c>
    </row>
    <row r="348" spans="2:12" x14ac:dyDescent="0.3">
      <c r="B348" s="183" t="s">
        <v>2971</v>
      </c>
      <c r="C348" s="2509">
        <f ca="1">+SUMIFS('TB Grouping'!F:F,'TB Grouping'!D:D,'TB to be sent to client'!B348)</f>
        <v>41386.51</v>
      </c>
      <c r="D348" s="2509">
        <f>+SUMIFS('Additional &amp; Presentation Entry'!$G$10:$G$1048576,'Additional &amp; Presentation Entry'!$F$10:$F$1048576,'TB to be sent to client'!B348)</f>
        <v>0</v>
      </c>
      <c r="E348" s="2509">
        <f t="shared" ca="1" si="5"/>
        <v>41386.51</v>
      </c>
      <c r="J348" s="2535" t="e">
        <f ca="1">+_xlfn.XLOOKUP(B348,'TB Grouping'!D:D,'TB Grouping'!D:D)</f>
        <v>#NAME?</v>
      </c>
      <c r="L348" s="1" t="s">
        <v>2971</v>
      </c>
    </row>
    <row r="349" spans="2:12" x14ac:dyDescent="0.3">
      <c r="B349" s="183" t="s">
        <v>2974</v>
      </c>
      <c r="C349" s="2509">
        <f ca="1">+SUMIFS('TB Grouping'!F:F,'TB Grouping'!D:D,'TB to be sent to client'!B349)</f>
        <v>0</v>
      </c>
      <c r="D349" s="2509">
        <f>+SUMIFS('Additional &amp; Presentation Entry'!$G$10:$G$1048576,'Additional &amp; Presentation Entry'!$F$10:$F$1048576,'TB to be sent to client'!B349)</f>
        <v>0</v>
      </c>
      <c r="E349" s="2509">
        <f t="shared" ca="1" si="5"/>
        <v>0</v>
      </c>
      <c r="J349" s="2535" t="e">
        <f ca="1">+_xlfn.XLOOKUP(B349,'TB Grouping'!D:D,'TB Grouping'!D:D)</f>
        <v>#NAME?</v>
      </c>
      <c r="L349" s="1" t="s">
        <v>2974</v>
      </c>
    </row>
    <row r="350" spans="2:12" x14ac:dyDescent="0.3">
      <c r="B350" s="183" t="s">
        <v>2976</v>
      </c>
      <c r="C350" s="2509">
        <f ca="1">+SUMIFS('TB Grouping'!F:F,'TB Grouping'!D:D,'TB to be sent to client'!B350)</f>
        <v>125583.6</v>
      </c>
      <c r="D350" s="2509">
        <f>+SUMIFS('Additional &amp; Presentation Entry'!$G$10:$G$1048576,'Additional &amp; Presentation Entry'!$F$10:$F$1048576,'TB to be sent to client'!B350)</f>
        <v>0</v>
      </c>
      <c r="E350" s="2509">
        <f t="shared" ca="1" si="5"/>
        <v>125583.6</v>
      </c>
      <c r="J350" s="2535" t="e">
        <f ca="1">+_xlfn.XLOOKUP(B350,'TB Grouping'!D:D,'TB Grouping'!D:D)</f>
        <v>#NAME?</v>
      </c>
      <c r="L350" s="1" t="s">
        <v>2976</v>
      </c>
    </row>
    <row r="351" spans="2:12" x14ac:dyDescent="0.3">
      <c r="B351" s="183" t="s">
        <v>3287</v>
      </c>
      <c r="C351" s="2509">
        <f ca="1">+SUMIFS('TB Grouping'!F:F,'TB Grouping'!D:D,'TB to be sent to client'!B351)</f>
        <v>0</v>
      </c>
      <c r="D351" s="2509">
        <f>+SUMIFS('Additional &amp; Presentation Entry'!$G$10:$G$1048576,'Additional &amp; Presentation Entry'!$F$10:$F$1048576,'TB to be sent to client'!B351)</f>
        <v>0</v>
      </c>
      <c r="E351" s="2509">
        <f t="shared" ca="1" si="5"/>
        <v>0</v>
      </c>
      <c r="J351" s="2535" t="e">
        <f ca="1">+_xlfn.XLOOKUP(B351,'TB Grouping'!D:D,'TB Grouping'!D:D)</f>
        <v>#NAME?</v>
      </c>
      <c r="L351" s="1" t="s">
        <v>3287</v>
      </c>
    </row>
    <row r="352" spans="2:12" x14ac:dyDescent="0.3">
      <c r="B352" s="183" t="s">
        <v>3113</v>
      </c>
      <c r="C352" s="2509">
        <f ca="1">+SUMIFS('TB Grouping'!F:F,'TB Grouping'!D:D,'TB to be sent to client'!B352)</f>
        <v>0</v>
      </c>
      <c r="D352" s="2509">
        <f>+SUMIFS('Additional &amp; Presentation Entry'!$G$10:$G$1048576,'Additional &amp; Presentation Entry'!$F$10:$F$1048576,'TB to be sent to client'!B352)</f>
        <v>-605978.1</v>
      </c>
      <c r="E352" s="2509">
        <f t="shared" ca="1" si="5"/>
        <v>-605978.1</v>
      </c>
      <c r="J352" s="2535" t="e">
        <f ca="1">+_xlfn.XLOOKUP(B352,'TB Grouping'!D:D,'TB Grouping'!D:D)</f>
        <v>#NAME?</v>
      </c>
      <c r="L352" s="1" t="s">
        <v>3113</v>
      </c>
    </row>
    <row r="353" spans="2:12" x14ac:dyDescent="0.3">
      <c r="B353" s="183" t="s">
        <v>2985</v>
      </c>
      <c r="C353" s="2509">
        <f ca="1">+SUMIFS('TB Grouping'!F:F,'TB Grouping'!D:D,'TB to be sent to client'!B353)</f>
        <v>49703</v>
      </c>
      <c r="D353" s="2509">
        <f>+SUMIFS('Additional &amp; Presentation Entry'!$G$10:$G$1048576,'Additional &amp; Presentation Entry'!$F$10:$F$1048576,'TB to be sent to client'!B353)</f>
        <v>0</v>
      </c>
      <c r="E353" s="2509">
        <f t="shared" ca="1" si="5"/>
        <v>49703</v>
      </c>
      <c r="J353" s="2535" t="e">
        <f ca="1">+_xlfn.XLOOKUP(B353,'TB Grouping'!D:D,'TB Grouping'!D:D)</f>
        <v>#NAME?</v>
      </c>
      <c r="L353" s="1" t="s">
        <v>2985</v>
      </c>
    </row>
    <row r="354" spans="2:12" x14ac:dyDescent="0.3">
      <c r="B354" s="183" t="s">
        <v>3023</v>
      </c>
      <c r="C354" s="2509">
        <f ca="1">+SUMIFS('TB Grouping'!F:F,'TB Grouping'!D:D,'TB to be sent to client'!B354)</f>
        <v>0</v>
      </c>
      <c r="D354" s="2509">
        <f>+SUMIFS('Additional &amp; Presentation Entry'!$G$10:$G$1048576,'Additional &amp; Presentation Entry'!$F$10:$F$1048576,'TB to be sent to client'!B354)</f>
        <v>0</v>
      </c>
      <c r="E354" s="2509">
        <f t="shared" ca="1" si="5"/>
        <v>0</v>
      </c>
      <c r="J354" s="2535" t="e">
        <f ca="1">+_xlfn.XLOOKUP(B354,'TB Grouping'!D:D,'TB Grouping'!D:D)</f>
        <v>#NAME?</v>
      </c>
      <c r="L354" s="1" t="e">
        <v>#N/A</v>
      </c>
    </row>
    <row r="355" spans="2:12" x14ac:dyDescent="0.3">
      <c r="B355" s="183" t="s">
        <v>3005</v>
      </c>
      <c r="C355" s="2509">
        <f ca="1">+SUMIFS('TB Grouping'!F:F,'TB Grouping'!D:D,'TB to be sent to client'!B355)</f>
        <v>0</v>
      </c>
      <c r="D355" s="2509">
        <f>+SUMIFS('Additional &amp; Presentation Entry'!$G$10:$G$1048576,'Additional &amp; Presentation Entry'!$F$10:$F$1048576,'TB to be sent to client'!B355)</f>
        <v>0</v>
      </c>
      <c r="E355" s="2509">
        <f t="shared" ca="1" si="5"/>
        <v>0</v>
      </c>
      <c r="J355" s="2535" t="e">
        <f ca="1">+_xlfn.XLOOKUP(B355,'TB Grouping'!D:D,'TB Grouping'!D:D)</f>
        <v>#NAME?</v>
      </c>
      <c r="L355" s="1" t="e">
        <v>#N/A</v>
      </c>
    </row>
    <row r="356" spans="2:12" x14ac:dyDescent="0.3">
      <c r="B356" s="183" t="s">
        <v>3024</v>
      </c>
      <c r="C356" s="2509">
        <f ca="1">+SUMIFS('TB Grouping'!F:F,'TB Grouping'!D:D,'TB to be sent to client'!B356)</f>
        <v>0</v>
      </c>
      <c r="D356" s="2509">
        <f>+SUMIFS('Additional &amp; Presentation Entry'!$G$10:$G$1048576,'Additional &amp; Presentation Entry'!$F$10:$F$1048576,'TB to be sent to client'!B356)</f>
        <v>8915</v>
      </c>
      <c r="E356" s="2509">
        <f t="shared" ca="1" si="5"/>
        <v>8915</v>
      </c>
      <c r="J356" s="2535" t="e">
        <f ca="1">+_xlfn.XLOOKUP(B356,'TB Grouping'!D:D,'TB Grouping'!D:D)</f>
        <v>#NAME?</v>
      </c>
      <c r="L356" s="1" t="s">
        <v>3024</v>
      </c>
    </row>
    <row r="357" spans="2:12" x14ac:dyDescent="0.3">
      <c r="B357" s="183" t="s">
        <v>3114</v>
      </c>
      <c r="C357" s="2509">
        <f ca="1">+SUMIFS('TB Grouping'!F:F,'TB Grouping'!D:D,'TB to be sent to client'!B357)</f>
        <v>-8334</v>
      </c>
      <c r="D357" s="2509">
        <f>+SUMIFS('Additional &amp; Presentation Entry'!$G$10:$G$1048576,'Additional &amp; Presentation Entry'!$F$10:$F$1048576,'TB to be sent to client'!B357)</f>
        <v>0</v>
      </c>
      <c r="E357" s="2509">
        <f t="shared" ca="1" si="5"/>
        <v>-8334</v>
      </c>
      <c r="J357" s="2535" t="e">
        <f ca="1">+_xlfn.XLOOKUP(B357,'TB Grouping'!D:D,'TB Grouping'!D:D)</f>
        <v>#NAME?</v>
      </c>
      <c r="L357" s="1" t="s">
        <v>3114</v>
      </c>
    </row>
    <row r="358" spans="2:12" x14ac:dyDescent="0.3">
      <c r="B358" s="183" t="s">
        <v>3029</v>
      </c>
      <c r="C358" s="2509">
        <f ca="1">+SUMIFS('TB Grouping'!F:F,'TB Grouping'!D:D,'TB to be sent to client'!B358)</f>
        <v>0</v>
      </c>
      <c r="D358" s="2509">
        <f>+SUMIFS('Additional &amp; Presentation Entry'!$G$10:$G$1048576,'Additional &amp; Presentation Entry'!$F$10:$F$1048576,'TB to be sent to client'!B358)</f>
        <v>0</v>
      </c>
      <c r="E358" s="2509">
        <f t="shared" ca="1" si="5"/>
        <v>0</v>
      </c>
      <c r="J358" s="2535" t="e">
        <f ca="1">+_xlfn.XLOOKUP(B358,'TB Grouping'!D:D,'TB Grouping'!D:D)</f>
        <v>#NAME?</v>
      </c>
      <c r="L358" s="1" t="e">
        <v>#N/A</v>
      </c>
    </row>
    <row r="359" spans="2:12" x14ac:dyDescent="0.3">
      <c r="B359" s="183" t="s">
        <v>3698</v>
      </c>
      <c r="C359" s="2509">
        <f ca="1">+SUMIFS('TB Grouping'!F:F,'TB Grouping'!D:D,'TB to be sent to client'!B359)</f>
        <v>0</v>
      </c>
      <c r="D359" s="2509">
        <f>+SUMIFS('Additional &amp; Presentation Entry'!$G$10:$G$1048576,'Additional &amp; Presentation Entry'!$F$10:$F$1048576,'TB to be sent to client'!B359)</f>
        <v>-2667</v>
      </c>
      <c r="E359" s="2509">
        <f t="shared" ca="1" si="5"/>
        <v>-2667</v>
      </c>
      <c r="J359" s="2535" t="e">
        <f ca="1">+_xlfn.XLOOKUP(B359,'TB Grouping'!D:D,'TB Grouping'!D:D)</f>
        <v>#NAME?</v>
      </c>
      <c r="L359" s="1" t="e">
        <v>#N/A</v>
      </c>
    </row>
    <row r="360" spans="2:12" x14ac:dyDescent="0.3">
      <c r="B360" s="183" t="s">
        <v>3033</v>
      </c>
      <c r="C360" s="2509">
        <f ca="1">+SUMIFS('TB Grouping'!F:F,'TB Grouping'!D:D,'TB to be sent to client'!B360)</f>
        <v>0</v>
      </c>
      <c r="D360" s="2509">
        <f>+SUMIFS('Additional &amp; Presentation Entry'!$G$10:$G$1048576,'Additional &amp; Presentation Entry'!$F$10:$F$1048576,'TB to be sent to client'!B360)</f>
        <v>0</v>
      </c>
      <c r="E360" s="2509">
        <f t="shared" ca="1" si="5"/>
        <v>0</v>
      </c>
      <c r="J360" s="2535" t="e">
        <f ca="1">+_xlfn.XLOOKUP(B360,'TB Grouping'!D:D,'TB Grouping'!D:D)</f>
        <v>#NAME?</v>
      </c>
      <c r="L360" s="1" t="s">
        <v>3033</v>
      </c>
    </row>
    <row r="361" spans="2:12" x14ac:dyDescent="0.3">
      <c r="B361" s="183" t="s">
        <v>2213</v>
      </c>
      <c r="C361" s="2509">
        <f ca="1">+SUMIFS('TB Grouping'!F:F,'TB Grouping'!D:D,'TB to be sent to client'!B361)</f>
        <v>11511.35</v>
      </c>
      <c r="D361" s="2509">
        <f>+SUMIFS('Additional &amp; Presentation Entry'!$G$10:$G$1048576,'Additional &amp; Presentation Entry'!$F$10:$F$1048576,'TB to be sent to client'!B361)</f>
        <v>11511.35</v>
      </c>
      <c r="E361" s="2509">
        <f t="shared" ca="1" si="5"/>
        <v>23022.7</v>
      </c>
      <c r="J361" s="2535" t="e">
        <f ca="1">+_xlfn.XLOOKUP(B361,'TB Grouping'!D:D,'TB Grouping'!D:D)</f>
        <v>#NAME?</v>
      </c>
      <c r="L361" s="1" t="s">
        <v>2213</v>
      </c>
    </row>
    <row r="362" spans="2:12" x14ac:dyDescent="0.3">
      <c r="B362" s="183" t="s">
        <v>3172</v>
      </c>
      <c r="C362" s="2534">
        <f ca="1">+SUMIFS('TB Grouping'!F:F,'TB Grouping'!D:D,'TB to be sent to client'!B362)</f>
        <v>-294331.58</v>
      </c>
      <c r="D362" s="2509">
        <f>+SUMIFS('Additional &amp; Presentation Entry'!$G$10:$G$1048576,'Additional &amp; Presentation Entry'!$F$10:$F$1048576,'TB to be sent to client'!B362)</f>
        <v>-294331.57333333325</v>
      </c>
      <c r="E362" s="2509">
        <f t="shared" ca="1" si="5"/>
        <v>-588663.15333333332</v>
      </c>
      <c r="F362" s="1" t="s">
        <v>3632</v>
      </c>
      <c r="J362" s="2535" t="e">
        <f ca="1">+_xlfn.XLOOKUP(B362,'TB Grouping'!D:D,'TB Grouping'!D:D)</f>
        <v>#NAME?</v>
      </c>
      <c r="L362" s="1" t="e">
        <v>#N/A</v>
      </c>
    </row>
    <row r="363" spans="2:12" x14ac:dyDescent="0.3">
      <c r="B363" s="183" t="s">
        <v>3154</v>
      </c>
      <c r="C363" s="2534">
        <f ca="1">+SUMIFS('TB Grouping'!F:F,'TB Grouping'!D:D,'TB to be sent to client'!B363)</f>
        <v>2587251.16</v>
      </c>
      <c r="D363" s="2509">
        <f>+SUMIFS('Additional &amp; Presentation Entry'!$G$10:$G$1048576,'Additional &amp; Presentation Entry'!$F$10:$F$1048576,'TB to be sent to client'!B363)</f>
        <v>2322128.0399999996</v>
      </c>
      <c r="E363" s="2509">
        <f t="shared" ca="1" si="5"/>
        <v>4909379.1999999993</v>
      </c>
      <c r="F363" s="1" t="s">
        <v>3632</v>
      </c>
      <c r="J363" s="2535" t="e">
        <f ca="1">+_xlfn.XLOOKUP(B363,'TB Grouping'!D:D,'TB Grouping'!D:D)</f>
        <v>#NAME?</v>
      </c>
      <c r="L363" s="1" t="e">
        <v>#N/A</v>
      </c>
    </row>
    <row r="364" spans="2:12" x14ac:dyDescent="0.3">
      <c r="B364" s="183" t="s">
        <v>2408</v>
      </c>
      <c r="C364" s="2534">
        <f ca="1">+SUMIFS('TB Grouping'!F:F,'TB Grouping'!D:D,'TB to be sent to client'!B364)</f>
        <v>-20864.91</v>
      </c>
      <c r="D364" s="2509">
        <f>+SUMIFS('Additional &amp; Presentation Entry'!$G$10:$G$1048576,'Additional &amp; Presentation Entry'!$F$10:$F$1048576,'TB to be sent to client'!B364)</f>
        <v>-20864.910000000149</v>
      </c>
      <c r="E364" s="2509">
        <f t="shared" ca="1" si="5"/>
        <v>-41729.820000000153</v>
      </c>
      <c r="F364" s="1" t="s">
        <v>3632</v>
      </c>
      <c r="J364" s="2535" t="e">
        <f ca="1">+_xlfn.XLOOKUP(B364,'TB Grouping'!D:D,'TB Grouping'!D:D)</f>
        <v>#NAME?</v>
      </c>
      <c r="L364" s="1" t="e">
        <v>#N/A</v>
      </c>
    </row>
    <row r="365" spans="2:12" x14ac:dyDescent="0.3">
      <c r="B365" s="183" t="s">
        <v>3609</v>
      </c>
      <c r="C365" s="2534">
        <f ca="1">+SUMIFS('TB Grouping'!F:F,'TB Grouping'!D:D,'TB to be sent to client'!B365)</f>
        <v>0</v>
      </c>
      <c r="D365" s="2509">
        <f>+SUMIFS('Additional &amp; Presentation Entry'!$G$10:$G$1048576,'Additional &amp; Presentation Entry'!$F$10:$F$1048576,'TB to be sent to client'!B365)</f>
        <v>-16524819.84</v>
      </c>
      <c r="E365" s="2509">
        <f t="shared" ca="1" si="5"/>
        <v>-16524819.84</v>
      </c>
      <c r="F365" s="1" t="s">
        <v>3632</v>
      </c>
      <c r="J365" s="2535" t="e">
        <f ca="1">+_xlfn.XLOOKUP(B365,'TB Grouping'!D:D,'TB Grouping'!D:D)</f>
        <v>#NAME?</v>
      </c>
      <c r="L365" s="1" t="e">
        <v>#N/A</v>
      </c>
    </row>
    <row r="366" spans="2:12" x14ac:dyDescent="0.3">
      <c r="B366" s="183" t="s">
        <v>3610</v>
      </c>
      <c r="C366" s="2534">
        <f ca="1">+SUMIFS('TB Grouping'!F:F,'TB Grouping'!D:D,'TB to be sent to client'!B366)</f>
        <v>0</v>
      </c>
      <c r="D366" s="2509">
        <f>+SUMIFS('Additional &amp; Presentation Entry'!$G$10:$G$1048576,'Additional &amp; Presentation Entry'!$F$10:$F$1048576,'TB to be sent to client'!B366)</f>
        <v>-543288.98</v>
      </c>
      <c r="E366" s="2509">
        <f t="shared" ca="1" si="5"/>
        <v>-543288.98</v>
      </c>
      <c r="F366" s="1" t="s">
        <v>3632</v>
      </c>
      <c r="J366" s="2535" t="e">
        <f ca="1">+_xlfn.XLOOKUP(B366,'TB Grouping'!D:D,'TB Grouping'!D:D)</f>
        <v>#NAME?</v>
      </c>
      <c r="L366" s="1" t="e">
        <v>#N/A</v>
      </c>
    </row>
    <row r="367" spans="2:12" x14ac:dyDescent="0.3">
      <c r="B367" s="183" t="s">
        <v>3611</v>
      </c>
      <c r="C367" s="2534">
        <f ca="1">+SUMIFS('TB Grouping'!F:F,'TB Grouping'!D:D,'TB to be sent to client'!B367)</f>
        <v>0</v>
      </c>
      <c r="D367" s="2509">
        <f>+SUMIFS('Additional &amp; Presentation Entry'!$G$10:$G$1048576,'Additional &amp; Presentation Entry'!$F$10:$F$1048576,'TB to be sent to client'!B367)</f>
        <v>-346189.94</v>
      </c>
      <c r="E367" s="2509">
        <f t="shared" ca="1" si="5"/>
        <v>-346189.94</v>
      </c>
      <c r="F367" s="1" t="s">
        <v>3632</v>
      </c>
      <c r="J367" s="2535" t="e">
        <f ca="1">+_xlfn.XLOOKUP(B367,'TB Grouping'!D:D,'TB Grouping'!D:D)</f>
        <v>#NAME?</v>
      </c>
      <c r="L367" s="1" t="e">
        <v>#N/A</v>
      </c>
    </row>
    <row r="368" spans="2:12" x14ac:dyDescent="0.3">
      <c r="B368" s="183" t="s">
        <v>3608</v>
      </c>
      <c r="C368" s="2534">
        <f ca="1">+SUMIFS('TB Grouping'!F:F,'TB Grouping'!D:D,'TB to be sent to client'!B368)</f>
        <v>0</v>
      </c>
      <c r="D368" s="2509">
        <f>+SUMIFS('Additional &amp; Presentation Entry'!$G$10:$G$1048576,'Additional &amp; Presentation Entry'!$F$10:$F$1048576,'TB to be sent to client'!B368)</f>
        <v>264829.94</v>
      </c>
      <c r="E368" s="2509">
        <f t="shared" ref="E368:E372" ca="1" si="6">+C368+D368</f>
        <v>264829.94</v>
      </c>
      <c r="F368" s="1" t="s">
        <v>3632</v>
      </c>
      <c r="J368" s="2535" t="e">
        <f ca="1">+_xlfn.XLOOKUP(B368,'TB Grouping'!D:D,'TB Grouping'!D:D)</f>
        <v>#NAME?</v>
      </c>
      <c r="L368" s="1" t="e">
        <v>#N/A</v>
      </c>
    </row>
    <row r="369" spans="2:12" x14ac:dyDescent="0.3">
      <c r="B369" s="183" t="s">
        <v>3701</v>
      </c>
      <c r="C369" s="2534">
        <f ca="1">+SUMIFS('TB Grouping'!F:F,'TB Grouping'!D:D,'TB to be sent to client'!B369)</f>
        <v>0</v>
      </c>
      <c r="D369" s="2509">
        <f>+SUMIFS('Additional &amp; Presentation Entry'!$G$10:$G$1048576,'Additional &amp; Presentation Entry'!$F$10:$F$1048576,'TB to be sent to client'!B369)</f>
        <v>15783541.9</v>
      </c>
      <c r="E369" s="2509">
        <f t="shared" ca="1" si="6"/>
        <v>15783541.9</v>
      </c>
      <c r="F369" s="1" t="s">
        <v>3632</v>
      </c>
      <c r="J369" s="2535" t="e">
        <f ca="1">+_xlfn.XLOOKUP(B369,'TB Grouping'!D:D,'TB Grouping'!D:D)</f>
        <v>#NAME?</v>
      </c>
      <c r="L369" s="1" t="e">
        <v>#N/A</v>
      </c>
    </row>
    <row r="370" spans="2:12" x14ac:dyDescent="0.3">
      <c r="B370" s="183" t="s">
        <v>3702</v>
      </c>
      <c r="C370" s="2509">
        <f ca="1">+SUMIFS('TB Grouping'!F:F,'TB Grouping'!D:D,'TB to be sent to client'!B370)</f>
        <v>0</v>
      </c>
      <c r="D370" s="2509">
        <f>+SUMIFS('Additional &amp; Presentation Entry'!$G$10:$G$1048576,'Additional &amp; Presentation Entry'!$F$10:$F$1048576,'TB to be sent to client'!B370)</f>
        <v>472443.85</v>
      </c>
      <c r="E370" s="2509">
        <f t="shared" ca="1" si="6"/>
        <v>472443.85</v>
      </c>
      <c r="F370" s="1" t="s">
        <v>3632</v>
      </c>
      <c r="J370" s="2535" t="e">
        <f ca="1">+_xlfn.XLOOKUP(B370,'TB Grouping'!D:D,'TB Grouping'!D:D)</f>
        <v>#NAME?</v>
      </c>
      <c r="L370" s="1" t="e">
        <v>#N/A</v>
      </c>
    </row>
    <row r="371" spans="2:12" x14ac:dyDescent="0.3">
      <c r="B371" s="183" t="s">
        <v>3703</v>
      </c>
      <c r="C371" s="2509">
        <f ca="1">+SUMIFS('TB Grouping'!F:F,'TB Grouping'!D:D,'TB to be sent to client'!B371)</f>
        <v>0</v>
      </c>
      <c r="D371" s="2509">
        <f>+SUMIFS('Additional &amp; Presentation Entry'!$G$10:$G$1048576,'Additional &amp; Presentation Entry'!$F$10:$F$1048576,'TB to be sent to client'!B371)</f>
        <v>295724.71999999997</v>
      </c>
      <c r="E371" s="2509">
        <f t="shared" ca="1" si="6"/>
        <v>295724.71999999997</v>
      </c>
      <c r="F371" s="1" t="s">
        <v>3632</v>
      </c>
      <c r="J371" s="2535" t="e">
        <f ca="1">+_xlfn.XLOOKUP(B371,'TB Grouping'!D:D,'TB Grouping'!D:D)</f>
        <v>#NAME?</v>
      </c>
      <c r="L371" s="1" t="e">
        <v>#N/A</v>
      </c>
    </row>
    <row r="372" spans="2:12" x14ac:dyDescent="0.3">
      <c r="B372" s="183" t="s">
        <v>3617</v>
      </c>
      <c r="C372" s="2509">
        <f ca="1">+SUMIFS('TB Grouping'!F:F,'TB Grouping'!D:D,'TB to be sent to client'!B372)</f>
        <v>0</v>
      </c>
      <c r="D372" s="2509">
        <f>+SUMIFS('Additional &amp; Presentation Entry'!$G$10:$G$1048576,'Additional &amp; Presentation Entry'!$F$10:$F$1048576,'TB to be sent to client'!B372)</f>
        <v>-126084.395532</v>
      </c>
      <c r="E372" s="2509">
        <f t="shared" ca="1" si="6"/>
        <v>-126084.395532</v>
      </c>
      <c r="F372" s="1" t="s">
        <v>3632</v>
      </c>
      <c r="J372" s="2535" t="e">
        <f ca="1">+_xlfn.XLOOKUP(B372,'TB Grouping'!D:D,'TB Grouping'!D:D)</f>
        <v>#NAME?</v>
      </c>
      <c r="L372" s="1" t="e">
        <v>#N/A</v>
      </c>
    </row>
    <row r="373" spans="2:12" x14ac:dyDescent="0.3">
      <c r="B373" s="183" t="s">
        <v>3618</v>
      </c>
      <c r="C373" s="2509">
        <f ca="1">+SUMIFS('TB Grouping'!F:F,'TB Grouping'!D:D,'TB to be sent to client'!B373)</f>
        <v>-2673863.65</v>
      </c>
      <c r="D373" s="2509">
        <f>+SUMIFS('Additional &amp; Presentation Entry'!$G$10:$G$1048576,'Additional &amp; Presentation Entry'!$F$10:$F$1048576,'TB to be sent to client'!B373)</f>
        <v>-2916207.332045557</v>
      </c>
      <c r="E373" s="2509">
        <f t="shared" ref="E373" ca="1" si="7">+C373+D373</f>
        <v>-5590070.9820455573</v>
      </c>
      <c r="F373" s="1" t="s">
        <v>3632</v>
      </c>
      <c r="J373" s="2535" t="e">
        <f ca="1">+_xlfn.XLOOKUP(B373,'TB Grouping'!D:D,'TB Grouping'!D:D)</f>
        <v>#NAME?</v>
      </c>
      <c r="L373" s="1" t="e">
        <v>#N/A</v>
      </c>
    </row>
    <row r="374" spans="2:12" x14ac:dyDescent="0.3">
      <c r="B374" s="183" t="s">
        <v>3620</v>
      </c>
      <c r="C374" s="2509">
        <f ca="1">+SUMIFS('TB Grouping'!F:F,'TB Grouping'!D:D,'TB to be sent to client'!B374)</f>
        <v>0</v>
      </c>
      <c r="D374" s="2509">
        <f>+SUMIFS('Additional &amp; Presentation Entry'!$G$10:$G$1048576,'Additional &amp; Presentation Entry'!$F$10:$F$1048576,'TB to be sent to client'!B374)</f>
        <v>0</v>
      </c>
      <c r="E374" s="2509">
        <f t="shared" ref="E374:E376" ca="1" si="8">+C374+D374</f>
        <v>0</v>
      </c>
      <c r="F374" s="1" t="s">
        <v>3632</v>
      </c>
      <c r="J374" s="2535" t="e">
        <f ca="1">+_xlfn.XLOOKUP(B374,'TB Grouping'!D:D,'TB Grouping'!D:D)</f>
        <v>#NAME?</v>
      </c>
      <c r="L374" s="1" t="e">
        <v>#N/A</v>
      </c>
    </row>
    <row r="375" spans="2:12" x14ac:dyDescent="0.3">
      <c r="B375" s="183" t="s">
        <v>3622</v>
      </c>
      <c r="C375" s="2509">
        <f ca="1">+SUMIFS('TB Grouping'!F:F,'TB Grouping'!D:D,'TB to be sent to client'!B375)</f>
        <v>1427950.19</v>
      </c>
      <c r="D375" s="2509">
        <f>+SUMIFS('Additional &amp; Presentation Entry'!$G$10:$G$1048576,'Additional &amp; Presentation Entry'!$F$10:$F$1048576,'TB to be sent to client'!B375)</f>
        <v>1427950.1863013699</v>
      </c>
      <c r="E375" s="2509">
        <f t="shared" ca="1" si="8"/>
        <v>2855900.3763013696</v>
      </c>
      <c r="F375" s="1" t="s">
        <v>3632</v>
      </c>
      <c r="J375" s="2535" t="e">
        <f ca="1">+_xlfn.XLOOKUP(B375,'TB Grouping'!D:D,'TB Grouping'!D:D)</f>
        <v>#NAME?</v>
      </c>
      <c r="L375" s="1" t="e">
        <v>#N/A</v>
      </c>
    </row>
    <row r="376" spans="2:12" x14ac:dyDescent="0.3">
      <c r="B376" s="183" t="s">
        <v>3629</v>
      </c>
      <c r="C376" s="2509">
        <f ca="1">+SUMIFS('TB Grouping'!F:F,'TB Grouping'!D:D,'TB to be sent to client'!B376)</f>
        <v>-248909.08</v>
      </c>
      <c r="D376" s="2509">
        <f>+SUMIFS('Additional &amp; Presentation Entry'!$G$10:$G$1048576,'Additional &amp; Presentation Entry'!$F$10:$F$1048576,'TB to be sent to client'!B376)</f>
        <v>-248909.08000000002</v>
      </c>
      <c r="E376" s="2509">
        <f t="shared" ca="1" si="8"/>
        <v>-497818.16000000003</v>
      </c>
      <c r="F376" s="1" t="s">
        <v>3632</v>
      </c>
      <c r="J376" s="2535" t="e">
        <f ca="1">+_xlfn.XLOOKUP(B376,'TB Grouping'!D:D,'TB Grouping'!D:D)</f>
        <v>#NAME?</v>
      </c>
      <c r="L376" s="1" t="e">
        <v>#N/A</v>
      </c>
    </row>
    <row r="377" spans="2:12" x14ac:dyDescent="0.3">
      <c r="B377" s="183" t="s">
        <v>3630</v>
      </c>
      <c r="C377" s="2509">
        <f ca="1">+SUMIFS('TB Grouping'!F:F,'TB Grouping'!D:D,'TB to be sent to client'!B377)</f>
        <v>-4193844.82</v>
      </c>
      <c r="D377" s="2509">
        <f>+SUMIFS('Additional &amp; Presentation Entry'!$G$10:$G$1048576,'Additional &amp; Presentation Entry'!$F$10:$F$1048576,'TB to be sent to client'!B377)</f>
        <v>-4193844.8200000003</v>
      </c>
      <c r="E377" s="2509">
        <f t="shared" ref="E377:E378" ca="1" si="9">+C377+D377</f>
        <v>-8387689.6400000006</v>
      </c>
      <c r="F377" s="1" t="s">
        <v>3632</v>
      </c>
      <c r="J377" s="2535" t="e">
        <f ca="1">+_xlfn.XLOOKUP(B377,'TB Grouping'!D:D,'TB Grouping'!D:D)</f>
        <v>#NAME?</v>
      </c>
      <c r="L377" s="1" t="e">
        <v>#N/A</v>
      </c>
    </row>
    <row r="378" spans="2:12" x14ac:dyDescent="0.3">
      <c r="B378" s="183" t="s">
        <v>3631</v>
      </c>
      <c r="C378" s="2509">
        <f ca="1">+SUMIFS('TB Grouping'!F:F,'TB Grouping'!D:D,'TB to be sent to client'!B378)</f>
        <v>4193844.82</v>
      </c>
      <c r="D378" s="2509">
        <f>+SUMIFS('Additional &amp; Presentation Entry'!$G$10:$G$1048576,'Additional &amp; Presentation Entry'!$F$10:$F$1048576,'TB to be sent to client'!B378)</f>
        <v>4193844.8200000003</v>
      </c>
      <c r="E378" s="2509">
        <f t="shared" ca="1" si="9"/>
        <v>8387689.6400000006</v>
      </c>
      <c r="F378" s="1" t="s">
        <v>3632</v>
      </c>
      <c r="J378" s="2535" t="e">
        <f ca="1">+_xlfn.XLOOKUP(B378,'TB Grouping'!D:D,'TB Grouping'!D:D)</f>
        <v>#NAME?</v>
      </c>
      <c r="L378" s="1" t="e">
        <v>#N/A</v>
      </c>
    </row>
  </sheetData>
  <autoFilter ref="B7:L378"/>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2:I360"/>
  <sheetViews>
    <sheetView topLeftCell="A3" zoomScale="80" zoomScaleNormal="80" workbookViewId="0">
      <selection activeCell="C4" sqref="C4"/>
    </sheetView>
  </sheetViews>
  <sheetFormatPr defaultColWidth="9.140625" defaultRowHeight="16.5" x14ac:dyDescent="0.3"/>
  <cols>
    <col min="1" max="1" width="3.7109375" style="1" customWidth="1"/>
    <col min="2" max="2" width="9.140625" style="1"/>
    <col min="3" max="3" width="62.140625" style="1" bestFit="1" customWidth="1"/>
    <col min="4" max="4" width="62.140625" style="1" hidden="1" customWidth="1"/>
    <col min="5" max="5" width="17.85546875" style="1" bestFit="1" customWidth="1"/>
    <col min="6" max="6" width="18.28515625" style="1" bestFit="1" customWidth="1"/>
    <col min="7" max="7" width="19.28515625" style="1" bestFit="1" customWidth="1"/>
    <col min="8" max="8" width="32.85546875" style="1" bestFit="1" customWidth="1"/>
    <col min="9" max="9" width="18.28515625" style="1" bestFit="1" customWidth="1"/>
    <col min="10" max="16384" width="9.140625" style="1"/>
  </cols>
  <sheetData>
    <row r="2" spans="3:9" x14ac:dyDescent="0.3">
      <c r="F2" s="179">
        <v>-33143240.129999999</v>
      </c>
    </row>
    <row r="3" spans="3:9" x14ac:dyDescent="0.3">
      <c r="C3" s="1" t="s">
        <v>3576</v>
      </c>
    </row>
    <row r="4" spans="3:9" x14ac:dyDescent="0.3">
      <c r="C4" s="1" t="s">
        <v>20</v>
      </c>
      <c r="D4" s="1" t="s">
        <v>20</v>
      </c>
      <c r="E4" s="1" t="s">
        <v>1124</v>
      </c>
      <c r="F4" s="1" t="s">
        <v>1008</v>
      </c>
      <c r="G4" s="1" t="s">
        <v>3569</v>
      </c>
      <c r="H4" s="1" t="s">
        <v>3598</v>
      </c>
      <c r="I4" s="1" t="s">
        <v>3571</v>
      </c>
    </row>
    <row r="5" spans="3:9" x14ac:dyDescent="0.3">
      <c r="C5" s="1" t="s">
        <v>1056</v>
      </c>
      <c r="D5" s="1" t="s">
        <v>1056</v>
      </c>
      <c r="F5" s="179">
        <v>2526469.36</v>
      </c>
      <c r="G5" s="179">
        <f>+SUMIFS('Additional &amp; Presentation Entry'!$G$11:$G$1048576,'Additional &amp; Presentation Entry'!$F$11:$F$1048576,Sheet1!C5)</f>
        <v>0</v>
      </c>
      <c r="H5" s="179">
        <f>+F5+G5</f>
        <v>2526469.36</v>
      </c>
      <c r="I5" s="179">
        <v>2526469.36</v>
      </c>
    </row>
    <row r="6" spans="3:9" x14ac:dyDescent="0.3">
      <c r="C6" s="1" t="s">
        <v>2062</v>
      </c>
      <c r="D6" s="1" t="s">
        <v>2062</v>
      </c>
      <c r="E6" s="179">
        <v>0</v>
      </c>
      <c r="F6" s="179">
        <v>1196.7</v>
      </c>
      <c r="G6" s="179">
        <f>+SUMIFS('Additional &amp; Presentation Entry'!$G$11:$G$1048576,'Additional &amp; Presentation Entry'!$F$11:$F$1048576,Sheet1!C6)</f>
        <v>0</v>
      </c>
      <c r="H6" s="179">
        <f>+F6+G6</f>
        <v>1196.7</v>
      </c>
      <c r="I6" s="179">
        <v>1196.7</v>
      </c>
    </row>
    <row r="7" spans="3:9" x14ac:dyDescent="0.3">
      <c r="C7" s="2347" t="s">
        <v>2113</v>
      </c>
      <c r="D7" s="1" t="s">
        <v>2113</v>
      </c>
      <c r="E7" s="179">
        <v>-6919</v>
      </c>
      <c r="F7" s="179">
        <v>-48433</v>
      </c>
      <c r="G7" s="179">
        <f>+SUMIFS('Additional &amp; Presentation Entry'!$G$11:$G$1048576,'Additional &amp; Presentation Entry'!$F$11:$F$1048576,Sheet1!C7)</f>
        <v>48433</v>
      </c>
      <c r="H7" s="179">
        <f t="shared" ref="H7:H70" si="0">+F7+G7</f>
        <v>0</v>
      </c>
      <c r="I7" s="179">
        <v>-48433</v>
      </c>
    </row>
    <row r="8" spans="3:9" x14ac:dyDescent="0.3">
      <c r="C8" s="2347" t="s">
        <v>3040</v>
      </c>
      <c r="D8" s="1" t="s">
        <v>3040</v>
      </c>
      <c r="E8" s="179">
        <v>0</v>
      </c>
      <c r="F8" s="179">
        <v>-25002</v>
      </c>
      <c r="G8" s="179">
        <f>+SUMIFS('Additional &amp; Presentation Entry'!$G$11:$G$1048576,'Additional &amp; Presentation Entry'!$F$11:$F$1048576,Sheet1!C8)</f>
        <v>25002</v>
      </c>
      <c r="H8" s="179">
        <f t="shared" si="0"/>
        <v>0</v>
      </c>
      <c r="I8" s="179">
        <v>-25002</v>
      </c>
    </row>
    <row r="9" spans="3:9" x14ac:dyDescent="0.3">
      <c r="C9" s="2347" t="s">
        <v>3170</v>
      </c>
      <c r="D9" s="1" t="s">
        <v>2117</v>
      </c>
      <c r="E9" s="179">
        <v>-180000</v>
      </c>
      <c r="F9" s="179">
        <v>-46800</v>
      </c>
      <c r="G9" s="179">
        <f>+SUMIFS('Additional &amp; Presentation Entry'!$G$11:$G$1048576,'Additional &amp; Presentation Entry'!$F$11:$F$1048576,Sheet1!C9)</f>
        <v>46800</v>
      </c>
      <c r="H9" s="179">
        <f t="shared" si="0"/>
        <v>0</v>
      </c>
      <c r="I9" s="179">
        <v>-46800</v>
      </c>
    </row>
    <row r="10" spans="3:9" x14ac:dyDescent="0.3">
      <c r="C10" s="2347" t="s">
        <v>3570</v>
      </c>
      <c r="D10" s="1" t="s">
        <v>2119</v>
      </c>
      <c r="E10" s="179">
        <v>1483740</v>
      </c>
      <c r="F10" s="179">
        <v>1483740</v>
      </c>
      <c r="G10" s="179">
        <f>+SUMIFS('Additional &amp; Presentation Entry'!$G$11:$G$1048576,'Additional &amp; Presentation Entry'!$F$11:$F$1048576,Sheet1!C10)</f>
        <v>-719447</v>
      </c>
      <c r="H10" s="179">
        <f t="shared" si="0"/>
        <v>764293</v>
      </c>
      <c r="I10" s="179">
        <v>1483740</v>
      </c>
    </row>
    <row r="11" spans="3:9" x14ac:dyDescent="0.3">
      <c r="C11" s="1" t="s">
        <v>3041</v>
      </c>
      <c r="D11" s="1" t="s">
        <v>3041</v>
      </c>
      <c r="E11" s="179">
        <v>0</v>
      </c>
      <c r="F11" s="179">
        <v>7700000</v>
      </c>
      <c r="G11" s="179">
        <f>+SUMIFS('Additional &amp; Presentation Entry'!$G$11:$G$1048576,'Additional &amp; Presentation Entry'!$F$11:$F$1048576,Sheet1!C11)</f>
        <v>0</v>
      </c>
      <c r="H11" s="179">
        <f t="shared" si="0"/>
        <v>7700000</v>
      </c>
      <c r="I11" s="179">
        <v>7700000</v>
      </c>
    </row>
    <row r="12" spans="3:9" x14ac:dyDescent="0.3">
      <c r="C12" s="1" t="s">
        <v>2121</v>
      </c>
      <c r="D12" s="1" t="s">
        <v>2121</v>
      </c>
      <c r="E12" s="179">
        <v>0</v>
      </c>
      <c r="F12" s="179">
        <v>0</v>
      </c>
      <c r="G12" s="179">
        <f>+SUMIFS('Additional &amp; Presentation Entry'!$G$11:$G$1048576,'Additional &amp; Presentation Entry'!$F$11:$F$1048576,Sheet1!C12)</f>
        <v>0</v>
      </c>
      <c r="H12" s="179">
        <f t="shared" si="0"/>
        <v>0</v>
      </c>
      <c r="I12" s="179">
        <v>0</v>
      </c>
    </row>
    <row r="13" spans="3:9" x14ac:dyDescent="0.3">
      <c r="C13" s="1" t="s">
        <v>2125</v>
      </c>
      <c r="D13" s="1" t="s">
        <v>2125</v>
      </c>
      <c r="E13" s="179">
        <v>29125</v>
      </c>
      <c r="F13" s="179">
        <v>-184683</v>
      </c>
      <c r="G13" s="179">
        <f>+SUMIFS('Additional &amp; Presentation Entry'!$G$11:$G$1048576,'Additional &amp; Presentation Entry'!$F$11:$F$1048576,Sheet1!C13)</f>
        <v>184683</v>
      </c>
      <c r="H13" s="179">
        <f t="shared" si="0"/>
        <v>0</v>
      </c>
      <c r="I13" s="179">
        <v>-184683</v>
      </c>
    </row>
    <row r="14" spans="3:9" x14ac:dyDescent="0.3">
      <c r="C14" s="1" t="s">
        <v>3042</v>
      </c>
      <c r="D14" s="1" t="s">
        <v>3042</v>
      </c>
      <c r="E14" s="179">
        <v>0</v>
      </c>
      <c r="F14" s="179">
        <v>0.08</v>
      </c>
      <c r="G14" s="179">
        <f>+SUMIFS('Additional &amp; Presentation Entry'!$G$11:$G$1048576,'Additional &amp; Presentation Entry'!$F$11:$F$1048576,Sheet1!C14)</f>
        <v>0</v>
      </c>
      <c r="H14" s="179">
        <f t="shared" si="0"/>
        <v>0.08</v>
      </c>
      <c r="I14" s="179">
        <v>0.08</v>
      </c>
    </row>
    <row r="15" spans="3:9" x14ac:dyDescent="0.3">
      <c r="C15" s="1" t="s">
        <v>2130</v>
      </c>
      <c r="D15" s="1" t="s">
        <v>2130</v>
      </c>
      <c r="E15" s="179">
        <v>0</v>
      </c>
      <c r="F15" s="179">
        <v>0</v>
      </c>
      <c r="G15" s="179">
        <f>+SUMIFS('Additional &amp; Presentation Entry'!$G$11:$G$1048576,'Additional &amp; Presentation Entry'!$F$11:$F$1048576,Sheet1!C15)</f>
        <v>0</v>
      </c>
      <c r="H15" s="179">
        <f t="shared" si="0"/>
        <v>0</v>
      </c>
      <c r="I15" s="179">
        <v>0</v>
      </c>
    </row>
    <row r="16" spans="3:9" x14ac:dyDescent="0.3">
      <c r="C16" s="1" t="s">
        <v>3565</v>
      </c>
      <c r="D16" s="1" t="s">
        <v>2132</v>
      </c>
      <c r="E16" s="179">
        <v>792</v>
      </c>
      <c r="F16" s="179">
        <v>792</v>
      </c>
      <c r="G16" s="179">
        <f>+SUMIFS('Additional &amp; Presentation Entry'!$G$11:$G$1048576,'Additional &amp; Presentation Entry'!$F$11:$F$1048576,Sheet1!C16)</f>
        <v>-355</v>
      </c>
      <c r="H16" s="179">
        <f t="shared" si="0"/>
        <v>437</v>
      </c>
      <c r="I16" s="179">
        <v>792</v>
      </c>
    </row>
    <row r="17" spans="3:9" x14ac:dyDescent="0.3">
      <c r="C17" s="1" t="s">
        <v>2133</v>
      </c>
      <c r="D17" s="1" t="s">
        <v>2133</v>
      </c>
      <c r="E17" s="179">
        <v>5302.94</v>
      </c>
      <c r="F17" s="179">
        <v>5302.94</v>
      </c>
      <c r="G17" s="179">
        <f>+SUMIFS('Additional &amp; Presentation Entry'!$G$11:$G$1048576,'Additional &amp; Presentation Entry'!$F$11:$F$1048576,Sheet1!C17)</f>
        <v>-2390</v>
      </c>
      <c r="H17" s="179">
        <f t="shared" si="0"/>
        <v>2912.9399999999996</v>
      </c>
      <c r="I17" s="179">
        <v>5302.94</v>
      </c>
    </row>
    <row r="18" spans="3:9" x14ac:dyDescent="0.3">
      <c r="C18" s="2347" t="s">
        <v>3043</v>
      </c>
      <c r="D18" s="1" t="s">
        <v>3043</v>
      </c>
      <c r="E18" s="179">
        <v>0</v>
      </c>
      <c r="F18" s="179">
        <v>-128520</v>
      </c>
      <c r="G18" s="179">
        <f>+SUMIFS('Additional &amp; Presentation Entry'!$G$11:$G$1048576,'Additional &amp; Presentation Entry'!$F$11:$F$1048576,Sheet1!C18)</f>
        <v>128520</v>
      </c>
      <c r="H18" s="179">
        <f t="shared" si="0"/>
        <v>0</v>
      </c>
      <c r="I18" s="179">
        <v>-128520</v>
      </c>
    </row>
    <row r="19" spans="3:9" x14ac:dyDescent="0.3">
      <c r="C19" s="2347" t="s">
        <v>3044</v>
      </c>
      <c r="D19" s="1" t="s">
        <v>3044</v>
      </c>
      <c r="E19" s="179">
        <v>0</v>
      </c>
      <c r="F19" s="179">
        <v>-12000</v>
      </c>
      <c r="G19" s="179">
        <f>+SUMIFS('Additional &amp; Presentation Entry'!$G$11:$G$1048576,'Additional &amp; Presentation Entry'!$F$11:$F$1048576,Sheet1!C19)</f>
        <v>12000</v>
      </c>
      <c r="H19" s="179">
        <f t="shared" si="0"/>
        <v>0</v>
      </c>
      <c r="I19" s="179">
        <v>-12000</v>
      </c>
    </row>
    <row r="20" spans="3:9" x14ac:dyDescent="0.3">
      <c r="C20" s="1" t="s">
        <v>2168</v>
      </c>
      <c r="D20" s="1" t="s">
        <v>2168</v>
      </c>
      <c r="E20" s="179">
        <v>0</v>
      </c>
      <c r="F20" s="179">
        <v>10887.91</v>
      </c>
      <c r="G20" s="179">
        <f>+SUMIFS('Additional &amp; Presentation Entry'!$G$11:$G$1048576,'Additional &amp; Presentation Entry'!$F$11:$F$1048576,Sheet1!C20)</f>
        <v>345922.64</v>
      </c>
      <c r="H20" s="179">
        <f t="shared" si="0"/>
        <v>356810.55</v>
      </c>
      <c r="I20" s="179">
        <v>10887.91</v>
      </c>
    </row>
    <row r="21" spans="3:9" x14ac:dyDescent="0.3">
      <c r="C21" s="1" t="s">
        <v>2170</v>
      </c>
      <c r="D21" s="1" t="s">
        <v>2170</v>
      </c>
      <c r="E21" s="179">
        <v>0</v>
      </c>
      <c r="F21" s="179">
        <v>-6968158.1699999999</v>
      </c>
      <c r="G21" s="179">
        <f>+SUMIFS('Additional &amp; Presentation Entry'!$G$11:$G$1048576,'Additional &amp; Presentation Entry'!$F$11:$F$1048576,Sheet1!C21)</f>
        <v>6919991.1799999997</v>
      </c>
      <c r="H21" s="179">
        <f t="shared" si="0"/>
        <v>-48166.990000000224</v>
      </c>
      <c r="I21" s="179">
        <v>-6968158.1699999999</v>
      </c>
    </row>
    <row r="22" spans="3:9" x14ac:dyDescent="0.3">
      <c r="C22" s="1" t="s">
        <v>2172</v>
      </c>
      <c r="D22" s="1" t="s">
        <v>2172</v>
      </c>
      <c r="E22" s="179">
        <v>0</v>
      </c>
      <c r="F22" s="179">
        <v>158659.45000000001</v>
      </c>
      <c r="G22" s="179">
        <f>+SUMIFS('Additional &amp; Presentation Entry'!$G$11:$G$1048576,'Additional &amp; Presentation Entry'!$F$11:$F$1048576,Sheet1!C22)</f>
        <v>-20492</v>
      </c>
      <c r="H22" s="179">
        <f t="shared" si="0"/>
        <v>138167.45000000001</v>
      </c>
      <c r="I22" s="179">
        <v>158659.45000000001</v>
      </c>
    </row>
    <row r="23" spans="3:9" x14ac:dyDescent="0.3">
      <c r="C23" s="1" t="s">
        <v>3045</v>
      </c>
      <c r="D23" s="1" t="s">
        <v>3045</v>
      </c>
      <c r="E23" s="179">
        <v>0</v>
      </c>
      <c r="F23" s="179">
        <v>6217.86</v>
      </c>
      <c r="G23" s="179">
        <f>+SUMIFS('Additional &amp; Presentation Entry'!$G$11:$G$1048576,'Additional &amp; Presentation Entry'!$F$11:$F$1048576,Sheet1!C23)</f>
        <v>0</v>
      </c>
      <c r="H23" s="179">
        <f t="shared" si="0"/>
        <v>6217.86</v>
      </c>
      <c r="I23" s="179">
        <v>6217.86</v>
      </c>
    </row>
    <row r="24" spans="3:9" x14ac:dyDescent="0.3">
      <c r="C24" s="1" t="s">
        <v>2174</v>
      </c>
      <c r="D24" s="1" t="s">
        <v>2174</v>
      </c>
      <c r="E24" s="179">
        <v>-106443.94</v>
      </c>
      <c r="F24" s="179">
        <v>-21929.77</v>
      </c>
      <c r="G24" s="179">
        <f>+SUMIFS('Additional &amp; Presentation Entry'!$G$11:$G$1048576,'Additional &amp; Presentation Entry'!$F$11:$F$1048576,Sheet1!C24)</f>
        <v>0</v>
      </c>
      <c r="H24" s="179">
        <f t="shared" si="0"/>
        <v>-21929.77</v>
      </c>
      <c r="I24" s="179">
        <v>-21929.77</v>
      </c>
    </row>
    <row r="25" spans="3:9" x14ac:dyDescent="0.3">
      <c r="C25" s="1" t="s">
        <v>2175</v>
      </c>
      <c r="D25" s="1" t="s">
        <v>2175</v>
      </c>
      <c r="E25" s="179">
        <v>-638661.64</v>
      </c>
      <c r="F25" s="179">
        <v>-4358173.55</v>
      </c>
      <c r="G25" s="179">
        <f>+SUMIFS('Additional &amp; Presentation Entry'!$G$11:$G$1048576,'Additional &amp; Presentation Entry'!$F$11:$F$1048576,Sheet1!C25)</f>
        <v>0</v>
      </c>
      <c r="H25" s="179">
        <f t="shared" si="0"/>
        <v>-4358173.55</v>
      </c>
      <c r="I25" s="179">
        <v>-4358173.55</v>
      </c>
    </row>
    <row r="26" spans="3:9" x14ac:dyDescent="0.3">
      <c r="C26" s="1" t="s">
        <v>2176</v>
      </c>
      <c r="D26" s="1" t="s">
        <v>2176</v>
      </c>
      <c r="E26" s="179">
        <v>-106443.94</v>
      </c>
      <c r="F26" s="179">
        <v>0</v>
      </c>
      <c r="G26" s="179">
        <f>+SUMIFS('Additional &amp; Presentation Entry'!$G$11:$G$1048576,'Additional &amp; Presentation Entry'!$F$11:$F$1048576,Sheet1!C26)</f>
        <v>0</v>
      </c>
      <c r="H26" s="179">
        <f t="shared" si="0"/>
        <v>0</v>
      </c>
      <c r="I26" s="179">
        <v>0</v>
      </c>
    </row>
    <row r="27" spans="3:9" x14ac:dyDescent="0.3">
      <c r="C27" s="1" t="s">
        <v>2151</v>
      </c>
      <c r="D27" s="1" t="s">
        <v>2151</v>
      </c>
      <c r="E27" s="179">
        <v>0</v>
      </c>
      <c r="F27" s="179">
        <v>0</v>
      </c>
      <c r="G27" s="179">
        <f>+SUMIFS('Additional &amp; Presentation Entry'!$G$11:$G$1048576,'Additional &amp; Presentation Entry'!$F$11:$F$1048576,Sheet1!C27)</f>
        <v>0</v>
      </c>
      <c r="H27" s="179">
        <f t="shared" si="0"/>
        <v>0</v>
      </c>
      <c r="I27" s="179">
        <v>0</v>
      </c>
    </row>
    <row r="28" spans="3:9" x14ac:dyDescent="0.3">
      <c r="C28" s="1" t="s">
        <v>2152</v>
      </c>
      <c r="D28" s="1" t="s">
        <v>2152</v>
      </c>
      <c r="E28" s="179">
        <v>0</v>
      </c>
      <c r="F28" s="179">
        <v>1206061.06</v>
      </c>
      <c r="G28" s="179">
        <f>+SUMIFS('Additional &amp; Presentation Entry'!$G$11:$G$1048576,'Additional &amp; Presentation Entry'!$F$11:$F$1048576,Sheet1!C28)</f>
        <v>0</v>
      </c>
      <c r="H28" s="179">
        <f t="shared" si="0"/>
        <v>1206061.06</v>
      </c>
      <c r="I28" s="179">
        <v>1206061.06</v>
      </c>
    </row>
    <row r="29" spans="3:9" x14ac:dyDescent="0.3">
      <c r="C29" s="2347" t="s">
        <v>3046</v>
      </c>
      <c r="D29" s="1" t="s">
        <v>3046</v>
      </c>
      <c r="E29" s="179">
        <v>0</v>
      </c>
      <c r="F29" s="179">
        <v>-25002</v>
      </c>
      <c r="G29" s="179">
        <f>+SUMIFS('Additional &amp; Presentation Entry'!$G$11:$G$1048576,'Additional &amp; Presentation Entry'!$F$11:$F$1048576,Sheet1!C29)</f>
        <v>25002</v>
      </c>
      <c r="H29" s="179">
        <f t="shared" si="0"/>
        <v>0</v>
      </c>
      <c r="I29" s="179">
        <v>-25002</v>
      </c>
    </row>
    <row r="30" spans="3:9" x14ac:dyDescent="0.3">
      <c r="C30" s="1" t="s">
        <v>3047</v>
      </c>
      <c r="D30" s="1" t="s">
        <v>3047</v>
      </c>
      <c r="E30" s="179">
        <v>0</v>
      </c>
      <c r="F30" s="179">
        <v>-0.41</v>
      </c>
      <c r="G30" s="179">
        <f>+SUMIFS('Additional &amp; Presentation Entry'!$G$11:$G$1048576,'Additional &amp; Presentation Entry'!$F$11:$F$1048576,Sheet1!C30)</f>
        <v>0</v>
      </c>
      <c r="H30" s="179">
        <f t="shared" si="0"/>
        <v>-0.41</v>
      </c>
      <c r="I30" s="179">
        <v>-0.41</v>
      </c>
    </row>
    <row r="31" spans="3:9" x14ac:dyDescent="0.3">
      <c r="C31" s="1" t="s">
        <v>2181</v>
      </c>
      <c r="D31" s="1" t="s">
        <v>2181</v>
      </c>
      <c r="E31" s="179">
        <v>0</v>
      </c>
      <c r="F31" s="179">
        <v>377000</v>
      </c>
      <c r="G31" s="179">
        <f>+SUMIFS('Additional &amp; Presentation Entry'!$G$11:$G$1048576,'Additional &amp; Presentation Entry'!$F$11:$F$1048576,Sheet1!C31)</f>
        <v>0</v>
      </c>
      <c r="H31" s="179">
        <f t="shared" si="0"/>
        <v>377000</v>
      </c>
      <c r="I31" s="179">
        <v>377000</v>
      </c>
    </row>
    <row r="32" spans="3:9" x14ac:dyDescent="0.3">
      <c r="C32" s="1" t="s">
        <v>2182</v>
      </c>
      <c r="D32" s="1" t="s">
        <v>2182</v>
      </c>
      <c r="E32" s="179">
        <v>0</v>
      </c>
      <c r="F32" s="179">
        <v>0</v>
      </c>
      <c r="G32" s="179">
        <f>+SUMIFS('Additional &amp; Presentation Entry'!$G$11:$G$1048576,'Additional &amp; Presentation Entry'!$F$11:$F$1048576,Sheet1!C32)</f>
        <v>0</v>
      </c>
      <c r="H32" s="179">
        <f t="shared" si="0"/>
        <v>0</v>
      </c>
      <c r="I32" s="179">
        <v>0</v>
      </c>
    </row>
    <row r="33" spans="3:9" x14ac:dyDescent="0.3">
      <c r="C33" s="1" t="s">
        <v>3049</v>
      </c>
      <c r="D33" s="1" t="s">
        <v>3049</v>
      </c>
      <c r="E33" s="179">
        <v>0</v>
      </c>
      <c r="F33" s="179">
        <v>-2068.85</v>
      </c>
      <c r="G33" s="179">
        <f>+SUMIFS('Additional &amp; Presentation Entry'!$G$11:$G$1048576,'Additional &amp; Presentation Entry'!$F$11:$F$1048576,Sheet1!C33)</f>
        <v>2068.85</v>
      </c>
      <c r="H33" s="179">
        <f t="shared" si="0"/>
        <v>0</v>
      </c>
      <c r="I33" s="179">
        <v>-2068.85</v>
      </c>
    </row>
    <row r="34" spans="3:9" x14ac:dyDescent="0.3">
      <c r="C34" s="1" t="s">
        <v>3050</v>
      </c>
      <c r="D34" s="1" t="s">
        <v>3050</v>
      </c>
      <c r="E34" s="179">
        <v>735958.65</v>
      </c>
      <c r="F34" s="179">
        <v>37.83</v>
      </c>
      <c r="G34" s="179">
        <f>+SUMIFS('Additional &amp; Presentation Entry'!$G$11:$G$1048576,'Additional &amp; Presentation Entry'!$F$11:$F$1048576,Sheet1!C34)</f>
        <v>0</v>
      </c>
      <c r="H34" s="179">
        <f t="shared" si="0"/>
        <v>37.83</v>
      </c>
      <c r="I34" s="179">
        <v>0</v>
      </c>
    </row>
    <row r="35" spans="3:9" x14ac:dyDescent="0.3">
      <c r="C35" s="1" t="s">
        <v>3051</v>
      </c>
      <c r="D35" s="1" t="s">
        <v>3051</v>
      </c>
      <c r="E35" s="179">
        <v>0</v>
      </c>
      <c r="F35" s="179">
        <v>7542215.0199999996</v>
      </c>
      <c r="G35" s="179">
        <f>+SUMIFS('Additional &amp; Presentation Entry'!$G$11:$G$1048576,'Additional &amp; Presentation Entry'!$F$11:$F$1048576,Sheet1!C35)</f>
        <v>-6531378.5099999998</v>
      </c>
      <c r="H35" s="179">
        <f t="shared" si="0"/>
        <v>1010836.5099999998</v>
      </c>
      <c r="I35" s="179">
        <v>7536495.4299999997</v>
      </c>
    </row>
    <row r="36" spans="3:9" x14ac:dyDescent="0.3">
      <c r="C36" s="1" t="s">
        <v>2203</v>
      </c>
      <c r="D36" s="1" t="s">
        <v>2203</v>
      </c>
      <c r="E36" s="179">
        <v>-792</v>
      </c>
      <c r="F36" s="179">
        <v>0</v>
      </c>
      <c r="G36" s="179">
        <f>+SUMIFS('Additional &amp; Presentation Entry'!$G$11:$G$1048576,'Additional &amp; Presentation Entry'!$F$11:$F$1048576,Sheet1!C36)</f>
        <v>0</v>
      </c>
      <c r="H36" s="179">
        <f t="shared" si="0"/>
        <v>0</v>
      </c>
      <c r="I36" s="179">
        <v>0</v>
      </c>
    </row>
    <row r="37" spans="3:9" x14ac:dyDescent="0.3">
      <c r="C37" s="1" t="s">
        <v>2205</v>
      </c>
      <c r="D37" s="1" t="s">
        <v>2205</v>
      </c>
      <c r="E37" s="179">
        <v>0</v>
      </c>
      <c r="F37" s="179">
        <v>0</v>
      </c>
      <c r="G37" s="179">
        <f>+SUMIFS('Additional &amp; Presentation Entry'!$G$11:$G$1048576,'Additional &amp; Presentation Entry'!$F$11:$F$1048576,Sheet1!C37)</f>
        <v>0</v>
      </c>
      <c r="H37" s="179">
        <f t="shared" si="0"/>
        <v>0</v>
      </c>
      <c r="I37" s="179">
        <v>0</v>
      </c>
    </row>
    <row r="38" spans="3:9" x14ac:dyDescent="0.3">
      <c r="C38" s="1" t="s">
        <v>2197</v>
      </c>
      <c r="D38" s="1" t="s">
        <v>2197</v>
      </c>
      <c r="E38" s="179">
        <v>466556.32</v>
      </c>
      <c r="F38" s="179">
        <v>0</v>
      </c>
      <c r="G38" s="179">
        <f>+SUMIFS('Additional &amp; Presentation Entry'!$G$11:$G$1048576,'Additional &amp; Presentation Entry'!$F$11:$F$1048576,Sheet1!C38)</f>
        <v>0</v>
      </c>
      <c r="H38" s="179">
        <f t="shared" si="0"/>
        <v>0</v>
      </c>
      <c r="I38" s="179">
        <v>0</v>
      </c>
    </row>
    <row r="39" spans="3:9" x14ac:dyDescent="0.3">
      <c r="C39" s="1" t="s">
        <v>2206</v>
      </c>
      <c r="D39" s="1" t="s">
        <v>2206</v>
      </c>
      <c r="E39" s="179">
        <v>0</v>
      </c>
      <c r="F39" s="179">
        <v>0</v>
      </c>
      <c r="G39" s="179">
        <f>+SUMIFS('Additional &amp; Presentation Entry'!$G$11:$G$1048576,'Additional &amp; Presentation Entry'!$F$11:$F$1048576,Sheet1!C39)</f>
        <v>0</v>
      </c>
      <c r="H39" s="179">
        <f t="shared" si="0"/>
        <v>0</v>
      </c>
      <c r="I39" s="179">
        <v>0</v>
      </c>
    </row>
    <row r="40" spans="3:9" x14ac:dyDescent="0.3">
      <c r="C40" s="1" t="s">
        <v>2209</v>
      </c>
      <c r="D40" s="1" t="s">
        <v>2209</v>
      </c>
      <c r="E40" s="179">
        <v>0</v>
      </c>
      <c r="F40" s="179">
        <v>11191088.6</v>
      </c>
      <c r="G40" s="179">
        <f>+SUMIFS('Additional &amp; Presentation Entry'!$G$11:$G$1048576,'Additional &amp; Presentation Entry'!$F$11:$F$1048576,Sheet1!C40)</f>
        <v>0</v>
      </c>
      <c r="H40" s="179">
        <f t="shared" si="0"/>
        <v>11191088.6</v>
      </c>
      <c r="I40" s="179">
        <v>11191088.6</v>
      </c>
    </row>
    <row r="41" spans="3:9" x14ac:dyDescent="0.3">
      <c r="C41" s="1" t="s">
        <v>3572</v>
      </c>
      <c r="D41" s="1" t="s">
        <v>2210</v>
      </c>
      <c r="E41" s="179">
        <v>-277059.64</v>
      </c>
      <c r="F41" s="179">
        <v>-472696.5</v>
      </c>
      <c r="G41" s="179">
        <f>+SUMIFS('Additional &amp; Presentation Entry'!$G$11:$G$1048576,'Additional &amp; Presentation Entry'!$F$11:$F$1048576,Sheet1!C41)</f>
        <v>0</v>
      </c>
      <c r="H41" s="179">
        <f t="shared" si="0"/>
        <v>-472696.5</v>
      </c>
      <c r="I41" s="179">
        <v>-472696.5</v>
      </c>
    </row>
    <row r="42" spans="3:9" x14ac:dyDescent="0.3">
      <c r="C42" s="1" t="s">
        <v>2211</v>
      </c>
      <c r="D42" s="1" t="s">
        <v>2211</v>
      </c>
      <c r="E42" s="179">
        <v>0</v>
      </c>
      <c r="F42" s="179">
        <v>0</v>
      </c>
      <c r="G42" s="179">
        <f>+SUMIFS('Additional &amp; Presentation Entry'!$G$11:$G$1048576,'Additional &amp; Presentation Entry'!$F$11:$F$1048576,Sheet1!C42)</f>
        <v>0</v>
      </c>
      <c r="H42" s="179">
        <f t="shared" si="0"/>
        <v>0</v>
      </c>
      <c r="I42" s="179">
        <v>0</v>
      </c>
    </row>
    <row r="43" spans="3:9" x14ac:dyDescent="0.3">
      <c r="C43" s="1" t="s">
        <v>3573</v>
      </c>
      <c r="D43" s="1" t="s">
        <v>2215</v>
      </c>
      <c r="E43" s="179">
        <v>8844.35</v>
      </c>
      <c r="F43" s="179">
        <v>8844.35</v>
      </c>
      <c r="G43" s="179">
        <f>+SUMIFS('Additional &amp; Presentation Entry'!$G$11:$G$1048576,'Additional &amp; Presentation Entry'!$F$11:$F$1048576,Sheet1!C43)</f>
        <v>-8844.35</v>
      </c>
      <c r="H43" s="179">
        <f t="shared" si="0"/>
        <v>0</v>
      </c>
      <c r="I43" s="179">
        <v>8844.35</v>
      </c>
    </row>
    <row r="44" spans="3:9" x14ac:dyDescent="0.3">
      <c r="C44" s="1" t="s">
        <v>2217</v>
      </c>
      <c r="D44" s="1" t="s">
        <v>2217</v>
      </c>
      <c r="E44" s="179">
        <v>-690521.39</v>
      </c>
      <c r="F44" s="179">
        <v>0</v>
      </c>
      <c r="G44" s="179">
        <f>+SUMIFS('Additional &amp; Presentation Entry'!$G$11:$G$1048576,'Additional &amp; Presentation Entry'!$F$11:$F$1048576,Sheet1!C44)</f>
        <v>0</v>
      </c>
      <c r="H44" s="179">
        <f t="shared" si="0"/>
        <v>0</v>
      </c>
      <c r="I44" s="179">
        <v>0</v>
      </c>
    </row>
    <row r="45" spans="3:9" x14ac:dyDescent="0.3">
      <c r="C45" s="2347" t="s">
        <v>2222</v>
      </c>
      <c r="D45" s="1" t="s">
        <v>2222</v>
      </c>
      <c r="E45" s="179">
        <v>-4227.04</v>
      </c>
      <c r="F45" s="179">
        <v>-4227.04</v>
      </c>
      <c r="G45" s="179">
        <f>+SUMIFS('Additional &amp; Presentation Entry'!$G$11:$G$1048576,'Additional &amp; Presentation Entry'!$F$11:$F$1048576,Sheet1!C45)</f>
        <v>4227.04</v>
      </c>
      <c r="H45" s="179">
        <f t="shared" si="0"/>
        <v>0</v>
      </c>
      <c r="I45" s="179">
        <v>-4227.04</v>
      </c>
    </row>
    <row r="46" spans="3:9" x14ac:dyDescent="0.3">
      <c r="C46" s="1" t="s">
        <v>2223</v>
      </c>
      <c r="D46" s="1" t="s">
        <v>2223</v>
      </c>
      <c r="E46" s="179">
        <v>0</v>
      </c>
      <c r="F46" s="179">
        <v>315963</v>
      </c>
      <c r="G46" s="179">
        <f>+SUMIFS('Additional &amp; Presentation Entry'!$G$11:$G$1048576,'Additional &amp; Presentation Entry'!$F$11:$F$1048576,Sheet1!C46)</f>
        <v>0</v>
      </c>
      <c r="H46" s="179">
        <f t="shared" si="0"/>
        <v>315963</v>
      </c>
      <c r="I46" s="179">
        <v>315963</v>
      </c>
    </row>
    <row r="47" spans="3:9" x14ac:dyDescent="0.3">
      <c r="C47" s="1" t="s">
        <v>3574</v>
      </c>
      <c r="D47" s="1" t="s">
        <v>3052</v>
      </c>
      <c r="E47" s="179">
        <v>-157736.71</v>
      </c>
      <c r="F47" s="179">
        <v>-4223881.53</v>
      </c>
      <c r="G47" s="179">
        <f>+SUMIFS('Additional &amp; Presentation Entry'!$G$11:$G$1048576,'Additional &amp; Presentation Entry'!$F$11:$F$1048576,Sheet1!C47)</f>
        <v>0</v>
      </c>
      <c r="H47" s="179">
        <f t="shared" si="0"/>
        <v>-4223881.53</v>
      </c>
      <c r="I47" s="179">
        <v>-4223881.53</v>
      </c>
    </row>
    <row r="48" spans="3:9" x14ac:dyDescent="0.3">
      <c r="C48" s="1" t="s">
        <v>3053</v>
      </c>
      <c r="D48" s="1" t="s">
        <v>3053</v>
      </c>
      <c r="E48" s="179">
        <v>-109946.8</v>
      </c>
      <c r="F48" s="179">
        <v>0</v>
      </c>
      <c r="G48" s="179">
        <f>+SUMIFS('Additional &amp; Presentation Entry'!$G$11:$G$1048576,'Additional &amp; Presentation Entry'!$F$11:$F$1048576,Sheet1!C48)</f>
        <v>0</v>
      </c>
      <c r="H48" s="179">
        <f t="shared" si="0"/>
        <v>0</v>
      </c>
      <c r="I48" s="179">
        <v>0</v>
      </c>
    </row>
    <row r="49" spans="3:9" x14ac:dyDescent="0.3">
      <c r="C49" s="1" t="s">
        <v>2227</v>
      </c>
      <c r="D49" s="1" t="s">
        <v>2227</v>
      </c>
      <c r="E49" s="179">
        <v>0</v>
      </c>
      <c r="F49" s="179">
        <v>-0.16</v>
      </c>
      <c r="G49" s="179">
        <f>+SUMIFS('Additional &amp; Presentation Entry'!$G$11:$G$1048576,'Additional &amp; Presentation Entry'!$F$11:$F$1048576,Sheet1!C49)</f>
        <v>0</v>
      </c>
      <c r="H49" s="179">
        <f t="shared" si="0"/>
        <v>-0.16</v>
      </c>
      <c r="I49" s="179">
        <v>-0.16</v>
      </c>
    </row>
    <row r="50" spans="3:9" x14ac:dyDescent="0.3">
      <c r="C50" s="1" t="s">
        <v>3575</v>
      </c>
      <c r="D50" s="1" t="s">
        <v>2253</v>
      </c>
      <c r="E50" s="179">
        <v>35941</v>
      </c>
      <c r="F50" s="179">
        <v>35941</v>
      </c>
      <c r="G50" s="179">
        <f>+SUMIFS('Additional &amp; Presentation Entry'!$G$11:$G$1048576,'Additional &amp; Presentation Entry'!$F$11:$F$1048576,Sheet1!C50)</f>
        <v>126084.395532</v>
      </c>
      <c r="H50" s="179">
        <f t="shared" si="0"/>
        <v>162025.395532</v>
      </c>
      <c r="I50" s="179">
        <v>35941</v>
      </c>
    </row>
    <row r="51" spans="3:9" x14ac:dyDescent="0.3">
      <c r="C51" s="1" t="s">
        <v>3055</v>
      </c>
      <c r="D51" s="1" t="s">
        <v>3055</v>
      </c>
      <c r="E51" s="179">
        <v>0</v>
      </c>
      <c r="F51" s="179">
        <v>-12702.41</v>
      </c>
      <c r="G51" s="179">
        <f>+SUMIFS('Additional &amp; Presentation Entry'!$G$11:$G$1048576,'Additional &amp; Presentation Entry'!$F$11:$F$1048576,Sheet1!C51)</f>
        <v>0</v>
      </c>
      <c r="H51" s="179">
        <f t="shared" si="0"/>
        <v>-12702.41</v>
      </c>
      <c r="I51" s="179">
        <v>-12702.41</v>
      </c>
    </row>
    <row r="52" spans="3:9" x14ac:dyDescent="0.3">
      <c r="C52" s="1" t="s">
        <v>3056</v>
      </c>
      <c r="D52" s="1" t="s">
        <v>3056</v>
      </c>
      <c r="E52" s="179">
        <v>0</v>
      </c>
      <c r="F52" s="179">
        <v>17808</v>
      </c>
      <c r="G52" s="179">
        <f>+SUMIFS('Additional &amp; Presentation Entry'!$G$11:$G$1048576,'Additional &amp; Presentation Entry'!$F$11:$F$1048576,Sheet1!C52)</f>
        <v>-302.64999999999998</v>
      </c>
      <c r="H52" s="179">
        <f t="shared" si="0"/>
        <v>17505.349999999999</v>
      </c>
      <c r="I52" s="179">
        <v>17808</v>
      </c>
    </row>
    <row r="53" spans="3:9" x14ac:dyDescent="0.3">
      <c r="C53" s="1" t="s">
        <v>3054</v>
      </c>
      <c r="D53" s="1" t="s">
        <v>3054</v>
      </c>
      <c r="E53" s="179">
        <v>0</v>
      </c>
      <c r="F53" s="179">
        <v>101250</v>
      </c>
      <c r="G53" s="179">
        <f>+SUMIFS('Additional &amp; Presentation Entry'!$G$11:$G$1048576,'Additional &amp; Presentation Entry'!$F$11:$F$1048576,Sheet1!C53)</f>
        <v>-52386</v>
      </c>
      <c r="H53" s="179">
        <f t="shared" si="0"/>
        <v>48864</v>
      </c>
      <c r="I53" s="179">
        <v>101250</v>
      </c>
    </row>
    <row r="54" spans="3:9" x14ac:dyDescent="0.3">
      <c r="C54" s="1" t="s">
        <v>2258</v>
      </c>
      <c r="D54" s="1" t="s">
        <v>2258</v>
      </c>
      <c r="E54" s="179">
        <v>10848</v>
      </c>
      <c r="F54" s="179">
        <v>10848</v>
      </c>
      <c r="G54" s="179">
        <f>+SUMIFS('Additional &amp; Presentation Entry'!$G$11:$G$1048576,'Additional &amp; Presentation Entry'!$F$11:$F$1048576,Sheet1!C54)</f>
        <v>-6852</v>
      </c>
      <c r="H54" s="179">
        <f t="shared" si="0"/>
        <v>3996</v>
      </c>
      <c r="I54" s="179">
        <v>10848</v>
      </c>
    </row>
    <row r="55" spans="3:9" x14ac:dyDescent="0.3">
      <c r="C55" s="1" t="s">
        <v>3566</v>
      </c>
      <c r="D55" s="1" t="s">
        <v>2259</v>
      </c>
      <c r="E55" s="179">
        <v>334</v>
      </c>
      <c r="F55" s="179">
        <v>334</v>
      </c>
      <c r="G55" s="179">
        <f>+SUMIFS('Additional &amp; Presentation Entry'!$G$11:$G$1048576,'Additional &amp; Presentation Entry'!$F$11:$F$1048576,Sheet1!C55)</f>
        <v>-28</v>
      </c>
      <c r="H55" s="179">
        <f t="shared" si="0"/>
        <v>306</v>
      </c>
      <c r="I55" s="179">
        <v>334</v>
      </c>
    </row>
    <row r="56" spans="3:9" x14ac:dyDescent="0.3">
      <c r="C56" s="1" t="s">
        <v>3577</v>
      </c>
      <c r="D56" s="1" t="s">
        <v>2239</v>
      </c>
      <c r="E56" s="179">
        <v>300</v>
      </c>
      <c r="F56" s="179">
        <v>300</v>
      </c>
      <c r="G56" s="179">
        <f>+SUMIFS('Additional &amp; Presentation Entry'!$G$11:$G$1048576,'Additional &amp; Presentation Entry'!$F$11:$F$1048576,Sheet1!C56)</f>
        <v>0</v>
      </c>
      <c r="H56" s="179">
        <f t="shared" si="0"/>
        <v>300</v>
      </c>
      <c r="I56" s="179">
        <v>300</v>
      </c>
    </row>
    <row r="57" spans="3:9" x14ac:dyDescent="0.3">
      <c r="C57" s="1" t="s">
        <v>3578</v>
      </c>
      <c r="D57" s="1" t="s">
        <v>2260</v>
      </c>
      <c r="E57" s="179">
        <v>15000</v>
      </c>
      <c r="F57" s="179">
        <v>15000</v>
      </c>
      <c r="G57" s="179">
        <f>+SUMIFS('Additional &amp; Presentation Entry'!$G$11:$G$1048576,'Additional &amp; Presentation Entry'!$F$11:$F$1048576,Sheet1!C57)</f>
        <v>0</v>
      </c>
      <c r="H57" s="179">
        <f t="shared" si="0"/>
        <v>15000</v>
      </c>
      <c r="I57" s="179">
        <v>15000</v>
      </c>
    </row>
    <row r="58" spans="3:9" x14ac:dyDescent="0.3">
      <c r="C58" s="1" t="s">
        <v>2262</v>
      </c>
      <c r="D58" s="1" t="s">
        <v>2262</v>
      </c>
      <c r="E58" s="179">
        <v>1064000</v>
      </c>
      <c r="F58" s="179">
        <v>1064000</v>
      </c>
      <c r="G58" s="179">
        <f>+SUMIFS('Additional &amp; Presentation Entry'!$G$11:$G$1048576,'Additional &amp; Presentation Entry'!$F$11:$F$1048576,Sheet1!C58)</f>
        <v>0</v>
      </c>
      <c r="H58" s="179">
        <f t="shared" si="0"/>
        <v>1064000</v>
      </c>
      <c r="I58" s="179">
        <v>1064000</v>
      </c>
    </row>
    <row r="59" spans="3:9" x14ac:dyDescent="0.3">
      <c r="C59" s="1" t="s">
        <v>3579</v>
      </c>
      <c r="D59" s="1" t="s">
        <v>2263</v>
      </c>
      <c r="E59" s="179">
        <v>600000</v>
      </c>
      <c r="F59" s="179">
        <v>744600</v>
      </c>
      <c r="G59" s="179">
        <f>+SUMIFS('Additional &amp; Presentation Entry'!$G$11:$G$1048576,'Additional &amp; Presentation Entry'!$F$11:$F$1048576,Sheet1!C59)</f>
        <v>0</v>
      </c>
      <c r="H59" s="179">
        <f t="shared" si="0"/>
        <v>744600</v>
      </c>
      <c r="I59" s="179">
        <v>744600</v>
      </c>
    </row>
    <row r="60" spans="3:9" x14ac:dyDescent="0.3">
      <c r="C60" s="1" t="s">
        <v>2264</v>
      </c>
      <c r="D60" s="1" t="s">
        <v>2264</v>
      </c>
      <c r="E60" s="179">
        <v>0</v>
      </c>
      <c r="F60" s="179">
        <v>91954.64</v>
      </c>
      <c r="G60" s="179">
        <f>+SUMIFS('Additional &amp; Presentation Entry'!$G$11:$G$1048576,'Additional &amp; Presentation Entry'!$F$11:$F$1048576,Sheet1!C60)</f>
        <v>-2871.6400000000003</v>
      </c>
      <c r="H60" s="179">
        <f t="shared" si="0"/>
        <v>89083</v>
      </c>
      <c r="I60" s="179">
        <v>91954.64</v>
      </c>
    </row>
    <row r="61" spans="3:9" x14ac:dyDescent="0.3">
      <c r="C61" s="1" t="s">
        <v>3057</v>
      </c>
      <c r="D61" s="1" t="s">
        <v>3057</v>
      </c>
      <c r="E61" s="179">
        <v>0</v>
      </c>
      <c r="F61" s="179">
        <v>-659968.44999999995</v>
      </c>
      <c r="G61" s="179">
        <f>+SUMIFS('Additional &amp; Presentation Entry'!$G$11:$G$1048576,'Additional &amp; Presentation Entry'!$F$11:$F$1048576,Sheet1!C61)</f>
        <v>0</v>
      </c>
      <c r="H61" s="179">
        <f t="shared" si="0"/>
        <v>-659968.44999999995</v>
      </c>
      <c r="I61" s="179">
        <v>-659968.44999999995</v>
      </c>
    </row>
    <row r="62" spans="3:9" x14ac:dyDescent="0.3">
      <c r="C62" s="1" t="s">
        <v>2265</v>
      </c>
      <c r="D62" s="1" t="s">
        <v>2265</v>
      </c>
      <c r="E62" s="179">
        <v>-10856</v>
      </c>
      <c r="F62" s="179">
        <v>0</v>
      </c>
      <c r="G62" s="179">
        <f>+SUMIFS('Additional &amp; Presentation Entry'!$G$11:$G$1048576,'Additional &amp; Presentation Entry'!$F$11:$F$1048576,Sheet1!C62)</f>
        <v>0</v>
      </c>
      <c r="H62" s="179">
        <f t="shared" si="0"/>
        <v>0</v>
      </c>
      <c r="I62" s="179">
        <v>0</v>
      </c>
    </row>
    <row r="63" spans="3:9" x14ac:dyDescent="0.3">
      <c r="C63" s="1" t="s">
        <v>3058</v>
      </c>
      <c r="D63" s="1" t="s">
        <v>3058</v>
      </c>
      <c r="E63" s="179">
        <v>0</v>
      </c>
      <c r="F63" s="179">
        <v>-19306.740000000002</v>
      </c>
      <c r="G63" s="179">
        <f>+SUMIFS('Additional &amp; Presentation Entry'!$G$11:$G$1048576,'Additional &amp; Presentation Entry'!$F$11:$F$1048576,Sheet1!C63)</f>
        <v>0</v>
      </c>
      <c r="H63" s="179">
        <f t="shared" si="0"/>
        <v>-19306.740000000002</v>
      </c>
      <c r="I63" s="179">
        <v>-19306.740000000002</v>
      </c>
    </row>
    <row r="64" spans="3:9" x14ac:dyDescent="0.3">
      <c r="C64" s="1" t="s">
        <v>2285</v>
      </c>
      <c r="D64" s="1" t="s">
        <v>2285</v>
      </c>
      <c r="E64" s="179">
        <v>0</v>
      </c>
      <c r="F64" s="179">
        <v>430</v>
      </c>
      <c r="G64" s="179">
        <f>+SUMIFS('Additional &amp; Presentation Entry'!$G$11:$G$1048576,'Additional &amp; Presentation Entry'!$F$11:$F$1048576,Sheet1!C64)</f>
        <v>-430</v>
      </c>
      <c r="H64" s="179">
        <f t="shared" si="0"/>
        <v>0</v>
      </c>
      <c r="I64" s="179">
        <v>430</v>
      </c>
    </row>
    <row r="65" spans="3:9" x14ac:dyDescent="0.3">
      <c r="C65" s="1" t="s">
        <v>3060</v>
      </c>
      <c r="D65" s="1" t="s">
        <v>3060</v>
      </c>
      <c r="E65" s="179">
        <v>0</v>
      </c>
      <c r="F65" s="179">
        <v>-704449.22</v>
      </c>
      <c r="G65" s="179">
        <f>+SUMIFS('Additional &amp; Presentation Entry'!$G$11:$G$1048576,'Additional &amp; Presentation Entry'!$F$11:$F$1048576,Sheet1!C65)</f>
        <v>704449.22</v>
      </c>
      <c r="H65" s="179">
        <f t="shared" si="0"/>
        <v>0</v>
      </c>
      <c r="I65" s="179">
        <v>-704449.22</v>
      </c>
    </row>
    <row r="66" spans="3:9" x14ac:dyDescent="0.3">
      <c r="C66" s="1" t="s">
        <v>3061</v>
      </c>
      <c r="D66" s="1" t="s">
        <v>3061</v>
      </c>
      <c r="E66" s="179">
        <v>0</v>
      </c>
      <c r="F66" s="179">
        <v>83724.009999999995</v>
      </c>
      <c r="G66" s="179">
        <f>+SUMIFS('Additional &amp; Presentation Entry'!$G$11:$G$1048576,'Additional &amp; Presentation Entry'!$F$11:$F$1048576,Sheet1!C66)</f>
        <v>-13719.23</v>
      </c>
      <c r="H66" s="179">
        <f t="shared" si="0"/>
        <v>70004.78</v>
      </c>
      <c r="I66" s="179">
        <v>83724.009999999995</v>
      </c>
    </row>
    <row r="67" spans="3:9" x14ac:dyDescent="0.3">
      <c r="C67" s="1" t="s">
        <v>2290</v>
      </c>
      <c r="D67" s="1" t="s">
        <v>2290</v>
      </c>
      <c r="E67" s="179">
        <v>0</v>
      </c>
      <c r="F67" s="179">
        <v>3557</v>
      </c>
      <c r="G67" s="179">
        <f>+SUMIFS('Additional &amp; Presentation Entry'!$G$11:$G$1048576,'Additional &amp; Presentation Entry'!$F$11:$F$1048576,Sheet1!C67)</f>
        <v>0</v>
      </c>
      <c r="H67" s="179">
        <f t="shared" si="0"/>
        <v>3557</v>
      </c>
      <c r="I67" s="179">
        <v>3557</v>
      </c>
    </row>
    <row r="68" spans="3:9" x14ac:dyDescent="0.3">
      <c r="C68" s="1" t="s">
        <v>3059</v>
      </c>
      <c r="D68" s="1" t="s">
        <v>3059</v>
      </c>
      <c r="E68" s="179">
        <v>-6947999.1699999999</v>
      </c>
      <c r="F68" s="179">
        <v>0</v>
      </c>
      <c r="G68" s="179">
        <f>+SUMIFS('Additional &amp; Presentation Entry'!$G$11:$G$1048576,'Additional &amp; Presentation Entry'!$F$11:$F$1048576,Sheet1!C68)</f>
        <v>0</v>
      </c>
      <c r="H68" s="179">
        <f t="shared" si="0"/>
        <v>0</v>
      </c>
      <c r="I68" s="179">
        <v>0</v>
      </c>
    </row>
    <row r="69" spans="3:9" x14ac:dyDescent="0.3">
      <c r="C69" s="1" t="s">
        <v>2291</v>
      </c>
      <c r="D69" s="1" t="s">
        <v>2291</v>
      </c>
      <c r="E69" s="179">
        <v>-15000000</v>
      </c>
      <c r="F69" s="179">
        <v>-15000000</v>
      </c>
      <c r="G69" s="179">
        <f>+SUMIFS('Additional &amp; Presentation Entry'!$G$11:$G$1048576,'Additional &amp; Presentation Entry'!$F$11:$F$1048576,Sheet1!C69)</f>
        <v>0</v>
      </c>
      <c r="H69" s="179">
        <f t="shared" si="0"/>
        <v>-15000000</v>
      </c>
      <c r="I69" s="179">
        <v>-15000000</v>
      </c>
    </row>
    <row r="70" spans="3:9" x14ac:dyDescent="0.3">
      <c r="C70" s="1" t="s">
        <v>2293</v>
      </c>
      <c r="D70" s="1" t="s">
        <v>2293</v>
      </c>
      <c r="E70" s="179">
        <v>-4765580</v>
      </c>
      <c r="F70" s="179">
        <v>0</v>
      </c>
      <c r="G70" s="179">
        <f>+SUMIFS('Additional &amp; Presentation Entry'!$G$11:$G$1048576,'Additional &amp; Presentation Entry'!$F$11:$F$1048576,Sheet1!C70)</f>
        <v>0</v>
      </c>
      <c r="H70" s="179">
        <f t="shared" si="0"/>
        <v>0</v>
      </c>
      <c r="I70" s="179">
        <v>0</v>
      </c>
    </row>
    <row r="71" spans="3:9" x14ac:dyDescent="0.3">
      <c r="C71" s="1" t="s">
        <v>2295</v>
      </c>
      <c r="D71" s="1" t="s">
        <v>2295</v>
      </c>
      <c r="E71" s="179">
        <v>-72883.039999999994</v>
      </c>
      <c r="F71" s="179">
        <v>0</v>
      </c>
      <c r="G71" s="179">
        <f>+SUMIFS('Additional &amp; Presentation Entry'!$G$11:$G$1048576,'Additional &amp; Presentation Entry'!$F$11:$F$1048576,Sheet1!C71)</f>
        <v>0</v>
      </c>
      <c r="H71" s="179">
        <f t="shared" ref="H71:H134" si="1">+F71+G71</f>
        <v>0</v>
      </c>
      <c r="I71" s="179">
        <v>0</v>
      </c>
    </row>
    <row r="72" spans="3:9" x14ac:dyDescent="0.3">
      <c r="C72" s="1" t="s">
        <v>2301</v>
      </c>
      <c r="D72" s="1" t="s">
        <v>2301</v>
      </c>
      <c r="E72" s="179">
        <v>0</v>
      </c>
      <c r="F72" s="179">
        <v>-42592703.700000003</v>
      </c>
      <c r="G72" s="179">
        <f>+SUMIFS('Additional &amp; Presentation Entry'!$G$11:$G$1048576,'Additional &amp; Presentation Entry'!$F$11:$F$1048576,Sheet1!C72)</f>
        <v>0</v>
      </c>
      <c r="H72" s="179">
        <f t="shared" si="1"/>
        <v>-42592703.700000003</v>
      </c>
      <c r="I72" s="179">
        <v>-42592703.700000003</v>
      </c>
    </row>
    <row r="73" spans="3:9" x14ac:dyDescent="0.3">
      <c r="C73" s="1" t="s">
        <v>2303</v>
      </c>
      <c r="D73" s="1" t="s">
        <v>2303</v>
      </c>
      <c r="E73" s="179">
        <v>0</v>
      </c>
      <c r="F73" s="179">
        <v>-840206.36</v>
      </c>
      <c r="G73" s="179">
        <f>+SUMIFS('Additional &amp; Presentation Entry'!$G$11:$G$1048576,'Additional &amp; Presentation Entry'!$F$11:$F$1048576,Sheet1!C73)</f>
        <v>586241.13</v>
      </c>
      <c r="H73" s="179">
        <f t="shared" si="1"/>
        <v>-253965.22999999998</v>
      </c>
      <c r="I73" s="179">
        <v>-840206.36</v>
      </c>
    </row>
    <row r="74" spans="3:9" x14ac:dyDescent="0.3">
      <c r="C74" s="1" t="s">
        <v>2304</v>
      </c>
      <c r="D74" s="1" t="s">
        <v>2304</v>
      </c>
      <c r="E74" s="179">
        <v>0</v>
      </c>
      <c r="F74" s="179">
        <v>-729987.1</v>
      </c>
      <c r="G74" s="179">
        <f>+SUMIFS('Additional &amp; Presentation Entry'!$G$11:$G$1048576,'Additional &amp; Presentation Entry'!$F$11:$F$1048576,Sheet1!C74)</f>
        <v>0</v>
      </c>
      <c r="H74" s="179">
        <f t="shared" si="1"/>
        <v>-729987.1</v>
      </c>
      <c r="I74" s="179">
        <v>-729987.1</v>
      </c>
    </row>
    <row r="75" spans="3:9" x14ac:dyDescent="0.3">
      <c r="C75" s="1" t="s">
        <v>2305</v>
      </c>
      <c r="D75" s="1" t="s">
        <v>2305</v>
      </c>
      <c r="E75" s="179">
        <v>0</v>
      </c>
      <c r="F75" s="179">
        <v>-4288002.32</v>
      </c>
      <c r="G75" s="179">
        <f>+SUMIFS('Additional &amp; Presentation Entry'!$G$11:$G$1048576,'Additional &amp; Presentation Entry'!$F$11:$F$1048576,Sheet1!C75)</f>
        <v>274757.32</v>
      </c>
      <c r="H75" s="179">
        <f t="shared" si="1"/>
        <v>-4013245.0000000005</v>
      </c>
      <c r="I75" s="179">
        <v>-4288002.32</v>
      </c>
    </row>
    <row r="76" spans="3:9" x14ac:dyDescent="0.3">
      <c r="C76" s="1" t="s">
        <v>2306</v>
      </c>
      <c r="D76" s="1" t="s">
        <v>2306</v>
      </c>
      <c r="E76" s="179">
        <v>0</v>
      </c>
      <c r="F76" s="179">
        <v>-904622.16</v>
      </c>
      <c r="G76" s="179">
        <f>+SUMIFS('Additional &amp; Presentation Entry'!$G$11:$G$1048576,'Additional &amp; Presentation Entry'!$F$11:$F$1048576,Sheet1!C76)</f>
        <v>0</v>
      </c>
      <c r="H76" s="179">
        <f t="shared" si="1"/>
        <v>-904622.16</v>
      </c>
      <c r="I76" s="179">
        <v>-904622.16</v>
      </c>
    </row>
    <row r="77" spans="3:9" x14ac:dyDescent="0.3">
      <c r="C77" s="1" t="s">
        <v>2317</v>
      </c>
      <c r="D77" s="1" t="s">
        <v>2317</v>
      </c>
      <c r="E77" s="179">
        <v>0.1</v>
      </c>
      <c r="F77" s="179">
        <v>214.7</v>
      </c>
      <c r="G77" s="179">
        <f>+SUMIFS('Additional &amp; Presentation Entry'!$G$11:$G$1048576,'Additional &amp; Presentation Entry'!$F$11:$F$1048576,Sheet1!C77)</f>
        <v>0</v>
      </c>
      <c r="H77" s="179">
        <f t="shared" si="1"/>
        <v>214.7</v>
      </c>
      <c r="I77" s="179">
        <v>214.7</v>
      </c>
    </row>
    <row r="78" spans="3:9" x14ac:dyDescent="0.3">
      <c r="C78" s="1" t="s">
        <v>2312</v>
      </c>
      <c r="D78" s="1" t="s">
        <v>2312</v>
      </c>
      <c r="E78" s="179">
        <v>93458728</v>
      </c>
      <c r="F78" s="179">
        <v>117493101</v>
      </c>
      <c r="G78" s="179">
        <f>+SUMIFS('Additional &amp; Presentation Entry'!$G$11:$G$1048576,'Additional &amp; Presentation Entry'!$F$11:$F$1048576,Sheet1!C78)</f>
        <v>4774373</v>
      </c>
      <c r="H78" s="179">
        <f t="shared" si="1"/>
        <v>122267474</v>
      </c>
      <c r="I78" s="179">
        <v>117493101</v>
      </c>
    </row>
    <row r="79" spans="3:9" x14ac:dyDescent="0.3">
      <c r="C79" s="1" t="s">
        <v>2320</v>
      </c>
      <c r="D79" s="1" t="s">
        <v>2320</v>
      </c>
      <c r="E79" s="179">
        <v>0</v>
      </c>
      <c r="F79" s="179">
        <v>0.08</v>
      </c>
      <c r="G79" s="179">
        <f>+SUMIFS('Additional &amp; Presentation Entry'!$G$11:$G$1048576,'Additional &amp; Presentation Entry'!$F$11:$F$1048576,Sheet1!C79)</f>
        <v>0</v>
      </c>
      <c r="H79" s="179">
        <f t="shared" si="1"/>
        <v>0.08</v>
      </c>
      <c r="I79" s="179">
        <v>0.08</v>
      </c>
    </row>
    <row r="80" spans="3:9" x14ac:dyDescent="0.3">
      <c r="C80" s="1" t="s">
        <v>2321</v>
      </c>
      <c r="D80" s="1" t="s">
        <v>2321</v>
      </c>
      <c r="E80" s="179">
        <v>0</v>
      </c>
      <c r="F80" s="179">
        <v>0</v>
      </c>
      <c r="G80" s="179">
        <f>+SUMIFS('Additional &amp; Presentation Entry'!$G$11:$G$1048576,'Additional &amp; Presentation Entry'!$F$11:$F$1048576,Sheet1!C80)</f>
        <v>0</v>
      </c>
      <c r="H80" s="179">
        <f t="shared" si="1"/>
        <v>0</v>
      </c>
      <c r="I80" s="179">
        <v>0</v>
      </c>
    </row>
    <row r="81" spans="3:9" x14ac:dyDescent="0.3">
      <c r="C81" s="1" t="s">
        <v>2316</v>
      </c>
      <c r="D81" s="1" t="s">
        <v>2316</v>
      </c>
      <c r="E81" s="179">
        <v>0</v>
      </c>
      <c r="F81" s="179">
        <v>0</v>
      </c>
      <c r="G81" s="179">
        <f>+SUMIFS('Additional &amp; Presentation Entry'!$G$11:$G$1048576,'Additional &amp; Presentation Entry'!$F$11:$F$1048576,Sheet1!C81)</f>
        <v>0</v>
      </c>
      <c r="H81" s="179">
        <f t="shared" si="1"/>
        <v>0</v>
      </c>
      <c r="I81" s="179">
        <v>0</v>
      </c>
    </row>
    <row r="82" spans="3:9" x14ac:dyDescent="0.3">
      <c r="C82" s="1" t="s">
        <v>2322</v>
      </c>
      <c r="D82" s="1" t="s">
        <v>2322</v>
      </c>
      <c r="E82" s="179">
        <v>0</v>
      </c>
      <c r="F82" s="179">
        <v>223952.01</v>
      </c>
      <c r="G82" s="179">
        <f>+SUMIFS('Additional &amp; Presentation Entry'!$G$11:$G$1048576,'Additional &amp; Presentation Entry'!$F$11:$F$1048576,Sheet1!C82)</f>
        <v>586061.87943400245</v>
      </c>
      <c r="H82" s="179">
        <f t="shared" si="1"/>
        <v>810013.88943400246</v>
      </c>
      <c r="I82" s="179">
        <v>223952.01</v>
      </c>
    </row>
    <row r="83" spans="3:9" x14ac:dyDescent="0.3">
      <c r="C83" s="1" t="s">
        <v>3062</v>
      </c>
      <c r="D83" s="1" t="s">
        <v>3062</v>
      </c>
      <c r="E83" s="179">
        <v>0</v>
      </c>
      <c r="F83" s="179">
        <v>49248.1</v>
      </c>
      <c r="G83" s="179">
        <f>+SUMIFS('Additional &amp; Presentation Entry'!$G$11:$G$1048576,'Additional &amp; Presentation Entry'!$F$11:$F$1048576,Sheet1!C83)</f>
        <v>-669</v>
      </c>
      <c r="H83" s="179">
        <f t="shared" si="1"/>
        <v>48579.1</v>
      </c>
      <c r="I83" s="179">
        <v>49248.9</v>
      </c>
    </row>
    <row r="84" spans="3:9" x14ac:dyDescent="0.3">
      <c r="C84" s="1" t="s">
        <v>2324</v>
      </c>
      <c r="D84" s="1" t="s">
        <v>2324</v>
      </c>
      <c r="E84" s="179">
        <v>0</v>
      </c>
      <c r="F84" s="179">
        <v>5197.1499999999996</v>
      </c>
      <c r="G84" s="179">
        <f>+SUMIFS('Additional &amp; Presentation Entry'!$G$11:$G$1048576,'Additional &amp; Presentation Entry'!$F$11:$F$1048576,Sheet1!C84)</f>
        <v>0</v>
      </c>
      <c r="H84" s="179">
        <f t="shared" si="1"/>
        <v>5197.1499999999996</v>
      </c>
      <c r="I84" s="179">
        <v>5197.1499999999996</v>
      </c>
    </row>
    <row r="85" spans="3:9" x14ac:dyDescent="0.3">
      <c r="C85" s="1" t="s">
        <v>2325</v>
      </c>
      <c r="D85" s="1" t="s">
        <v>2325</v>
      </c>
      <c r="E85" s="179">
        <v>0</v>
      </c>
      <c r="F85" s="179">
        <v>63969.49</v>
      </c>
      <c r="G85" s="179">
        <f>+SUMIFS('Additional &amp; Presentation Entry'!$G$11:$G$1048576,'Additional &amp; Presentation Entry'!$F$11:$F$1048576,Sheet1!C85)</f>
        <v>0</v>
      </c>
      <c r="H85" s="179">
        <f t="shared" si="1"/>
        <v>63969.49</v>
      </c>
      <c r="I85" s="179">
        <v>63969.49</v>
      </c>
    </row>
    <row r="86" spans="3:9" x14ac:dyDescent="0.3">
      <c r="C86" s="1" t="s">
        <v>2358</v>
      </c>
      <c r="D86" s="1" t="s">
        <v>2358</v>
      </c>
      <c r="E86" s="179">
        <v>27840</v>
      </c>
      <c r="F86" s="179">
        <v>0</v>
      </c>
      <c r="G86" s="179">
        <f>+SUMIFS('Additional &amp; Presentation Entry'!$G$11:$G$1048576,'Additional &amp; Presentation Entry'!$F$11:$F$1048576,Sheet1!C86)</f>
        <v>0</v>
      </c>
      <c r="H86" s="179">
        <f t="shared" si="1"/>
        <v>0</v>
      </c>
      <c r="I86" s="179">
        <v>0</v>
      </c>
    </row>
    <row r="87" spans="3:9" x14ac:dyDescent="0.3">
      <c r="C87" s="1" t="s">
        <v>3065</v>
      </c>
      <c r="D87" s="1" t="s">
        <v>3065</v>
      </c>
      <c r="E87" s="179">
        <v>0</v>
      </c>
      <c r="F87" s="179">
        <v>-3347.82</v>
      </c>
      <c r="G87" s="179">
        <f>+SUMIFS('Additional &amp; Presentation Entry'!$G$11:$G$1048576,'Additional &amp; Presentation Entry'!$F$11:$F$1048576,Sheet1!C87)</f>
        <v>0</v>
      </c>
      <c r="H87" s="179">
        <f t="shared" si="1"/>
        <v>-3347.82</v>
      </c>
      <c r="I87" s="179">
        <v>-3347.82</v>
      </c>
    </row>
    <row r="88" spans="3:9" x14ac:dyDescent="0.3">
      <c r="C88" s="1" t="s">
        <v>2360</v>
      </c>
      <c r="D88" s="1" t="s">
        <v>2360</v>
      </c>
      <c r="E88" s="179">
        <v>210866</v>
      </c>
      <c r="F88" s="179">
        <v>213226.1</v>
      </c>
      <c r="G88" s="179">
        <f>+SUMIFS('Additional &amp; Presentation Entry'!$G$11:$G$1048576,'Additional &amp; Presentation Entry'!$F$11:$F$1048576,Sheet1!C88)</f>
        <v>0</v>
      </c>
      <c r="H88" s="179">
        <f t="shared" si="1"/>
        <v>213226.1</v>
      </c>
      <c r="I88" s="179">
        <v>213226.1</v>
      </c>
    </row>
    <row r="89" spans="3:9" x14ac:dyDescent="0.3">
      <c r="C89" s="1" t="s">
        <v>2361</v>
      </c>
      <c r="D89" s="1" t="s">
        <v>2361</v>
      </c>
      <c r="E89" s="179">
        <v>0</v>
      </c>
      <c r="F89" s="179">
        <v>0</v>
      </c>
      <c r="G89" s="179">
        <f>+SUMIFS('Additional &amp; Presentation Entry'!$G$11:$G$1048576,'Additional &amp; Presentation Entry'!$F$11:$F$1048576,Sheet1!C89)</f>
        <v>316630</v>
      </c>
      <c r="H89" s="179">
        <f t="shared" si="1"/>
        <v>316630</v>
      </c>
      <c r="I89" s="179">
        <v>0</v>
      </c>
    </row>
    <row r="90" spans="3:9" x14ac:dyDescent="0.3">
      <c r="C90" s="1" t="s">
        <v>2334</v>
      </c>
      <c r="D90" s="1" t="s">
        <v>2334</v>
      </c>
      <c r="E90" s="179">
        <v>1871535</v>
      </c>
      <c r="F90" s="179">
        <v>1244900</v>
      </c>
      <c r="G90" s="179">
        <f>+SUMIFS('Additional &amp; Presentation Entry'!$G$11:$G$1048576,'Additional &amp; Presentation Entry'!$F$11:$F$1048576,Sheet1!C90)</f>
        <v>-1055</v>
      </c>
      <c r="H90" s="179">
        <f t="shared" si="1"/>
        <v>1243845</v>
      </c>
      <c r="I90" s="179">
        <v>1244900</v>
      </c>
    </row>
    <row r="91" spans="3:9" x14ac:dyDescent="0.3">
      <c r="C91" s="1" t="s">
        <v>3063</v>
      </c>
      <c r="D91" s="1" t="s">
        <v>3063</v>
      </c>
      <c r="E91" s="179">
        <v>0</v>
      </c>
      <c r="F91" s="179">
        <v>1177049</v>
      </c>
      <c r="G91" s="179">
        <f>+SUMIFS('Additional &amp; Presentation Entry'!$G$11:$G$1048576,'Additional &amp; Presentation Entry'!$F$11:$F$1048576,Sheet1!C91)</f>
        <v>10197.790000000001</v>
      </c>
      <c r="H91" s="179">
        <f t="shared" si="1"/>
        <v>1187246.79</v>
      </c>
      <c r="I91" s="179">
        <v>1177049</v>
      </c>
    </row>
    <row r="92" spans="3:9" x14ac:dyDescent="0.3">
      <c r="C92" s="1" t="s">
        <v>2337</v>
      </c>
      <c r="D92" s="1" t="s">
        <v>2337</v>
      </c>
      <c r="E92" s="179">
        <v>0</v>
      </c>
      <c r="F92" s="179">
        <v>0</v>
      </c>
      <c r="G92" s="179">
        <f>+SUMIFS('Additional &amp; Presentation Entry'!$G$11:$G$1048576,'Additional &amp; Presentation Entry'!$F$11:$F$1048576,Sheet1!C92)</f>
        <v>677690</v>
      </c>
      <c r="H92" s="179">
        <f t="shared" si="1"/>
        <v>677690</v>
      </c>
      <c r="I92" s="179">
        <v>0</v>
      </c>
    </row>
    <row r="93" spans="3:9" x14ac:dyDescent="0.3">
      <c r="C93" s="1" t="s">
        <v>2346</v>
      </c>
      <c r="D93" s="1" t="s">
        <v>2346</v>
      </c>
      <c r="E93" s="179">
        <v>0</v>
      </c>
      <c r="F93" s="179">
        <v>0</v>
      </c>
      <c r="G93" s="179">
        <f>+SUMIFS('Additional &amp; Presentation Entry'!$G$11:$G$1048576,'Additional &amp; Presentation Entry'!$F$11:$F$1048576,Sheet1!C93)</f>
        <v>0</v>
      </c>
      <c r="H93" s="179">
        <f t="shared" si="1"/>
        <v>0</v>
      </c>
      <c r="I93" s="179">
        <v>0</v>
      </c>
    </row>
    <row r="94" spans="3:9" x14ac:dyDescent="0.3">
      <c r="C94" s="1" t="s">
        <v>3064</v>
      </c>
      <c r="D94" s="1" t="s">
        <v>3064</v>
      </c>
      <c r="E94" s="179">
        <v>0</v>
      </c>
      <c r="F94" s="179">
        <v>-389722.92</v>
      </c>
      <c r="G94" s="179">
        <f>+SUMIFS('Additional &amp; Presentation Entry'!$G$11:$G$1048576,'Additional &amp; Presentation Entry'!$F$11:$F$1048576,Sheet1!C94)</f>
        <v>0</v>
      </c>
      <c r="H94" s="179">
        <f t="shared" si="1"/>
        <v>-389722.92</v>
      </c>
      <c r="I94" s="179">
        <v>-389722.92</v>
      </c>
    </row>
    <row r="95" spans="3:9" x14ac:dyDescent="0.3">
      <c r="C95" s="1" t="s">
        <v>2366</v>
      </c>
      <c r="D95" s="1" t="s">
        <v>2366</v>
      </c>
      <c r="E95" s="179">
        <v>0</v>
      </c>
      <c r="F95" s="179">
        <v>0</v>
      </c>
      <c r="G95" s="179">
        <f>+SUMIFS('Additional &amp; Presentation Entry'!$G$11:$G$1048576,'Additional &amp; Presentation Entry'!$F$11:$F$1048576,Sheet1!C95)</f>
        <v>0</v>
      </c>
      <c r="H95" s="179">
        <f t="shared" si="1"/>
        <v>0</v>
      </c>
      <c r="I95" s="179">
        <v>0</v>
      </c>
    </row>
    <row r="96" spans="3:9" x14ac:dyDescent="0.3">
      <c r="C96" s="1" t="s">
        <v>2367</v>
      </c>
      <c r="D96" s="1" t="s">
        <v>2367</v>
      </c>
      <c r="E96" s="179">
        <v>-8530.7199999999993</v>
      </c>
      <c r="F96" s="179">
        <v>0</v>
      </c>
      <c r="G96" s="179">
        <f>+SUMIFS('Additional &amp; Presentation Entry'!$G$11:$G$1048576,'Additional &amp; Presentation Entry'!$F$11:$F$1048576,Sheet1!C96)</f>
        <v>0</v>
      </c>
      <c r="H96" s="179">
        <f t="shared" si="1"/>
        <v>0</v>
      </c>
      <c r="I96" s="179">
        <v>0</v>
      </c>
    </row>
    <row r="97" spans="3:9" x14ac:dyDescent="0.3">
      <c r="C97" s="1" t="s">
        <v>3066</v>
      </c>
      <c r="D97" s="1" t="s">
        <v>3066</v>
      </c>
      <c r="E97" s="179">
        <v>0</v>
      </c>
      <c r="F97" s="179">
        <v>-2647.01</v>
      </c>
      <c r="G97" s="179">
        <f>+SUMIFS('Additional &amp; Presentation Entry'!$G$11:$G$1048576,'Additional &amp; Presentation Entry'!$F$11:$F$1048576,Sheet1!C97)</f>
        <v>-675042.99</v>
      </c>
      <c r="H97" s="179">
        <f t="shared" si="1"/>
        <v>-677690</v>
      </c>
      <c r="I97" s="179">
        <v>-2647.01</v>
      </c>
    </row>
    <row r="98" spans="3:9" x14ac:dyDescent="0.3">
      <c r="C98" s="1" t="s">
        <v>2368</v>
      </c>
      <c r="D98" s="1" t="s">
        <v>2368</v>
      </c>
      <c r="E98" s="179">
        <v>-39493.25</v>
      </c>
      <c r="F98" s="179">
        <v>-39493.25</v>
      </c>
      <c r="G98" s="179">
        <f>+SUMIFS('Additional &amp; Presentation Entry'!$G$11:$G$1048576,'Additional &amp; Presentation Entry'!$F$11:$F$1048576,Sheet1!C98)</f>
        <v>39493.25</v>
      </c>
      <c r="H98" s="179">
        <f t="shared" si="1"/>
        <v>0</v>
      </c>
      <c r="I98" s="179">
        <v>-39493.25</v>
      </c>
    </row>
    <row r="99" spans="3:9" x14ac:dyDescent="0.3">
      <c r="C99" s="1" t="s">
        <v>2343</v>
      </c>
      <c r="D99" s="1" t="s">
        <v>2343</v>
      </c>
      <c r="E99" s="179">
        <v>0</v>
      </c>
      <c r="F99" s="179">
        <v>0</v>
      </c>
      <c r="G99" s="179">
        <f>+SUMIFS('Additional &amp; Presentation Entry'!$G$11:$G$1048576,'Additional &amp; Presentation Entry'!$F$11:$F$1048576,Sheet1!C99)</f>
        <v>0</v>
      </c>
      <c r="H99" s="179">
        <f t="shared" si="1"/>
        <v>0</v>
      </c>
      <c r="I99" s="179">
        <v>0</v>
      </c>
    </row>
    <row r="100" spans="3:9" x14ac:dyDescent="0.3">
      <c r="C100" s="1" t="s">
        <v>2344</v>
      </c>
      <c r="D100" s="1" t="s">
        <v>2344</v>
      </c>
      <c r="E100" s="179">
        <v>11398</v>
      </c>
      <c r="F100" s="179">
        <v>11398</v>
      </c>
      <c r="G100" s="179">
        <f>+SUMIFS('Additional &amp; Presentation Entry'!$G$11:$G$1048576,'Additional &amp; Presentation Entry'!$F$11:$F$1048576,Sheet1!C100)</f>
        <v>-11398</v>
      </c>
      <c r="H100" s="179">
        <f t="shared" si="1"/>
        <v>0</v>
      </c>
      <c r="I100" s="179">
        <v>11398</v>
      </c>
    </row>
    <row r="101" spans="3:9" x14ac:dyDescent="0.3">
      <c r="C101" s="1" t="s">
        <v>3580</v>
      </c>
      <c r="D101" s="1" t="s">
        <v>2381</v>
      </c>
      <c r="E101" s="179">
        <v>278.95</v>
      </c>
      <c r="F101" s="179">
        <v>278.95</v>
      </c>
      <c r="G101" s="179">
        <f>+SUMIFS('Additional &amp; Presentation Entry'!$G$11:$G$1048576,'Additional &amp; Presentation Entry'!$F$11:$F$1048576,Sheet1!C101)</f>
        <v>0</v>
      </c>
      <c r="H101" s="179">
        <f t="shared" si="1"/>
        <v>278.95</v>
      </c>
      <c r="I101" s="179">
        <v>278.95</v>
      </c>
    </row>
    <row r="102" spans="3:9" x14ac:dyDescent="0.3">
      <c r="C102" s="1" t="s">
        <v>2382</v>
      </c>
      <c r="D102" s="1" t="s">
        <v>2382</v>
      </c>
      <c r="E102" s="179">
        <v>169477.5</v>
      </c>
      <c r="F102" s="179">
        <v>116820</v>
      </c>
      <c r="G102" s="179">
        <f>+SUMIFS('Additional &amp; Presentation Entry'!$G$11:$G$1048576,'Additional &amp; Presentation Entry'!$F$11:$F$1048576,Sheet1!C102)</f>
        <v>-1980</v>
      </c>
      <c r="H102" s="179">
        <f t="shared" si="1"/>
        <v>114840</v>
      </c>
      <c r="I102" s="179">
        <v>116820</v>
      </c>
    </row>
    <row r="103" spans="3:9" x14ac:dyDescent="0.3">
      <c r="C103" s="1" t="s">
        <v>2373</v>
      </c>
      <c r="D103" s="1" t="s">
        <v>2373</v>
      </c>
      <c r="E103" s="179">
        <v>0</v>
      </c>
      <c r="F103" s="179">
        <v>779573</v>
      </c>
      <c r="G103" s="179">
        <f>+SUMIFS('Additional &amp; Presentation Entry'!$G$11:$G$1048576,'Additional &amp; Presentation Entry'!$F$11:$F$1048576,Sheet1!C103)</f>
        <v>0</v>
      </c>
      <c r="H103" s="179">
        <f t="shared" si="1"/>
        <v>779573</v>
      </c>
      <c r="I103" s="179">
        <v>779573</v>
      </c>
    </row>
    <row r="104" spans="3:9" x14ac:dyDescent="0.3">
      <c r="C104" s="1" t="s">
        <v>2379</v>
      </c>
      <c r="D104" s="1" t="s">
        <v>2379</v>
      </c>
      <c r="E104" s="179">
        <v>0</v>
      </c>
      <c r="F104" s="179">
        <v>0</v>
      </c>
      <c r="G104" s="179">
        <f>+SUMIFS('Additional &amp; Presentation Entry'!$G$11:$G$1048576,'Additional &amp; Presentation Entry'!$F$11:$F$1048576,Sheet1!C104)</f>
        <v>0</v>
      </c>
      <c r="H104" s="179">
        <f t="shared" si="1"/>
        <v>0</v>
      </c>
      <c r="I104" s="179">
        <v>0</v>
      </c>
    </row>
    <row r="105" spans="3:9" x14ac:dyDescent="0.3">
      <c r="C105" s="1" t="s">
        <v>2386</v>
      </c>
      <c r="D105" s="1" t="s">
        <v>2386</v>
      </c>
      <c r="E105" s="179">
        <v>0</v>
      </c>
      <c r="F105" s="179">
        <v>8180</v>
      </c>
      <c r="G105" s="179">
        <f>+SUMIFS('Additional &amp; Presentation Entry'!$G$11:$G$1048576,'Additional &amp; Presentation Entry'!$F$11:$F$1048576,Sheet1!C105)</f>
        <v>0</v>
      </c>
      <c r="H105" s="179">
        <f t="shared" si="1"/>
        <v>8180</v>
      </c>
      <c r="I105" s="179">
        <v>8180</v>
      </c>
    </row>
    <row r="106" spans="3:9" x14ac:dyDescent="0.3">
      <c r="C106" s="1" t="s">
        <v>3581</v>
      </c>
      <c r="D106" s="1" t="s">
        <v>3067</v>
      </c>
      <c r="E106" s="179">
        <v>0</v>
      </c>
      <c r="F106" s="179">
        <v>-4418459.6500000004</v>
      </c>
      <c r="G106" s="179">
        <f>+SUMIFS('Additional &amp; Presentation Entry'!$G$11:$G$1048576,'Additional &amp; Presentation Entry'!$F$11:$F$1048576,Sheet1!C106)</f>
        <v>4510526.8099999996</v>
      </c>
      <c r="H106" s="179">
        <f t="shared" si="1"/>
        <v>92067.159999999218</v>
      </c>
      <c r="I106" s="179">
        <v>-4418459.6500000004</v>
      </c>
    </row>
    <row r="107" spans="3:9" x14ac:dyDescent="0.3">
      <c r="C107" s="1" t="s">
        <v>3068</v>
      </c>
      <c r="D107" s="1" t="s">
        <v>3068</v>
      </c>
      <c r="E107" s="179">
        <v>-396.5</v>
      </c>
      <c r="F107" s="179">
        <v>-708.5</v>
      </c>
      <c r="G107" s="179">
        <f>+SUMIFS('Additional &amp; Presentation Entry'!$G$11:$G$1048576,'Additional &amp; Presentation Entry'!$F$11:$F$1048576,Sheet1!C107)</f>
        <v>0</v>
      </c>
      <c r="H107" s="179">
        <f t="shared" si="1"/>
        <v>-708.5</v>
      </c>
      <c r="I107" s="179">
        <v>0</v>
      </c>
    </row>
    <row r="108" spans="3:9" x14ac:dyDescent="0.3">
      <c r="C108" s="1" t="s">
        <v>2395</v>
      </c>
      <c r="D108" s="1" t="s">
        <v>2395</v>
      </c>
      <c r="E108" s="179">
        <v>5152</v>
      </c>
      <c r="F108" s="179">
        <v>5152</v>
      </c>
      <c r="G108" s="179">
        <f>+SUMIFS('Additional &amp; Presentation Entry'!$G$11:$G$1048576,'Additional &amp; Presentation Entry'!$F$11:$F$1048576,Sheet1!C108)</f>
        <v>0</v>
      </c>
      <c r="H108" s="179">
        <f t="shared" si="1"/>
        <v>5152</v>
      </c>
      <c r="I108" s="179">
        <v>5152</v>
      </c>
    </row>
    <row r="109" spans="3:9" x14ac:dyDescent="0.3">
      <c r="C109" s="1" t="s">
        <v>3071</v>
      </c>
      <c r="D109" s="1" t="s">
        <v>3071</v>
      </c>
      <c r="E109" s="179">
        <v>0</v>
      </c>
      <c r="F109" s="179">
        <v>-453997</v>
      </c>
      <c r="G109" s="179">
        <f>+SUMIFS('Additional &amp; Presentation Entry'!$G$11:$G$1048576,'Additional &amp; Presentation Entry'!$F$11:$F$1048576,Sheet1!C109)</f>
        <v>0</v>
      </c>
      <c r="H109" s="179">
        <f t="shared" si="1"/>
        <v>-453997</v>
      </c>
      <c r="I109" s="179">
        <v>-453997</v>
      </c>
    </row>
    <row r="110" spans="3:9" x14ac:dyDescent="0.3">
      <c r="C110" s="1" t="s">
        <v>3072</v>
      </c>
      <c r="D110" s="1" t="s">
        <v>3072</v>
      </c>
      <c r="E110" s="179">
        <v>0</v>
      </c>
      <c r="F110" s="179">
        <v>453997</v>
      </c>
      <c r="G110" s="179">
        <f>+SUMIFS('Additional &amp; Presentation Entry'!$G$11:$G$1048576,'Additional &amp; Presentation Entry'!$F$11:$F$1048576,Sheet1!C110)</f>
        <v>0</v>
      </c>
      <c r="H110" s="179">
        <f t="shared" si="1"/>
        <v>453997</v>
      </c>
      <c r="I110" s="179">
        <v>453997</v>
      </c>
    </row>
    <row r="111" spans="3:9" x14ac:dyDescent="0.3">
      <c r="C111" s="1" t="s">
        <v>2409</v>
      </c>
      <c r="D111" s="1" t="s">
        <v>2409</v>
      </c>
      <c r="E111" s="179">
        <v>0</v>
      </c>
      <c r="F111" s="179">
        <v>-120716.2</v>
      </c>
      <c r="G111" s="179">
        <f>+SUMIFS('Additional &amp; Presentation Entry'!$G$11:$G$1048576,'Additional &amp; Presentation Entry'!$F$11:$F$1048576,Sheet1!C111)</f>
        <v>-734317.72</v>
      </c>
      <c r="H111" s="179">
        <f t="shared" si="1"/>
        <v>-855033.91999999993</v>
      </c>
      <c r="I111" s="179">
        <v>-120716.2</v>
      </c>
    </row>
    <row r="112" spans="3:9" x14ac:dyDescent="0.3">
      <c r="C112" s="1" t="s">
        <v>3073</v>
      </c>
      <c r="D112" s="1" t="s">
        <v>3073</v>
      </c>
      <c r="E112" s="179">
        <v>0</v>
      </c>
      <c r="F112" s="179">
        <v>10342858.35</v>
      </c>
      <c r="G112" s="179">
        <f>+SUMIFS('Additional &amp; Presentation Entry'!$G$11:$G$1048576,'Additional &amp; Presentation Entry'!$F$11:$F$1048576,Sheet1!C112)</f>
        <v>0</v>
      </c>
      <c r="H112" s="179">
        <f t="shared" si="1"/>
        <v>10342858.35</v>
      </c>
      <c r="I112" s="179">
        <v>10342858.35</v>
      </c>
    </row>
    <row r="113" spans="3:9" x14ac:dyDescent="0.3">
      <c r="C113" s="1" t="s">
        <v>3074</v>
      </c>
      <c r="D113" s="1" t="s">
        <v>3074</v>
      </c>
      <c r="E113" s="179">
        <v>0</v>
      </c>
      <c r="F113" s="179">
        <v>-215210</v>
      </c>
      <c r="G113" s="179">
        <f>+SUMIFS('Additional &amp; Presentation Entry'!$G$11:$G$1048576,'Additional &amp; Presentation Entry'!$F$11:$F$1048576,Sheet1!C113)</f>
        <v>215210</v>
      </c>
      <c r="H113" s="179">
        <f t="shared" si="1"/>
        <v>0</v>
      </c>
      <c r="I113" s="179">
        <v>-215210</v>
      </c>
    </row>
    <row r="114" spans="3:9" x14ac:dyDescent="0.3">
      <c r="C114" s="1" t="s">
        <v>2414</v>
      </c>
      <c r="D114" s="1" t="s">
        <v>2414</v>
      </c>
      <c r="E114" s="179">
        <v>-297401</v>
      </c>
      <c r="F114" s="179">
        <v>0</v>
      </c>
      <c r="G114" s="179">
        <f>+SUMIFS('Additional &amp; Presentation Entry'!$G$11:$G$1048576,'Additional &amp; Presentation Entry'!$F$11:$F$1048576,Sheet1!C114)</f>
        <v>0</v>
      </c>
      <c r="H114" s="179">
        <f t="shared" si="1"/>
        <v>0</v>
      </c>
      <c r="I114" s="179">
        <v>0</v>
      </c>
    </row>
    <row r="115" spans="3:9" x14ac:dyDescent="0.3">
      <c r="C115" s="1" t="s">
        <v>2415</v>
      </c>
      <c r="D115" s="1" t="s">
        <v>2415</v>
      </c>
      <c r="E115" s="179">
        <v>-2217934</v>
      </c>
      <c r="F115" s="179">
        <v>-0.01</v>
      </c>
      <c r="G115" s="179">
        <f>+SUMIFS('Additional &amp; Presentation Entry'!$G$11:$G$1048576,'Additional &amp; Presentation Entry'!$F$11:$F$1048576,Sheet1!C115)</f>
        <v>0</v>
      </c>
      <c r="H115" s="179">
        <f t="shared" si="1"/>
        <v>-0.01</v>
      </c>
      <c r="I115" s="179">
        <v>-0.01</v>
      </c>
    </row>
    <row r="116" spans="3:9" x14ac:dyDescent="0.3">
      <c r="C116" s="1" t="s">
        <v>2417</v>
      </c>
      <c r="D116" s="1" t="s">
        <v>2417</v>
      </c>
      <c r="E116" s="179">
        <v>0</v>
      </c>
      <c r="F116" s="179">
        <v>0</v>
      </c>
      <c r="G116" s="179">
        <f>+SUMIFS('Additional &amp; Presentation Entry'!$G$11:$G$1048576,'Additional &amp; Presentation Entry'!$F$11:$F$1048576,Sheet1!C116)</f>
        <v>0</v>
      </c>
      <c r="H116" s="179">
        <f t="shared" si="1"/>
        <v>0</v>
      </c>
      <c r="I116" s="179">
        <v>0</v>
      </c>
    </row>
    <row r="117" spans="3:9" x14ac:dyDescent="0.3">
      <c r="C117" s="1" t="s">
        <v>2397</v>
      </c>
      <c r="D117" s="1" t="s">
        <v>2397</v>
      </c>
      <c r="E117" s="179">
        <v>-3473925.26</v>
      </c>
      <c r="F117" s="179">
        <v>-25266951.75</v>
      </c>
      <c r="G117" s="179">
        <f>+SUMIFS('Additional &amp; Presentation Entry'!$G$11:$G$1048576,'Additional &amp; Presentation Entry'!$F$11:$F$1048576,Sheet1!C117)</f>
        <v>0</v>
      </c>
      <c r="H117" s="179">
        <f t="shared" si="1"/>
        <v>-25266951.75</v>
      </c>
      <c r="I117" s="179">
        <v>-25266951.75</v>
      </c>
    </row>
    <row r="118" spans="3:9" x14ac:dyDescent="0.3">
      <c r="C118" s="1" t="s">
        <v>234</v>
      </c>
      <c r="D118" s="1" t="s">
        <v>234</v>
      </c>
      <c r="E118" s="179">
        <v>0</v>
      </c>
      <c r="F118" s="179">
        <v>0.74</v>
      </c>
      <c r="G118" s="179">
        <f>+SUMIFS('Additional &amp; Presentation Entry'!$G$11:$G$1048576,'Additional &amp; Presentation Entry'!$F$11:$F$1048576,Sheet1!C118)</f>
        <v>0</v>
      </c>
      <c r="H118" s="179">
        <f t="shared" si="1"/>
        <v>0.74</v>
      </c>
      <c r="I118" s="179">
        <v>0.74</v>
      </c>
    </row>
    <row r="119" spans="3:9" x14ac:dyDescent="0.3">
      <c r="C119" s="2347" t="s">
        <v>2418</v>
      </c>
      <c r="D119" s="1" t="s">
        <v>2418</v>
      </c>
      <c r="E119" s="179">
        <v>0</v>
      </c>
      <c r="F119" s="179">
        <v>246035.78</v>
      </c>
      <c r="G119" s="179">
        <f>+SUMIFS('Additional &amp; Presentation Entry'!$G$11:$G$1048576,'Additional &amp; Presentation Entry'!$F$11:$F$1048576,Sheet1!C119)</f>
        <v>40696.448767123249</v>
      </c>
      <c r="H119" s="179">
        <f t="shared" si="1"/>
        <v>286732.22876712325</v>
      </c>
      <c r="I119" s="179">
        <v>246035.78</v>
      </c>
    </row>
    <row r="120" spans="3:9" x14ac:dyDescent="0.3">
      <c r="C120" s="1" t="s">
        <v>2419</v>
      </c>
      <c r="D120" s="1" t="s">
        <v>2419</v>
      </c>
      <c r="E120" s="179">
        <v>0</v>
      </c>
      <c r="F120" s="179">
        <v>0</v>
      </c>
      <c r="G120" s="179">
        <f>+SUMIFS('Additional &amp; Presentation Entry'!$G$11:$G$1048576,'Additional &amp; Presentation Entry'!$F$11:$F$1048576,Sheet1!C120)</f>
        <v>0</v>
      </c>
      <c r="H120" s="179">
        <f t="shared" si="1"/>
        <v>0</v>
      </c>
      <c r="I120" s="179">
        <v>0</v>
      </c>
    </row>
    <row r="121" spans="3:9" x14ac:dyDescent="0.3">
      <c r="C121" s="1" t="s">
        <v>2420</v>
      </c>
      <c r="D121" s="1" t="s">
        <v>2420</v>
      </c>
      <c r="E121" s="179">
        <v>0</v>
      </c>
      <c r="F121" s="179">
        <v>-851981</v>
      </c>
      <c r="G121" s="179">
        <f>+SUMIFS('Additional &amp; Presentation Entry'!$G$11:$G$1048576,'Additional &amp; Presentation Entry'!$F$11:$F$1048576,Sheet1!C121)</f>
        <v>-4600138</v>
      </c>
      <c r="H121" s="179">
        <f t="shared" si="1"/>
        <v>-5452119</v>
      </c>
      <c r="I121" s="179">
        <v>-851981</v>
      </c>
    </row>
    <row r="122" spans="3:9" x14ac:dyDescent="0.3">
      <c r="C122" s="1" t="s">
        <v>3075</v>
      </c>
      <c r="D122" s="1" t="s">
        <v>3075</v>
      </c>
      <c r="E122" s="179">
        <v>0</v>
      </c>
      <c r="F122" s="179">
        <v>705075</v>
      </c>
      <c r="G122" s="179">
        <f>+SUMIFS('Additional &amp; Presentation Entry'!$G$11:$G$1048576,'Additional &amp; Presentation Entry'!$F$11:$F$1048576,Sheet1!C122)</f>
        <v>0</v>
      </c>
      <c r="H122" s="179">
        <f t="shared" si="1"/>
        <v>705075</v>
      </c>
      <c r="I122" s="179">
        <v>705075</v>
      </c>
    </row>
    <row r="123" spans="3:9" x14ac:dyDescent="0.3">
      <c r="C123" s="1" t="s">
        <v>2425</v>
      </c>
      <c r="D123" s="1" t="s">
        <v>2425</v>
      </c>
      <c r="E123" s="179">
        <v>0</v>
      </c>
      <c r="F123" s="179">
        <v>12204.86</v>
      </c>
      <c r="G123" s="179">
        <f>+SUMIFS('Additional &amp; Presentation Entry'!$G$11:$G$1048576,'Additional &amp; Presentation Entry'!$F$11:$F$1048576,Sheet1!C123)</f>
        <v>0</v>
      </c>
      <c r="H123" s="179">
        <f t="shared" si="1"/>
        <v>12204.86</v>
      </c>
      <c r="I123" s="179">
        <v>12204.86</v>
      </c>
    </row>
    <row r="124" spans="3:9" x14ac:dyDescent="0.3">
      <c r="C124" s="1" t="s">
        <v>2426</v>
      </c>
      <c r="D124" s="1" t="s">
        <v>2426</v>
      </c>
      <c r="E124" s="179">
        <v>0</v>
      </c>
      <c r="F124" s="179">
        <v>0.5</v>
      </c>
      <c r="G124" s="179">
        <f>+SUMIFS('Additional &amp; Presentation Entry'!$G$11:$G$1048576,'Additional &amp; Presentation Entry'!$F$11:$F$1048576,Sheet1!C124)</f>
        <v>0</v>
      </c>
      <c r="H124" s="179">
        <f t="shared" si="1"/>
        <v>0.5</v>
      </c>
      <c r="I124" s="179">
        <v>0.5</v>
      </c>
    </row>
    <row r="125" spans="3:9" x14ac:dyDescent="0.3">
      <c r="C125" s="1" t="s">
        <v>3567</v>
      </c>
      <c r="D125" s="1" t="s">
        <v>2429</v>
      </c>
      <c r="E125" s="179">
        <v>1424</v>
      </c>
      <c r="F125" s="179">
        <v>1424</v>
      </c>
      <c r="G125" s="179">
        <f>+SUMIFS('Additional &amp; Presentation Entry'!$G$11:$G$1048576,'Additional &amp; Presentation Entry'!$F$11:$F$1048576,Sheet1!C125)</f>
        <v>-118</v>
      </c>
      <c r="H125" s="179">
        <f t="shared" si="1"/>
        <v>1306</v>
      </c>
      <c r="I125" s="179">
        <v>1424</v>
      </c>
    </row>
    <row r="126" spans="3:9" x14ac:dyDescent="0.3">
      <c r="C126" s="1" t="s">
        <v>3069</v>
      </c>
      <c r="D126" s="1" t="s">
        <v>3069</v>
      </c>
      <c r="E126" s="179">
        <v>0</v>
      </c>
      <c r="F126" s="179">
        <v>6160</v>
      </c>
      <c r="G126" s="179">
        <f>+SUMIFS('Additional &amp; Presentation Entry'!$G$11:$G$1048576,'Additional &amp; Presentation Entry'!$F$11:$F$1048576,Sheet1!C126)</f>
        <v>-6160</v>
      </c>
      <c r="H126" s="179">
        <f t="shared" si="1"/>
        <v>0</v>
      </c>
      <c r="I126" s="179">
        <v>6160</v>
      </c>
    </row>
    <row r="127" spans="3:9" x14ac:dyDescent="0.3">
      <c r="C127" s="1" t="s">
        <v>2402</v>
      </c>
      <c r="D127" s="1" t="s">
        <v>2402</v>
      </c>
      <c r="E127" s="179">
        <v>427.5</v>
      </c>
      <c r="F127" s="179">
        <v>427.5</v>
      </c>
      <c r="G127" s="179">
        <f>+SUMIFS('Additional &amp; Presentation Entry'!$G$11:$G$1048576,'Additional &amp; Presentation Entry'!$F$11:$F$1048576,Sheet1!C127)</f>
        <v>-427.5</v>
      </c>
      <c r="H127" s="179">
        <f t="shared" si="1"/>
        <v>0</v>
      </c>
      <c r="I127" s="179">
        <v>427.5</v>
      </c>
    </row>
    <row r="128" spans="3:9" x14ac:dyDescent="0.3">
      <c r="C128" s="1" t="s">
        <v>2403</v>
      </c>
      <c r="D128" s="1" t="s">
        <v>2403</v>
      </c>
      <c r="E128" s="179">
        <v>23273.759999999998</v>
      </c>
      <c r="F128" s="179">
        <v>30390.6</v>
      </c>
      <c r="G128" s="179">
        <f>+SUMIFS('Additional &amp; Presentation Entry'!$G$11:$G$1048576,'Additional &amp; Presentation Entry'!$F$11:$F$1048576,Sheet1!C128)</f>
        <v>-30390.6</v>
      </c>
      <c r="H128" s="179">
        <f t="shared" si="1"/>
        <v>0</v>
      </c>
      <c r="I128" s="179">
        <v>30390.6</v>
      </c>
    </row>
    <row r="129" spans="3:9" x14ac:dyDescent="0.3">
      <c r="C129" s="1" t="s">
        <v>3070</v>
      </c>
      <c r="D129" s="1" t="s">
        <v>3070</v>
      </c>
      <c r="E129" s="179">
        <v>0</v>
      </c>
      <c r="F129" s="179">
        <v>38487.269999999997</v>
      </c>
      <c r="G129" s="179">
        <f>+SUMIFS('Additional &amp; Presentation Entry'!$G$11:$G$1048576,'Additional &amp; Presentation Entry'!$F$11:$F$1048576,Sheet1!C129)</f>
        <v>163914.12999999998</v>
      </c>
      <c r="H129" s="179">
        <f t="shared" si="1"/>
        <v>202401.39999999997</v>
      </c>
      <c r="I129" s="179">
        <v>38487.269999999997</v>
      </c>
    </row>
    <row r="130" spans="3:9" x14ac:dyDescent="0.3">
      <c r="C130" s="1" t="s">
        <v>2440</v>
      </c>
      <c r="D130" s="1" t="s">
        <v>2440</v>
      </c>
      <c r="E130" s="179">
        <v>-92040</v>
      </c>
      <c r="F130" s="179">
        <v>0</v>
      </c>
      <c r="G130" s="179">
        <f>+SUMIFS('Additional &amp; Presentation Entry'!$G$11:$G$1048576,'Additional &amp; Presentation Entry'!$F$11:$F$1048576,Sheet1!C130)</f>
        <v>0</v>
      </c>
      <c r="H130" s="179">
        <f t="shared" si="1"/>
        <v>0</v>
      </c>
      <c r="I130" s="179">
        <v>0</v>
      </c>
    </row>
    <row r="131" spans="3:9" x14ac:dyDescent="0.3">
      <c r="C131" s="1" t="s">
        <v>2435</v>
      </c>
      <c r="D131" s="1" t="s">
        <v>2435</v>
      </c>
      <c r="E131" s="179">
        <v>-7316</v>
      </c>
      <c r="F131" s="179">
        <v>0</v>
      </c>
      <c r="G131" s="179">
        <f>+SUMIFS('Additional &amp; Presentation Entry'!$G$11:$G$1048576,'Additional &amp; Presentation Entry'!$F$11:$F$1048576,Sheet1!C131)</f>
        <v>0</v>
      </c>
      <c r="H131" s="179">
        <f t="shared" si="1"/>
        <v>0</v>
      </c>
      <c r="I131" s="179">
        <v>0</v>
      </c>
    </row>
    <row r="132" spans="3:9" x14ac:dyDescent="0.3">
      <c r="C132" s="1" t="s">
        <v>2450</v>
      </c>
      <c r="D132" s="1" t="s">
        <v>2450</v>
      </c>
      <c r="E132" s="179">
        <v>103840</v>
      </c>
      <c r="F132" s="179">
        <v>0</v>
      </c>
      <c r="G132" s="179">
        <f>+SUMIFS('Additional &amp; Presentation Entry'!$G$11:$G$1048576,'Additional &amp; Presentation Entry'!$F$11:$F$1048576,Sheet1!C132)</f>
        <v>0</v>
      </c>
      <c r="H132" s="179">
        <f t="shared" si="1"/>
        <v>0</v>
      </c>
      <c r="I132" s="179">
        <v>0</v>
      </c>
    </row>
    <row r="133" spans="3:9" x14ac:dyDescent="0.3">
      <c r="C133" s="1" t="s">
        <v>2467</v>
      </c>
      <c r="D133" s="1" t="s">
        <v>2467</v>
      </c>
      <c r="E133" s="179">
        <v>0</v>
      </c>
      <c r="F133" s="179">
        <v>-270.32</v>
      </c>
      <c r="G133" s="179">
        <f>+SUMIFS('Additional &amp; Presentation Entry'!$G$11:$G$1048576,'Additional &amp; Presentation Entry'!$F$11:$F$1048576,Sheet1!C133)</f>
        <v>0</v>
      </c>
      <c r="H133" s="179">
        <f t="shared" si="1"/>
        <v>-270.32</v>
      </c>
      <c r="I133" s="179">
        <v>-270.32</v>
      </c>
    </row>
    <row r="134" spans="3:9" x14ac:dyDescent="0.3">
      <c r="C134" s="2347" t="s">
        <v>2458</v>
      </c>
      <c r="D134" s="1" t="s">
        <v>2458</v>
      </c>
      <c r="E134" s="179">
        <v>-4807</v>
      </c>
      <c r="F134" s="179">
        <v>-33649</v>
      </c>
      <c r="G134" s="179">
        <f>+SUMIFS('Additional &amp; Presentation Entry'!$G$11:$G$1048576,'Additional &amp; Presentation Entry'!$F$11:$F$1048576,Sheet1!C134)</f>
        <v>33649</v>
      </c>
      <c r="H134" s="179">
        <f t="shared" si="1"/>
        <v>0</v>
      </c>
      <c r="I134" s="179">
        <v>-33649</v>
      </c>
    </row>
    <row r="135" spans="3:9" x14ac:dyDescent="0.3">
      <c r="C135" s="1" t="s">
        <v>2471</v>
      </c>
      <c r="D135" s="1" t="s">
        <v>2471</v>
      </c>
      <c r="E135" s="179">
        <v>5004254.82</v>
      </c>
      <c r="F135" s="179">
        <v>5007918.18</v>
      </c>
      <c r="G135" s="179">
        <f>+SUMIFS('Additional &amp; Presentation Entry'!$G$11:$G$1048576,'Additional &amp; Presentation Entry'!$F$11:$F$1048576,Sheet1!C135)</f>
        <v>0</v>
      </c>
      <c r="H135" s="179">
        <f t="shared" ref="H135:H198" si="2">+F135+G135</f>
        <v>5007918.18</v>
      </c>
      <c r="I135" s="179">
        <v>5007918.18</v>
      </c>
    </row>
    <row r="136" spans="3:9" x14ac:dyDescent="0.3">
      <c r="C136" s="1" t="s">
        <v>3582</v>
      </c>
      <c r="D136" s="1" t="s">
        <v>2479</v>
      </c>
      <c r="E136" s="179">
        <v>7250</v>
      </c>
      <c r="F136" s="179">
        <v>7250</v>
      </c>
      <c r="G136" s="179">
        <f>+SUMIFS('Additional &amp; Presentation Entry'!$G$11:$G$1048576,'Additional &amp; Presentation Entry'!$F$11:$F$1048576,Sheet1!C136)</f>
        <v>0</v>
      </c>
      <c r="H136" s="179">
        <f t="shared" si="2"/>
        <v>7250</v>
      </c>
      <c r="I136" s="179">
        <v>7250</v>
      </c>
    </row>
    <row r="137" spans="3:9" x14ac:dyDescent="0.3">
      <c r="C137" s="1" t="s">
        <v>3583</v>
      </c>
      <c r="D137" s="1" t="s">
        <v>2480</v>
      </c>
      <c r="E137" s="179">
        <v>7286.25</v>
      </c>
      <c r="F137" s="179">
        <v>7286.25</v>
      </c>
      <c r="G137" s="179">
        <f>+SUMIFS('Additional &amp; Presentation Entry'!$G$11:$G$1048576,'Additional &amp; Presentation Entry'!$F$11:$F$1048576,Sheet1!C137)</f>
        <v>0</v>
      </c>
      <c r="H137" s="179">
        <f t="shared" si="2"/>
        <v>7286.25</v>
      </c>
      <c r="I137" s="179">
        <v>7286.25</v>
      </c>
    </row>
    <row r="138" spans="3:9" x14ac:dyDescent="0.3">
      <c r="C138" s="1" t="s">
        <v>3584</v>
      </c>
      <c r="D138" s="1" t="s">
        <v>2481</v>
      </c>
      <c r="E138" s="179">
        <v>3572</v>
      </c>
      <c r="F138" s="179">
        <v>3572</v>
      </c>
      <c r="G138" s="179">
        <f>+SUMIFS('Additional &amp; Presentation Entry'!$G$11:$G$1048576,'Additional &amp; Presentation Entry'!$F$11:$F$1048576,Sheet1!C138)</f>
        <v>0</v>
      </c>
      <c r="H138" s="179">
        <f t="shared" si="2"/>
        <v>3572</v>
      </c>
      <c r="I138" s="179">
        <v>3572</v>
      </c>
    </row>
    <row r="139" spans="3:9" x14ac:dyDescent="0.3">
      <c r="C139" s="1" t="s">
        <v>3077</v>
      </c>
      <c r="D139" s="1" t="s">
        <v>3077</v>
      </c>
      <c r="E139" s="179">
        <v>0</v>
      </c>
      <c r="F139" s="179">
        <v>8400</v>
      </c>
      <c r="G139" s="179">
        <f>+SUMIFS('Additional &amp; Presentation Entry'!$G$11:$G$1048576,'Additional &amp; Presentation Entry'!$F$11:$F$1048576,Sheet1!C139)</f>
        <v>0</v>
      </c>
      <c r="H139" s="179">
        <f t="shared" si="2"/>
        <v>8400</v>
      </c>
      <c r="I139" s="179">
        <v>8400</v>
      </c>
    </row>
    <row r="140" spans="3:9" x14ac:dyDescent="0.3">
      <c r="C140" s="1" t="s">
        <v>3076</v>
      </c>
      <c r="D140" s="1" t="s">
        <v>3076</v>
      </c>
      <c r="E140" s="179">
        <v>0</v>
      </c>
      <c r="F140" s="179">
        <v>108750</v>
      </c>
      <c r="G140" s="179">
        <f>+SUMIFS('Additional &amp; Presentation Entry'!$G$11:$G$1048576,'Additional &amp; Presentation Entry'!$F$11:$F$1048576,Sheet1!C140)</f>
        <v>-25781</v>
      </c>
      <c r="H140" s="179">
        <f t="shared" si="2"/>
        <v>82969</v>
      </c>
      <c r="I140" s="179">
        <v>108750</v>
      </c>
    </row>
    <row r="141" spans="3:9" x14ac:dyDescent="0.3">
      <c r="C141" s="1" t="s">
        <v>3078</v>
      </c>
      <c r="D141" s="1" t="s">
        <v>3078</v>
      </c>
      <c r="E141" s="179">
        <v>0</v>
      </c>
      <c r="F141" s="179">
        <v>1506</v>
      </c>
      <c r="G141" s="179">
        <f>+SUMIFS('Additional &amp; Presentation Entry'!$G$11:$G$1048576,'Additional &amp; Presentation Entry'!$F$11:$F$1048576,Sheet1!C141)</f>
        <v>0</v>
      </c>
      <c r="H141" s="179">
        <f t="shared" si="2"/>
        <v>1506</v>
      </c>
      <c r="I141" s="179">
        <v>1506</v>
      </c>
    </row>
    <row r="142" spans="3:9" x14ac:dyDescent="0.3">
      <c r="C142" s="1" t="s">
        <v>3585</v>
      </c>
      <c r="D142" s="1" t="s">
        <v>2474</v>
      </c>
      <c r="E142" s="179">
        <v>3000</v>
      </c>
      <c r="F142" s="179">
        <v>3000</v>
      </c>
      <c r="G142" s="179">
        <f>+SUMIFS('Additional &amp; Presentation Entry'!$G$11:$G$1048576,'Additional &amp; Presentation Entry'!$F$11:$F$1048576,Sheet1!C142)</f>
        <v>0</v>
      </c>
      <c r="H142" s="179">
        <f t="shared" si="2"/>
        <v>3000</v>
      </c>
      <c r="I142" s="179">
        <v>3000</v>
      </c>
    </row>
    <row r="143" spans="3:9" x14ac:dyDescent="0.3">
      <c r="C143" s="1" t="s">
        <v>3586</v>
      </c>
      <c r="D143" s="1" t="s">
        <v>2475</v>
      </c>
      <c r="E143" s="179">
        <v>3000</v>
      </c>
      <c r="F143" s="179">
        <v>3000</v>
      </c>
      <c r="G143" s="179">
        <f>+SUMIFS('Additional &amp; Presentation Entry'!$G$11:$G$1048576,'Additional &amp; Presentation Entry'!$F$11:$F$1048576,Sheet1!C143)</f>
        <v>0</v>
      </c>
      <c r="H143" s="179">
        <f t="shared" si="2"/>
        <v>3000</v>
      </c>
      <c r="I143" s="179">
        <v>3000</v>
      </c>
    </row>
    <row r="144" spans="3:9" x14ac:dyDescent="0.3">
      <c r="C144" s="1" t="s">
        <v>3080</v>
      </c>
      <c r="D144" s="1" t="s">
        <v>3080</v>
      </c>
      <c r="E144" s="179">
        <v>0</v>
      </c>
      <c r="F144" s="179">
        <v>235470.11</v>
      </c>
      <c r="G144" s="179">
        <f>+SUMIFS('Additional &amp; Presentation Entry'!$G$11:$G$1048576,'Additional &amp; Presentation Entry'!$F$11:$F$1048576,Sheet1!C144)</f>
        <v>0</v>
      </c>
      <c r="H144" s="179">
        <f t="shared" si="2"/>
        <v>235470.11</v>
      </c>
      <c r="I144" s="179">
        <v>235470.11</v>
      </c>
    </row>
    <row r="145" spans="3:9" x14ac:dyDescent="0.3">
      <c r="C145" s="1" t="s">
        <v>3081</v>
      </c>
      <c r="D145" s="1" t="s">
        <v>3081</v>
      </c>
      <c r="E145" s="179">
        <v>0</v>
      </c>
      <c r="F145" s="179">
        <v>235470.1</v>
      </c>
      <c r="G145" s="179">
        <f>+SUMIFS('Additional &amp; Presentation Entry'!$G$11:$G$1048576,'Additional &amp; Presentation Entry'!$F$11:$F$1048576,Sheet1!C145)</f>
        <v>0</v>
      </c>
      <c r="H145" s="179">
        <f t="shared" si="2"/>
        <v>235470.1</v>
      </c>
      <c r="I145" s="179">
        <v>235470.1</v>
      </c>
    </row>
    <row r="146" spans="3:9" x14ac:dyDescent="0.3">
      <c r="C146" s="1" t="s">
        <v>3082</v>
      </c>
      <c r="D146" s="1" t="s">
        <v>3082</v>
      </c>
      <c r="E146" s="179">
        <v>0</v>
      </c>
      <c r="F146" s="179">
        <v>2933405.65</v>
      </c>
      <c r="G146" s="179">
        <f>+SUMIFS('Additional &amp; Presentation Entry'!$G$11:$G$1048576,'Additional &amp; Presentation Entry'!$F$11:$F$1048576,Sheet1!C146)</f>
        <v>0</v>
      </c>
      <c r="H146" s="179">
        <f t="shared" si="2"/>
        <v>2933405.65</v>
      </c>
      <c r="I146" s="179">
        <v>2933405.65</v>
      </c>
    </row>
    <row r="147" spans="3:9" x14ac:dyDescent="0.3">
      <c r="C147" s="1" t="s">
        <v>2513</v>
      </c>
      <c r="D147" s="1" t="s">
        <v>3083</v>
      </c>
      <c r="E147" s="179">
        <v>-42750</v>
      </c>
      <c r="F147" s="179">
        <v>-208980</v>
      </c>
      <c r="G147" s="179">
        <f>+SUMIFS('Additional &amp; Presentation Entry'!$G$11:$G$1048576,'Additional &amp; Presentation Entry'!$F$11:$F$1048576,Sheet1!C147)</f>
        <v>22750</v>
      </c>
      <c r="H147" s="179">
        <f t="shared" si="2"/>
        <v>-186230</v>
      </c>
      <c r="I147" s="179">
        <v>-208980</v>
      </c>
    </row>
    <row r="148" spans="3:9" x14ac:dyDescent="0.3">
      <c r="C148" s="1" t="s">
        <v>2517</v>
      </c>
      <c r="D148" s="1" t="s">
        <v>2517</v>
      </c>
      <c r="E148" s="179">
        <v>0</v>
      </c>
      <c r="F148" s="179">
        <v>5566887.8600000003</v>
      </c>
      <c r="G148" s="179">
        <f>+SUMIFS('Additional &amp; Presentation Entry'!$G$11:$G$1048576,'Additional &amp; Presentation Entry'!$F$11:$F$1048576,Sheet1!C148)</f>
        <v>0</v>
      </c>
      <c r="H148" s="179">
        <f t="shared" si="2"/>
        <v>5566887.8600000003</v>
      </c>
      <c r="I148" s="179">
        <v>5566887.8600000003</v>
      </c>
    </row>
    <row r="149" spans="3:9" x14ac:dyDescent="0.3">
      <c r="C149" s="1" t="s">
        <v>2518</v>
      </c>
      <c r="D149" s="1" t="s">
        <v>2518</v>
      </c>
      <c r="E149" s="179">
        <v>-15573977</v>
      </c>
      <c r="F149" s="179">
        <v>0</v>
      </c>
      <c r="G149" s="179">
        <f>+SUMIFS('Additional &amp; Presentation Entry'!$G$11:$G$1048576,'Additional &amp; Presentation Entry'!$F$11:$F$1048576,Sheet1!C149)</f>
        <v>0</v>
      </c>
      <c r="H149" s="179">
        <f t="shared" si="2"/>
        <v>0</v>
      </c>
      <c r="I149" s="179">
        <v>0</v>
      </c>
    </row>
    <row r="150" spans="3:9" x14ac:dyDescent="0.3">
      <c r="C150" s="1" t="s">
        <v>2521</v>
      </c>
      <c r="D150" s="1" t="s">
        <v>2521</v>
      </c>
      <c r="E150" s="179">
        <v>-215.25</v>
      </c>
      <c r="F150" s="179">
        <v>158108.20000000001</v>
      </c>
      <c r="G150" s="179">
        <f>+SUMIFS('Additional &amp; Presentation Entry'!$G$11:$G$1048576,'Additional &amp; Presentation Entry'!$F$11:$F$1048576,Sheet1!C150)</f>
        <v>0</v>
      </c>
      <c r="H150" s="179">
        <f t="shared" si="2"/>
        <v>158108.20000000001</v>
      </c>
      <c r="I150" s="179">
        <v>158108.20000000001</v>
      </c>
    </row>
    <row r="151" spans="3:9" x14ac:dyDescent="0.3">
      <c r="C151" s="1" t="s">
        <v>2523</v>
      </c>
      <c r="D151" s="1" t="s">
        <v>2523</v>
      </c>
      <c r="E151" s="179">
        <v>0</v>
      </c>
      <c r="F151" s="179">
        <v>0</v>
      </c>
      <c r="G151" s="179">
        <f>+SUMIFS('Additional &amp; Presentation Entry'!$G$11:$G$1048576,'Additional &amp; Presentation Entry'!$F$11:$F$1048576,Sheet1!C151)</f>
        <v>0</v>
      </c>
      <c r="H151" s="179">
        <f t="shared" si="2"/>
        <v>0</v>
      </c>
      <c r="I151" s="179">
        <v>0</v>
      </c>
    </row>
    <row r="152" spans="3:9" x14ac:dyDescent="0.3">
      <c r="C152" s="1" t="s">
        <v>2524</v>
      </c>
      <c r="D152" s="1" t="s">
        <v>2524</v>
      </c>
      <c r="E152" s="179">
        <v>0</v>
      </c>
      <c r="F152" s="179">
        <v>2377905.7999999998</v>
      </c>
      <c r="G152" s="179">
        <f>+SUMIFS('Additional &amp; Presentation Entry'!$G$11:$G$1048576,'Additional &amp; Presentation Entry'!$F$11:$F$1048576,Sheet1!C152)</f>
        <v>0</v>
      </c>
      <c r="H152" s="179">
        <f t="shared" si="2"/>
        <v>2377905.7999999998</v>
      </c>
      <c r="I152" s="179">
        <v>2377905.7999999998</v>
      </c>
    </row>
    <row r="153" spans="3:9" x14ac:dyDescent="0.3">
      <c r="C153" s="1" t="s">
        <v>2522</v>
      </c>
      <c r="D153" s="1" t="s">
        <v>2522</v>
      </c>
      <c r="E153" s="179">
        <v>3631359.57</v>
      </c>
      <c r="F153" s="179">
        <v>3771870.52</v>
      </c>
      <c r="G153" s="179">
        <f>+SUMIFS('Additional &amp; Presentation Entry'!$G$11:$G$1048576,'Additional &amp; Presentation Entry'!$F$11:$F$1048576,Sheet1!C153)</f>
        <v>222882.90000000002</v>
      </c>
      <c r="H153" s="179">
        <f t="shared" si="2"/>
        <v>3994753.42</v>
      </c>
      <c r="I153" s="179">
        <v>3771870.52</v>
      </c>
    </row>
    <row r="154" spans="3:9" x14ac:dyDescent="0.3">
      <c r="C154" s="1" t="s">
        <v>2500</v>
      </c>
      <c r="D154" s="1" t="s">
        <v>2500</v>
      </c>
      <c r="E154" s="179">
        <v>0</v>
      </c>
      <c r="F154" s="179">
        <v>1326453</v>
      </c>
      <c r="G154" s="179">
        <f>+SUMIFS('Additional &amp; Presentation Entry'!$G$11:$G$1048576,'Additional &amp; Presentation Entry'!$F$11:$F$1048576,Sheet1!C154)</f>
        <v>0</v>
      </c>
      <c r="H154" s="179">
        <f t="shared" si="2"/>
        <v>1326453</v>
      </c>
      <c r="I154" s="179">
        <v>1326453</v>
      </c>
    </row>
    <row r="155" spans="3:9" x14ac:dyDescent="0.3">
      <c r="C155" s="1" t="s">
        <v>2504</v>
      </c>
      <c r="D155" s="1" t="s">
        <v>2504</v>
      </c>
      <c r="E155" s="179">
        <v>0</v>
      </c>
      <c r="F155" s="179">
        <v>0</v>
      </c>
      <c r="G155" s="179">
        <f>+SUMIFS('Additional &amp; Presentation Entry'!$G$11:$G$1048576,'Additional &amp; Presentation Entry'!$F$11:$F$1048576,Sheet1!C155)</f>
        <v>0</v>
      </c>
      <c r="H155" s="179">
        <f t="shared" si="2"/>
        <v>0</v>
      </c>
      <c r="I155" s="179">
        <v>0</v>
      </c>
    </row>
    <row r="156" spans="3:9" x14ac:dyDescent="0.3">
      <c r="C156" s="1" t="s">
        <v>2630</v>
      </c>
      <c r="D156" s="1" t="s">
        <v>2630</v>
      </c>
      <c r="E156" s="179">
        <v>-32400</v>
      </c>
      <c r="F156" s="179">
        <v>-36000</v>
      </c>
      <c r="G156" s="179">
        <f>+SUMIFS('Additional &amp; Presentation Entry'!$G$11:$G$1048576,'Additional &amp; Presentation Entry'!$F$11:$F$1048576,Sheet1!C156)</f>
        <v>3600</v>
      </c>
      <c r="H156" s="179">
        <f t="shared" si="2"/>
        <v>-32400</v>
      </c>
      <c r="I156" s="179">
        <v>-36000</v>
      </c>
    </row>
    <row r="157" spans="3:9" x14ac:dyDescent="0.3">
      <c r="C157" s="1" t="s">
        <v>2526</v>
      </c>
      <c r="D157" s="1" t="s">
        <v>2526</v>
      </c>
      <c r="E157" s="179">
        <v>0</v>
      </c>
      <c r="F157" s="179">
        <v>3983.89</v>
      </c>
      <c r="G157" s="179">
        <f>+SUMIFS('Additional &amp; Presentation Entry'!$G$11:$G$1048576,'Additional &amp; Presentation Entry'!$F$11:$F$1048576,Sheet1!C157)</f>
        <v>0</v>
      </c>
      <c r="H157" s="179">
        <f t="shared" si="2"/>
        <v>3983.89</v>
      </c>
      <c r="I157" s="179">
        <v>3983.89</v>
      </c>
    </row>
    <row r="158" spans="3:9" x14ac:dyDescent="0.3">
      <c r="C158" s="1" t="s">
        <v>3085</v>
      </c>
      <c r="D158" s="1" t="s">
        <v>3085</v>
      </c>
      <c r="E158" s="179">
        <v>13484.35</v>
      </c>
      <c r="F158" s="179">
        <v>0.46</v>
      </c>
      <c r="G158" s="179">
        <f>+SUMIFS('Additional &amp; Presentation Entry'!$G$11:$G$1048576,'Additional &amp; Presentation Entry'!$F$11:$F$1048576,Sheet1!C158)</f>
        <v>301.85000000000002</v>
      </c>
      <c r="H158" s="179">
        <f t="shared" si="2"/>
        <v>302.31</v>
      </c>
      <c r="I158" s="179">
        <v>0.46</v>
      </c>
    </row>
    <row r="159" spans="3:9" x14ac:dyDescent="0.3">
      <c r="C159" s="1" t="s">
        <v>2532</v>
      </c>
      <c r="D159" s="1" t="s">
        <v>2532</v>
      </c>
      <c r="E159" s="179">
        <v>26544026.890000001</v>
      </c>
      <c r="F159" s="179">
        <v>40212121.079999998</v>
      </c>
      <c r="G159" s="179">
        <f>+SUMIFS('Additional &amp; Presentation Entry'!$G$11:$G$1048576,'Additional &amp; Presentation Entry'!$F$11:$F$1048576,Sheet1!C159)</f>
        <v>-525080.02283400297</v>
      </c>
      <c r="H159" s="179">
        <f t="shared" si="2"/>
        <v>39687041.057165995</v>
      </c>
      <c r="I159" s="179">
        <v>40212121.079999998</v>
      </c>
    </row>
    <row r="160" spans="3:9" x14ac:dyDescent="0.3">
      <c r="C160" s="1" t="s">
        <v>2533</v>
      </c>
      <c r="D160" s="1" t="s">
        <v>2533</v>
      </c>
      <c r="E160" s="179">
        <v>0</v>
      </c>
      <c r="F160" s="179">
        <v>-6040243.3600000003</v>
      </c>
      <c r="G160" s="179">
        <f>+SUMIFS('Additional &amp; Presentation Entry'!$G$11:$G$1048576,'Additional &amp; Presentation Entry'!$F$11:$F$1048576,Sheet1!C160)</f>
        <v>73074.153400000519</v>
      </c>
      <c r="H160" s="179">
        <f t="shared" si="2"/>
        <v>-5967169.2066000002</v>
      </c>
      <c r="I160" s="179">
        <v>-6040243.3600000003</v>
      </c>
    </row>
    <row r="161" spans="3:9" x14ac:dyDescent="0.3">
      <c r="C161" s="1" t="s">
        <v>2534</v>
      </c>
      <c r="D161" s="1" t="s">
        <v>2534</v>
      </c>
      <c r="E161" s="179">
        <v>0</v>
      </c>
      <c r="F161" s="179">
        <v>0</v>
      </c>
      <c r="G161" s="179">
        <f>+SUMIFS('Additional &amp; Presentation Entry'!$G$11:$G$1048576,'Additional &amp; Presentation Entry'!$F$11:$F$1048576,Sheet1!C161)</f>
        <v>0</v>
      </c>
      <c r="H161" s="179">
        <f t="shared" si="2"/>
        <v>0</v>
      </c>
      <c r="I161" s="179">
        <v>0</v>
      </c>
    </row>
    <row r="162" spans="3:9" x14ac:dyDescent="0.3">
      <c r="C162" s="1" t="s">
        <v>2535</v>
      </c>
      <c r="D162" s="1" t="s">
        <v>2535</v>
      </c>
      <c r="E162" s="179">
        <v>0</v>
      </c>
      <c r="F162" s="179">
        <v>700614</v>
      </c>
      <c r="G162" s="179">
        <f>+SUMIFS('Additional &amp; Presentation Entry'!$G$11:$G$1048576,'Additional &amp; Presentation Entry'!$F$11:$F$1048576,Sheet1!C162)</f>
        <v>0</v>
      </c>
      <c r="H162" s="179">
        <f t="shared" si="2"/>
        <v>700614</v>
      </c>
      <c r="I162" s="179">
        <v>700614</v>
      </c>
    </row>
    <row r="163" spans="3:9" x14ac:dyDescent="0.3">
      <c r="C163" s="1" t="s">
        <v>2537</v>
      </c>
      <c r="D163" s="1" t="s">
        <v>2537</v>
      </c>
      <c r="E163" s="179">
        <v>0</v>
      </c>
      <c r="F163" s="179">
        <v>0</v>
      </c>
      <c r="G163" s="179">
        <f>+SUMIFS('Additional &amp; Presentation Entry'!$G$11:$G$1048576,'Additional &amp; Presentation Entry'!$F$11:$F$1048576,Sheet1!C163)</f>
        <v>0</v>
      </c>
      <c r="H163" s="179">
        <f t="shared" si="2"/>
        <v>0</v>
      </c>
      <c r="I163" s="179">
        <v>0</v>
      </c>
    </row>
    <row r="164" spans="3:9" x14ac:dyDescent="0.3">
      <c r="C164" s="1" t="s">
        <v>2538</v>
      </c>
      <c r="D164" s="1" t="s">
        <v>2538</v>
      </c>
      <c r="E164" s="179">
        <v>0</v>
      </c>
      <c r="F164" s="179">
        <v>60384.639999999999</v>
      </c>
      <c r="G164" s="179">
        <f>+SUMIFS('Additional &amp; Presentation Entry'!$G$11:$G$1048576,'Additional &amp; Presentation Entry'!$F$11:$F$1048576,Sheet1!C164)</f>
        <v>0</v>
      </c>
      <c r="H164" s="179">
        <f t="shared" si="2"/>
        <v>60384.639999999999</v>
      </c>
      <c r="I164" s="179">
        <v>60384.639999999999</v>
      </c>
    </row>
    <row r="165" spans="3:9" x14ac:dyDescent="0.3">
      <c r="C165" s="1" t="s">
        <v>3086</v>
      </c>
      <c r="D165" s="1" t="s">
        <v>3086</v>
      </c>
      <c r="E165" s="179">
        <v>0</v>
      </c>
      <c r="F165" s="179">
        <v>-1</v>
      </c>
      <c r="G165" s="179">
        <f>+SUMIFS('Additional &amp; Presentation Entry'!$G$11:$G$1048576,'Additional &amp; Presentation Entry'!$F$11:$F$1048576,Sheet1!C165)</f>
        <v>-466808.04</v>
      </c>
      <c r="H165" s="179">
        <f t="shared" si="2"/>
        <v>-466809.04</v>
      </c>
      <c r="I165" s="179">
        <v>-1</v>
      </c>
    </row>
    <row r="166" spans="3:9" x14ac:dyDescent="0.3">
      <c r="C166" s="1" t="s">
        <v>2539</v>
      </c>
      <c r="D166" s="1" t="s">
        <v>2539</v>
      </c>
      <c r="E166" s="179">
        <v>0</v>
      </c>
      <c r="F166" s="179">
        <v>-54000</v>
      </c>
      <c r="G166" s="179">
        <f>+SUMIFS('Additional &amp; Presentation Entry'!$G$11:$G$1048576,'Additional &amp; Presentation Entry'!$F$11:$F$1048576,Sheet1!C166)</f>
        <v>0</v>
      </c>
      <c r="H166" s="179">
        <f t="shared" si="2"/>
        <v>-54000</v>
      </c>
      <c r="I166" s="179">
        <v>-54000</v>
      </c>
    </row>
    <row r="167" spans="3:9" x14ac:dyDescent="0.3">
      <c r="C167" s="1" t="s">
        <v>2515</v>
      </c>
      <c r="D167" s="1" t="s">
        <v>2515</v>
      </c>
      <c r="E167" s="179">
        <v>0</v>
      </c>
      <c r="F167" s="179">
        <v>0</v>
      </c>
      <c r="G167" s="179">
        <f>+SUMIFS('Additional &amp; Presentation Entry'!$G$11:$G$1048576,'Additional &amp; Presentation Entry'!$F$11:$F$1048576,Sheet1!C167)</f>
        <v>0</v>
      </c>
      <c r="H167" s="179">
        <f t="shared" si="2"/>
        <v>0</v>
      </c>
      <c r="I167" s="179">
        <v>0</v>
      </c>
    </row>
    <row r="168" spans="3:9" x14ac:dyDescent="0.3">
      <c r="C168" s="1" t="s">
        <v>2540</v>
      </c>
      <c r="D168" s="1" t="s">
        <v>2540</v>
      </c>
      <c r="E168" s="179">
        <v>36580</v>
      </c>
      <c r="F168" s="179">
        <v>0</v>
      </c>
      <c r="G168" s="179">
        <f>+SUMIFS('Additional &amp; Presentation Entry'!$G$11:$G$1048576,'Additional &amp; Presentation Entry'!$F$11:$F$1048576,Sheet1!C168)</f>
        <v>0</v>
      </c>
      <c r="H168" s="179">
        <f t="shared" si="2"/>
        <v>0</v>
      </c>
      <c r="I168" s="179">
        <v>0</v>
      </c>
    </row>
    <row r="169" spans="3:9" x14ac:dyDescent="0.3">
      <c r="C169" s="1" t="s">
        <v>2542</v>
      </c>
      <c r="D169" s="1" t="s">
        <v>2542</v>
      </c>
      <c r="E169" s="179">
        <v>0</v>
      </c>
      <c r="F169" s="179">
        <v>0</v>
      </c>
      <c r="G169" s="179">
        <f>+SUMIFS('Additional &amp; Presentation Entry'!$G$11:$G$1048576,'Additional &amp; Presentation Entry'!$F$11:$F$1048576,Sheet1!C169)</f>
        <v>0</v>
      </c>
      <c r="H169" s="179">
        <f t="shared" si="2"/>
        <v>0</v>
      </c>
      <c r="I169" s="179">
        <v>0</v>
      </c>
    </row>
    <row r="170" spans="3:9" x14ac:dyDescent="0.3">
      <c r="C170" s="1" t="s">
        <v>2541</v>
      </c>
      <c r="D170" s="1" t="s">
        <v>2541</v>
      </c>
      <c r="E170" s="179">
        <v>0</v>
      </c>
      <c r="F170" s="179">
        <v>0</v>
      </c>
      <c r="G170" s="179">
        <f>+SUMIFS('Additional &amp; Presentation Entry'!$G$11:$G$1048576,'Additional &amp; Presentation Entry'!$F$11:$F$1048576,Sheet1!C170)</f>
        <v>0</v>
      </c>
      <c r="H170" s="179">
        <f t="shared" si="2"/>
        <v>0</v>
      </c>
      <c r="I170" s="179">
        <v>0</v>
      </c>
    </row>
    <row r="171" spans="3:9" x14ac:dyDescent="0.3">
      <c r="C171" s="1" t="s">
        <v>3587</v>
      </c>
      <c r="D171" s="1" t="s">
        <v>2545</v>
      </c>
      <c r="E171" s="179">
        <v>-1208880</v>
      </c>
      <c r="F171" s="179">
        <v>-822270.4</v>
      </c>
      <c r="G171" s="179">
        <f>+SUMIFS('Additional &amp; Presentation Entry'!$G$11:$G$1048576,'Additional &amp; Presentation Entry'!$F$11:$F$1048576,Sheet1!C171)</f>
        <v>31006</v>
      </c>
      <c r="H171" s="179">
        <f t="shared" si="2"/>
        <v>-791264.4</v>
      </c>
      <c r="I171" s="179">
        <v>-822270.4</v>
      </c>
    </row>
    <row r="172" spans="3:9" x14ac:dyDescent="0.3">
      <c r="C172" s="2347" t="s">
        <v>2554</v>
      </c>
      <c r="D172" s="1" t="s">
        <v>2554</v>
      </c>
      <c r="E172" s="179">
        <v>0</v>
      </c>
      <c r="F172" s="179">
        <v>458193</v>
      </c>
      <c r="G172" s="179">
        <f>+SUMIFS('Additional &amp; Presentation Entry'!$G$11:$G$1048576,'Additional &amp; Presentation Entry'!$F$11:$F$1048576,Sheet1!C172)</f>
        <v>-458193</v>
      </c>
      <c r="H172" s="179">
        <f t="shared" si="2"/>
        <v>0</v>
      </c>
      <c r="I172" s="179">
        <v>458193</v>
      </c>
    </row>
    <row r="173" spans="3:9" x14ac:dyDescent="0.3">
      <c r="C173" s="1" t="s">
        <v>2560</v>
      </c>
      <c r="D173" s="1" t="s">
        <v>2560</v>
      </c>
      <c r="E173" s="179">
        <v>-23600</v>
      </c>
      <c r="F173" s="179">
        <v>0</v>
      </c>
      <c r="G173" s="179">
        <f>+SUMIFS('Additional &amp; Presentation Entry'!$G$11:$G$1048576,'Additional &amp; Presentation Entry'!$F$11:$F$1048576,Sheet1!C173)</f>
        <v>0</v>
      </c>
      <c r="H173" s="179">
        <f t="shared" si="2"/>
        <v>0</v>
      </c>
      <c r="I173" s="179">
        <v>0</v>
      </c>
    </row>
    <row r="174" spans="3:9" x14ac:dyDescent="0.3">
      <c r="C174" s="1" t="s">
        <v>3087</v>
      </c>
      <c r="D174" s="1" t="s">
        <v>3087</v>
      </c>
      <c r="E174" s="179">
        <v>0</v>
      </c>
      <c r="F174" s="179">
        <v>-24500</v>
      </c>
      <c r="G174" s="179">
        <f>+SUMIFS('Additional &amp; Presentation Entry'!$G$11:$G$1048576,'Additional &amp; Presentation Entry'!$F$11:$F$1048576,Sheet1!C174)</f>
        <v>0</v>
      </c>
      <c r="H174" s="179">
        <f t="shared" si="2"/>
        <v>-24500</v>
      </c>
      <c r="I174" s="179">
        <v>-24500</v>
      </c>
    </row>
    <row r="175" spans="3:9" x14ac:dyDescent="0.3">
      <c r="C175" s="1" t="s">
        <v>2565</v>
      </c>
      <c r="D175" s="1" t="s">
        <v>2565</v>
      </c>
      <c r="E175" s="179">
        <v>0</v>
      </c>
      <c r="F175" s="179">
        <v>0</v>
      </c>
      <c r="G175" s="179">
        <f>+SUMIFS('Additional &amp; Presentation Entry'!$G$11:$G$1048576,'Additional &amp; Presentation Entry'!$F$11:$F$1048576,Sheet1!C175)</f>
        <v>0</v>
      </c>
      <c r="H175" s="179">
        <f t="shared" si="2"/>
        <v>0</v>
      </c>
      <c r="I175" s="179">
        <v>0</v>
      </c>
    </row>
    <row r="176" spans="3:9" x14ac:dyDescent="0.3">
      <c r="C176" s="1" t="s">
        <v>2566</v>
      </c>
      <c r="D176" s="1" t="s">
        <v>2566</v>
      </c>
      <c r="E176" s="179">
        <v>0</v>
      </c>
      <c r="F176" s="179">
        <v>0</v>
      </c>
      <c r="G176" s="179">
        <f>+SUMIFS('Additional &amp; Presentation Entry'!$G$11:$G$1048576,'Additional &amp; Presentation Entry'!$F$11:$F$1048576,Sheet1!C176)</f>
        <v>0</v>
      </c>
      <c r="H176" s="179">
        <f t="shared" si="2"/>
        <v>0</v>
      </c>
      <c r="I176" s="179">
        <v>0</v>
      </c>
    </row>
    <row r="177" spans="3:9" x14ac:dyDescent="0.3">
      <c r="C177" s="1" t="s">
        <v>2564</v>
      </c>
      <c r="D177" s="1" t="s">
        <v>2564</v>
      </c>
      <c r="E177" s="179">
        <v>0</v>
      </c>
      <c r="F177" s="179">
        <v>0</v>
      </c>
      <c r="G177" s="179">
        <f>+SUMIFS('Additional &amp; Presentation Entry'!$G$11:$G$1048576,'Additional &amp; Presentation Entry'!$F$11:$F$1048576,Sheet1!C177)</f>
        <v>0</v>
      </c>
      <c r="H177" s="179">
        <f t="shared" si="2"/>
        <v>0</v>
      </c>
      <c r="I177" s="179">
        <v>0</v>
      </c>
    </row>
    <row r="178" spans="3:9" x14ac:dyDescent="0.3">
      <c r="C178" s="1" t="s">
        <v>3588</v>
      </c>
      <c r="D178" s="1" t="s">
        <v>2567</v>
      </c>
      <c r="E178" s="179">
        <v>575</v>
      </c>
      <c r="F178" s="179">
        <v>575</v>
      </c>
      <c r="G178" s="179">
        <f>+SUMIFS('Additional &amp; Presentation Entry'!$G$11:$G$1048576,'Additional &amp; Presentation Entry'!$F$11:$F$1048576,Sheet1!C178)</f>
        <v>0</v>
      </c>
      <c r="H178" s="179">
        <f t="shared" si="2"/>
        <v>575</v>
      </c>
      <c r="I178" s="179">
        <v>575</v>
      </c>
    </row>
    <row r="179" spans="3:9" x14ac:dyDescent="0.3">
      <c r="C179" s="1" t="s">
        <v>3589</v>
      </c>
      <c r="D179" s="1" t="s">
        <v>2568</v>
      </c>
      <c r="E179" s="179">
        <v>2100</v>
      </c>
      <c r="F179" s="179">
        <v>2100</v>
      </c>
      <c r="G179" s="179">
        <f>+SUMIFS('Additional &amp; Presentation Entry'!$G$11:$G$1048576,'Additional &amp; Presentation Entry'!$F$11:$F$1048576,Sheet1!C179)</f>
        <v>0</v>
      </c>
      <c r="H179" s="179">
        <f t="shared" si="2"/>
        <v>2100</v>
      </c>
      <c r="I179" s="179">
        <v>2100</v>
      </c>
    </row>
    <row r="180" spans="3:9" x14ac:dyDescent="0.3">
      <c r="C180" s="1" t="s">
        <v>2569</v>
      </c>
      <c r="D180" s="1" t="s">
        <v>2569</v>
      </c>
      <c r="E180" s="179">
        <v>0</v>
      </c>
      <c r="F180" s="179">
        <v>170918.02</v>
      </c>
      <c r="G180" s="179">
        <f>+SUMIFS('Additional &amp; Presentation Entry'!$G$11:$G$1048576,'Additional &amp; Presentation Entry'!$F$11:$F$1048576,Sheet1!C180)</f>
        <v>-150</v>
      </c>
      <c r="H180" s="179">
        <f t="shared" si="2"/>
        <v>170768.02</v>
      </c>
      <c r="I180" s="179">
        <v>170918.02</v>
      </c>
    </row>
    <row r="181" spans="3:9" x14ac:dyDescent="0.3">
      <c r="C181" s="1" t="s">
        <v>3564</v>
      </c>
      <c r="D181" s="1" t="s">
        <v>2571</v>
      </c>
      <c r="E181" s="179">
        <v>1450.33</v>
      </c>
      <c r="F181" s="179">
        <v>1450.33</v>
      </c>
      <c r="G181" s="179">
        <f>+SUMIFS('Additional &amp; Presentation Entry'!$G$11:$G$1048576,'Additional &amp; Presentation Entry'!$F$11:$F$1048576,Sheet1!C181)</f>
        <v>-344.33</v>
      </c>
      <c r="H181" s="179">
        <f t="shared" si="2"/>
        <v>1106</v>
      </c>
      <c r="I181" s="179">
        <v>1450.33</v>
      </c>
    </row>
    <row r="182" spans="3:9" x14ac:dyDescent="0.3">
      <c r="C182" s="1" t="s">
        <v>2572</v>
      </c>
      <c r="D182" s="1" t="s">
        <v>2572</v>
      </c>
      <c r="E182" s="179">
        <v>-120950</v>
      </c>
      <c r="F182" s="179">
        <v>-362850</v>
      </c>
      <c r="G182" s="179">
        <f>+SUMIFS('Additional &amp; Presentation Entry'!$G$11:$G$1048576,'Additional &amp; Presentation Entry'!$F$11:$F$1048576,Sheet1!C182)</f>
        <v>0</v>
      </c>
      <c r="H182" s="179">
        <f t="shared" si="2"/>
        <v>-362850</v>
      </c>
      <c r="I182" s="179">
        <v>-362850</v>
      </c>
    </row>
    <row r="183" spans="3:9" x14ac:dyDescent="0.3">
      <c r="C183" s="1" t="s">
        <v>2572</v>
      </c>
      <c r="D183" s="1" t="s">
        <v>2574</v>
      </c>
      <c r="E183" s="179">
        <v>120950</v>
      </c>
      <c r="F183" s="179">
        <v>362850</v>
      </c>
      <c r="G183" s="179">
        <f>+SUMIFS('Additional &amp; Presentation Entry'!$G$11:$G$1048576,'Additional &amp; Presentation Entry'!$F$11:$F$1048576,Sheet1!C183)</f>
        <v>0</v>
      </c>
      <c r="H183" s="179">
        <f t="shared" si="2"/>
        <v>362850</v>
      </c>
      <c r="I183" s="179">
        <v>-362850</v>
      </c>
    </row>
    <row r="184" spans="3:9" x14ac:dyDescent="0.3">
      <c r="C184" s="1" t="s">
        <v>2577</v>
      </c>
      <c r="D184" s="1" t="s">
        <v>2577</v>
      </c>
      <c r="E184" s="179">
        <v>-75119.320000000007</v>
      </c>
      <c r="F184" s="179">
        <v>-81126.94</v>
      </c>
      <c r="G184" s="179">
        <f>+SUMIFS('Additional &amp; Presentation Entry'!$G$11:$G$1048576,'Additional &amp; Presentation Entry'!$F$11:$F$1048576,Sheet1!C184)</f>
        <v>0</v>
      </c>
      <c r="H184" s="179">
        <f t="shared" si="2"/>
        <v>-81126.94</v>
      </c>
      <c r="I184" s="179">
        <v>-81126.94</v>
      </c>
    </row>
    <row r="185" spans="3:9" x14ac:dyDescent="0.3">
      <c r="C185" s="1" t="s">
        <v>3088</v>
      </c>
      <c r="D185" s="1" t="s">
        <v>3088</v>
      </c>
      <c r="E185" s="179">
        <v>0</v>
      </c>
      <c r="F185" s="179">
        <v>-94655</v>
      </c>
      <c r="G185" s="179">
        <f>+SUMIFS('Additional &amp; Presentation Entry'!$G$11:$G$1048576,'Additional &amp; Presentation Entry'!$F$11:$F$1048576,Sheet1!C185)</f>
        <v>94655</v>
      </c>
      <c r="H185" s="179">
        <f t="shared" si="2"/>
        <v>0</v>
      </c>
      <c r="I185" s="179">
        <v>-94655</v>
      </c>
    </row>
    <row r="186" spans="3:9" x14ac:dyDescent="0.3">
      <c r="C186" s="1" t="s">
        <v>3590</v>
      </c>
      <c r="D186" s="1" t="s">
        <v>2579</v>
      </c>
      <c r="E186" s="179">
        <v>-389150</v>
      </c>
      <c r="F186" s="179">
        <v>-310400</v>
      </c>
      <c r="G186" s="179">
        <f>+SUMIFS('Additional &amp; Presentation Entry'!$G$11:$G$1048576,'Additional &amp; Presentation Entry'!$F$11:$F$1048576,Sheet1!C186)</f>
        <v>310400</v>
      </c>
      <c r="H186" s="179">
        <f t="shared" si="2"/>
        <v>0</v>
      </c>
      <c r="I186" s="179">
        <v>-310400</v>
      </c>
    </row>
    <row r="187" spans="3:9" x14ac:dyDescent="0.3">
      <c r="C187" s="1" t="s">
        <v>2580</v>
      </c>
      <c r="D187" s="1" t="s">
        <v>2580</v>
      </c>
      <c r="E187" s="179">
        <v>5753387.1500000004</v>
      </c>
      <c r="F187" s="179">
        <v>11418417.48</v>
      </c>
      <c r="G187" s="179">
        <f>+SUMIFS('Additional &amp; Presentation Entry'!$G$11:$G$1048576,'Additional &amp; Presentation Entry'!$F$11:$F$1048576,Sheet1!C187)</f>
        <v>150</v>
      </c>
      <c r="H187" s="179">
        <f t="shared" si="2"/>
        <v>11418567.48</v>
      </c>
      <c r="I187" s="179">
        <v>11418417.48</v>
      </c>
    </row>
    <row r="188" spans="3:9" x14ac:dyDescent="0.3">
      <c r="C188" s="1" t="s">
        <v>2581</v>
      </c>
      <c r="D188" s="1" t="s">
        <v>2581</v>
      </c>
      <c r="E188" s="179">
        <v>-5753387.1500000004</v>
      </c>
      <c r="F188" s="179">
        <v>-11418568.539999999</v>
      </c>
      <c r="G188" s="179">
        <f>+SUMIFS('Additional &amp; Presentation Entry'!$G$11:$G$1048576,'Additional &amp; Presentation Entry'!$F$11:$F$1048576,Sheet1!C188)</f>
        <v>0</v>
      </c>
      <c r="H188" s="179">
        <f t="shared" si="2"/>
        <v>-11418568.539999999</v>
      </c>
      <c r="I188" s="179">
        <v>-11418568.539999999</v>
      </c>
    </row>
    <row r="189" spans="3:9" s="2347" customFormat="1" x14ac:dyDescent="0.3">
      <c r="C189" s="2347" t="s">
        <v>3174</v>
      </c>
      <c r="D189" s="1" t="s">
        <v>2629</v>
      </c>
      <c r="E189" s="2500">
        <v>-275580.03000000003</v>
      </c>
      <c r="F189" s="2500">
        <v>-286080.03000000003</v>
      </c>
      <c r="G189" s="179">
        <f>+SUMIFS('Additional &amp; Presentation Entry'!$G$11:$G$1048576,'Additional &amp; Presentation Entry'!$F$11:$F$1048576,Sheet1!C189)</f>
        <v>-82704</v>
      </c>
      <c r="H189" s="2500">
        <f t="shared" si="2"/>
        <v>-368784.03</v>
      </c>
      <c r="I189" s="179">
        <v>-286080.03000000003</v>
      </c>
    </row>
    <row r="190" spans="3:9" x14ac:dyDescent="0.3">
      <c r="C190" s="1" t="s">
        <v>3084</v>
      </c>
      <c r="D190" s="1" t="s">
        <v>3084</v>
      </c>
      <c r="E190" s="179">
        <v>0</v>
      </c>
      <c r="F190" s="179">
        <v>-0.23</v>
      </c>
      <c r="G190" s="179">
        <f>+SUMIFS('Additional &amp; Presentation Entry'!$G$11:$G$1048576,'Additional &amp; Presentation Entry'!$F$11:$F$1048576,Sheet1!C190)</f>
        <v>0</v>
      </c>
      <c r="H190" s="179">
        <f t="shared" si="2"/>
        <v>-0.23</v>
      </c>
      <c r="I190" s="179">
        <v>-0.23</v>
      </c>
    </row>
    <row r="191" spans="3:9" x14ac:dyDescent="0.3">
      <c r="C191" s="1" t="s">
        <v>2598</v>
      </c>
      <c r="D191" s="1" t="s">
        <v>2598</v>
      </c>
      <c r="E191" s="179">
        <v>0</v>
      </c>
      <c r="F191" s="179">
        <v>0.34</v>
      </c>
      <c r="G191" s="179">
        <f>+SUMIFS('Additional &amp; Presentation Entry'!$G$11:$G$1048576,'Additional &amp; Presentation Entry'!$F$11:$F$1048576,Sheet1!C191)</f>
        <v>4157.8800000001211</v>
      </c>
      <c r="H191" s="179">
        <f t="shared" si="2"/>
        <v>4158.2200000001212</v>
      </c>
      <c r="I191" s="179">
        <v>0.34</v>
      </c>
    </row>
    <row r="192" spans="3:9" x14ac:dyDescent="0.3">
      <c r="C192" s="1" t="s">
        <v>2609</v>
      </c>
      <c r="D192" s="1" t="s">
        <v>2609</v>
      </c>
      <c r="E192" s="179">
        <v>0</v>
      </c>
      <c r="F192" s="179">
        <v>0</v>
      </c>
      <c r="G192" s="179">
        <f>+SUMIFS('Additional &amp; Presentation Entry'!$G$11:$G$1048576,'Additional &amp; Presentation Entry'!$F$11:$F$1048576,Sheet1!C192)</f>
        <v>0</v>
      </c>
      <c r="H192" s="179">
        <f t="shared" si="2"/>
        <v>0</v>
      </c>
      <c r="I192" s="179">
        <v>0</v>
      </c>
    </row>
    <row r="193" spans="3:9" x14ac:dyDescent="0.3">
      <c r="C193" s="1" t="s">
        <v>2638</v>
      </c>
      <c r="D193" s="1" t="s">
        <v>2638</v>
      </c>
      <c r="E193" s="179">
        <v>62932.92</v>
      </c>
      <c r="F193" s="179">
        <v>62932.92</v>
      </c>
      <c r="G193" s="179">
        <f>+SUMIFS('Additional &amp; Presentation Entry'!$G$11:$G$1048576,'Additional &amp; Presentation Entry'!$F$11:$F$1048576,Sheet1!C193)</f>
        <v>-62932.92</v>
      </c>
      <c r="H193" s="179">
        <f t="shared" si="2"/>
        <v>0</v>
      </c>
      <c r="I193" s="179">
        <v>62932.92</v>
      </c>
    </row>
    <row r="194" spans="3:9" x14ac:dyDescent="0.3">
      <c r="C194" s="2347" t="s">
        <v>2640</v>
      </c>
      <c r="D194" s="1" t="s">
        <v>2640</v>
      </c>
      <c r="E194" s="179">
        <v>6000</v>
      </c>
      <c r="F194" s="179">
        <v>25267.5</v>
      </c>
      <c r="G194" s="179">
        <f>+SUMIFS('Additional &amp; Presentation Entry'!$G$11:$G$1048576,'Additional &amp; Presentation Entry'!$F$11:$F$1048576,Sheet1!C194)</f>
        <v>-7794.2506849315105</v>
      </c>
      <c r="H194" s="179">
        <f t="shared" si="2"/>
        <v>17473.24931506849</v>
      </c>
      <c r="I194" s="179">
        <v>25267.5</v>
      </c>
    </row>
    <row r="195" spans="3:9" x14ac:dyDescent="0.3">
      <c r="C195" s="1" t="s">
        <v>2641</v>
      </c>
      <c r="D195" s="1" t="s">
        <v>2641</v>
      </c>
      <c r="E195" s="179">
        <v>141290</v>
      </c>
      <c r="F195" s="179">
        <v>212400</v>
      </c>
      <c r="G195" s="179">
        <f>+SUMIFS('Additional &amp; Presentation Entry'!$G$11:$G$1048576,'Additional &amp; Presentation Entry'!$F$11:$F$1048576,Sheet1!C195)</f>
        <v>-41316.164383561598</v>
      </c>
      <c r="H195" s="179">
        <f t="shared" si="2"/>
        <v>171083.83561643842</v>
      </c>
      <c r="I195" s="179">
        <v>212400</v>
      </c>
    </row>
    <row r="196" spans="3:9" x14ac:dyDescent="0.3">
      <c r="C196" s="2347" t="s">
        <v>2642</v>
      </c>
      <c r="D196" s="1" t="s">
        <v>2642</v>
      </c>
      <c r="E196" s="179">
        <v>0</v>
      </c>
      <c r="F196" s="179">
        <v>104078.47</v>
      </c>
      <c r="G196" s="179">
        <f>+SUMIFS('Additional &amp; Presentation Entry'!$G$11:$G$1048576,'Additional &amp; Presentation Entry'!$F$11:$F$1048576,Sheet1!C196)</f>
        <v>619.71561643834866</v>
      </c>
      <c r="H196" s="179">
        <f t="shared" si="2"/>
        <v>104698.18561643835</v>
      </c>
      <c r="I196" s="179">
        <v>104078.47</v>
      </c>
    </row>
    <row r="197" spans="3:9" x14ac:dyDescent="0.3">
      <c r="C197" s="2347" t="s">
        <v>2636</v>
      </c>
      <c r="D197" s="1" t="s">
        <v>2636</v>
      </c>
      <c r="E197" s="179">
        <v>0</v>
      </c>
      <c r="F197" s="179">
        <v>26225.9</v>
      </c>
      <c r="G197" s="179">
        <f>+SUMIFS('Additional &amp; Presentation Entry'!$G$11:$G$1048576,'Additional &amp; Presentation Entry'!$F$11:$F$1048576,Sheet1!C197)</f>
        <v>2059.0171270718201</v>
      </c>
      <c r="H197" s="179">
        <f t="shared" si="2"/>
        <v>28284.917127071822</v>
      </c>
      <c r="I197" s="179">
        <v>26225.9</v>
      </c>
    </row>
    <row r="198" spans="3:9" x14ac:dyDescent="0.3">
      <c r="C198" s="1" t="s">
        <v>2644</v>
      </c>
      <c r="D198" s="1" t="s">
        <v>2644</v>
      </c>
      <c r="E198" s="179">
        <v>22057.88</v>
      </c>
      <c r="F198" s="179">
        <v>26450.81</v>
      </c>
      <c r="G198" s="179">
        <f>+SUMIFS('Additional &amp; Presentation Entry'!$G$11:$G$1048576,'Additional &amp; Presentation Entry'!$F$11:$F$1048576,Sheet1!C198)</f>
        <v>0</v>
      </c>
      <c r="H198" s="179">
        <f t="shared" si="2"/>
        <v>26450.81</v>
      </c>
      <c r="I198" s="179">
        <v>26450.81</v>
      </c>
    </row>
    <row r="199" spans="3:9" x14ac:dyDescent="0.3">
      <c r="C199" s="1" t="s">
        <v>2645</v>
      </c>
      <c r="D199" s="1" t="s">
        <v>2645</v>
      </c>
      <c r="E199" s="179">
        <v>1951.16</v>
      </c>
      <c r="F199" s="179">
        <v>9937.27</v>
      </c>
      <c r="G199" s="179">
        <f>+SUMIFS('Additional &amp; Presentation Entry'!$G$11:$G$1048576,'Additional &amp; Presentation Entry'!$F$11:$F$1048576,Sheet1!C199)</f>
        <v>0</v>
      </c>
      <c r="H199" s="179">
        <f t="shared" ref="H199:H262" si="3">+F199+G199</f>
        <v>9937.27</v>
      </c>
      <c r="I199" s="179">
        <v>9937.27</v>
      </c>
    </row>
    <row r="200" spans="3:9" x14ac:dyDescent="0.3">
      <c r="C200" s="1" t="s">
        <v>3591</v>
      </c>
      <c r="D200" s="1" t="s">
        <v>2648</v>
      </c>
      <c r="E200" s="179">
        <v>99675.199999999997</v>
      </c>
      <c r="F200" s="179">
        <v>107343.2</v>
      </c>
      <c r="G200" s="179">
        <f>+SUMIFS('Additional &amp; Presentation Entry'!$G$11:$G$1048576,'Additional &amp; Presentation Entry'!$F$11:$F$1048576,Sheet1!C200)</f>
        <v>0</v>
      </c>
      <c r="H200" s="179">
        <f t="shared" si="3"/>
        <v>107343.2</v>
      </c>
      <c r="I200" s="179">
        <v>107343.2</v>
      </c>
    </row>
    <row r="201" spans="3:9" x14ac:dyDescent="0.3">
      <c r="C201" s="1" t="s">
        <v>3173</v>
      </c>
      <c r="D201" s="1" t="s">
        <v>2647</v>
      </c>
      <c r="E201" s="179">
        <v>220554.92</v>
      </c>
      <c r="F201" s="179">
        <v>238219.44</v>
      </c>
      <c r="G201" s="179">
        <f>+SUMIFS('Additional &amp; Presentation Entry'!$G$11:$G$1048576,'Additional &amp; Presentation Entry'!$F$11:$F$1048576,Sheet1!C201)</f>
        <v>347437.36</v>
      </c>
      <c r="H201" s="179">
        <f t="shared" si="3"/>
        <v>585656.80000000005</v>
      </c>
      <c r="I201" s="179">
        <v>238219.44</v>
      </c>
    </row>
    <row r="202" spans="3:9" x14ac:dyDescent="0.3">
      <c r="C202" s="1" t="s">
        <v>2649</v>
      </c>
      <c r="D202" s="1" t="s">
        <v>2649</v>
      </c>
      <c r="E202" s="179">
        <v>10014</v>
      </c>
      <c r="F202" s="179">
        <v>0</v>
      </c>
      <c r="G202" s="179">
        <f>+SUMIFS('Additional &amp; Presentation Entry'!$G$11:$G$1048576,'Additional &amp; Presentation Entry'!$F$11:$F$1048576,Sheet1!C202)</f>
        <v>0</v>
      </c>
      <c r="H202" s="179">
        <f t="shared" si="3"/>
        <v>0</v>
      </c>
      <c r="I202" s="179">
        <v>0</v>
      </c>
    </row>
    <row r="203" spans="3:9" x14ac:dyDescent="0.3">
      <c r="C203" s="1" t="s">
        <v>3592</v>
      </c>
      <c r="D203" s="1" t="s">
        <v>2651</v>
      </c>
      <c r="E203" s="179">
        <v>683</v>
      </c>
      <c r="F203" s="179">
        <v>683</v>
      </c>
      <c r="G203" s="179">
        <f>+SUMIFS('Additional &amp; Presentation Entry'!$G$11:$G$1048576,'Additional &amp; Presentation Entry'!$F$11:$F$1048576,Sheet1!C203)</f>
        <v>0</v>
      </c>
      <c r="H203" s="179">
        <f t="shared" si="3"/>
        <v>683</v>
      </c>
      <c r="I203" s="179">
        <v>683</v>
      </c>
    </row>
    <row r="204" spans="3:9" x14ac:dyDescent="0.3">
      <c r="C204" s="1" t="s">
        <v>2652</v>
      </c>
      <c r="D204" s="1" t="s">
        <v>2652</v>
      </c>
      <c r="E204" s="179">
        <v>0</v>
      </c>
      <c r="F204" s="179">
        <v>0</v>
      </c>
      <c r="G204" s="179">
        <f>+SUMIFS('Additional &amp; Presentation Entry'!$G$11:$G$1048576,'Additional &amp; Presentation Entry'!$F$11:$F$1048576,Sheet1!C204)</f>
        <v>0</v>
      </c>
      <c r="H204" s="179">
        <f t="shared" si="3"/>
        <v>0</v>
      </c>
      <c r="I204" s="179">
        <v>0</v>
      </c>
    </row>
    <row r="205" spans="3:9" x14ac:dyDescent="0.3">
      <c r="C205" s="2347" t="s">
        <v>3090</v>
      </c>
      <c r="D205" s="1" t="s">
        <v>3090</v>
      </c>
      <c r="E205" s="179">
        <v>0</v>
      </c>
      <c r="F205" s="179">
        <v>-27832</v>
      </c>
      <c r="G205" s="179">
        <f>+SUMIFS('Additional &amp; Presentation Entry'!$G$11:$G$1048576,'Additional &amp; Presentation Entry'!$F$11:$F$1048576,Sheet1!C205)</f>
        <v>27832</v>
      </c>
      <c r="H205" s="179">
        <f t="shared" si="3"/>
        <v>0</v>
      </c>
      <c r="I205" s="179">
        <v>-27832</v>
      </c>
    </row>
    <row r="206" spans="3:9" x14ac:dyDescent="0.3">
      <c r="C206" s="1" t="s">
        <v>3089</v>
      </c>
      <c r="D206" s="1" t="s">
        <v>3089</v>
      </c>
      <c r="E206" s="179">
        <v>0</v>
      </c>
      <c r="F206" s="179">
        <v>-8614</v>
      </c>
      <c r="G206" s="179">
        <f>+SUMIFS('Additional &amp; Presentation Entry'!$G$11:$G$1048576,'Additional &amp; Presentation Entry'!$F$11:$F$1048576,Sheet1!C206)</f>
        <v>0</v>
      </c>
      <c r="H206" s="179">
        <f t="shared" si="3"/>
        <v>-8614</v>
      </c>
      <c r="I206" s="179">
        <v>-8614</v>
      </c>
    </row>
    <row r="207" spans="3:9" x14ac:dyDescent="0.3">
      <c r="C207" s="1" t="s">
        <v>2656</v>
      </c>
      <c r="D207" s="1" t="s">
        <v>2656</v>
      </c>
      <c r="E207" s="179">
        <v>-19050</v>
      </c>
      <c r="F207" s="179">
        <v>-9700</v>
      </c>
      <c r="G207" s="179">
        <f>+SUMIFS('Additional &amp; Presentation Entry'!$G$11:$G$1048576,'Additional &amp; Presentation Entry'!$F$11:$F$1048576,Sheet1!C207)</f>
        <v>4600</v>
      </c>
      <c r="H207" s="179">
        <f t="shared" si="3"/>
        <v>-5100</v>
      </c>
      <c r="I207" s="179">
        <v>-9700</v>
      </c>
    </row>
    <row r="208" spans="3:9" x14ac:dyDescent="0.3">
      <c r="C208" s="2347" t="s">
        <v>2657</v>
      </c>
      <c r="D208" s="1" t="s">
        <v>2657</v>
      </c>
      <c r="E208" s="179">
        <v>0</v>
      </c>
      <c r="F208" s="179">
        <v>2189560</v>
      </c>
      <c r="G208" s="179">
        <f>+SUMIFS('Additional &amp; Presentation Entry'!$G$11:$G$1048576,'Additional &amp; Presentation Entry'!$F$11:$F$1048576,Sheet1!C208)</f>
        <v>-432766</v>
      </c>
      <c r="H208" s="179">
        <f t="shared" si="3"/>
        <v>1756794</v>
      </c>
      <c r="I208" s="179">
        <v>2189560</v>
      </c>
    </row>
    <row r="209" spans="3:9" x14ac:dyDescent="0.3">
      <c r="C209" s="1" t="s">
        <v>2658</v>
      </c>
      <c r="D209" s="1" t="s">
        <v>2658</v>
      </c>
      <c r="E209" s="179">
        <v>0</v>
      </c>
      <c r="F209" s="179">
        <v>36000.9</v>
      </c>
      <c r="G209" s="179">
        <f>+SUMIFS('Additional &amp; Presentation Entry'!$G$11:$G$1048576,'Additional &amp; Presentation Entry'!$F$11:$F$1048576,Sheet1!C209)</f>
        <v>-24750</v>
      </c>
      <c r="H209" s="179">
        <f t="shared" si="3"/>
        <v>11250.900000000001</v>
      </c>
      <c r="I209" s="179">
        <v>36000.9</v>
      </c>
    </row>
    <row r="210" spans="3:9" x14ac:dyDescent="0.3">
      <c r="C210" s="1" t="s">
        <v>733</v>
      </c>
      <c r="D210" s="1" t="s">
        <v>733</v>
      </c>
      <c r="E210" s="179">
        <v>-80874157.920000002</v>
      </c>
      <c r="F210" s="179">
        <v>-80874157.920000002</v>
      </c>
      <c r="G210" s="179">
        <f>+SUMIFS('Additional &amp; Presentation Entry'!$G$11:$G$1048576,'Additional &amp; Presentation Entry'!$F$11:$F$1048576,Sheet1!C210)</f>
        <v>0</v>
      </c>
      <c r="H210" s="179">
        <f t="shared" si="3"/>
        <v>-80874157.920000002</v>
      </c>
      <c r="I210" s="179">
        <v>-80874157.920000002</v>
      </c>
    </row>
    <row r="211" spans="3:9" x14ac:dyDescent="0.3">
      <c r="C211" s="2347" t="s">
        <v>2661</v>
      </c>
      <c r="D211" s="1" t="s">
        <v>2661</v>
      </c>
      <c r="E211" s="179">
        <v>-1189109</v>
      </c>
      <c r="F211" s="179">
        <v>-1405795.56</v>
      </c>
      <c r="G211" s="179">
        <f>+SUMIFS('Additional &amp; Presentation Entry'!$G$11:$G$1048576,'Additional &amp; Presentation Entry'!$F$11:$F$1048576,Sheet1!C211)</f>
        <v>-4157.8800000001211</v>
      </c>
      <c r="H211" s="179">
        <f t="shared" si="3"/>
        <v>-1409953.4400000002</v>
      </c>
      <c r="I211" s="179">
        <v>-1405795.56</v>
      </c>
    </row>
    <row r="212" spans="3:9" x14ac:dyDescent="0.3">
      <c r="C212" s="1" t="s">
        <v>3092</v>
      </c>
      <c r="D212" s="1" t="s">
        <v>3092</v>
      </c>
      <c r="E212" s="179">
        <v>0</v>
      </c>
      <c r="F212" s="179">
        <v>-393400</v>
      </c>
      <c r="G212" s="179">
        <f>+SUMIFS('Additional &amp; Presentation Entry'!$G$11:$G$1048576,'Additional &amp; Presentation Entry'!$F$11:$F$1048576,Sheet1!C212)</f>
        <v>0</v>
      </c>
      <c r="H212" s="179">
        <f t="shared" si="3"/>
        <v>-393400</v>
      </c>
      <c r="I212" s="179">
        <v>-393400</v>
      </c>
    </row>
    <row r="213" spans="3:9" x14ac:dyDescent="0.3">
      <c r="C213" s="1" t="s">
        <v>3091</v>
      </c>
      <c r="D213" s="1" t="s">
        <v>3091</v>
      </c>
      <c r="E213" s="179">
        <v>0</v>
      </c>
      <c r="F213" s="179">
        <v>-168600</v>
      </c>
      <c r="G213" s="179">
        <f>+SUMIFS('Additional &amp; Presentation Entry'!$G$11:$G$1048576,'Additional &amp; Presentation Entry'!$F$11:$F$1048576,Sheet1!C213)</f>
        <v>0</v>
      </c>
      <c r="H213" s="179">
        <f t="shared" si="3"/>
        <v>-168600</v>
      </c>
      <c r="I213" s="179">
        <v>-168600</v>
      </c>
    </row>
    <row r="214" spans="3:9" x14ac:dyDescent="0.3">
      <c r="C214" s="1" t="s">
        <v>3093</v>
      </c>
      <c r="D214" s="1" t="s">
        <v>3093</v>
      </c>
      <c r="E214" s="179">
        <v>0</v>
      </c>
      <c r="F214" s="179">
        <v>-3343429</v>
      </c>
      <c r="G214" s="179">
        <f>+SUMIFS('Additional &amp; Presentation Entry'!$G$11:$G$1048576,'Additional &amp; Presentation Entry'!$F$11:$F$1048576,Sheet1!C214)</f>
        <v>0</v>
      </c>
      <c r="H214" s="179">
        <f t="shared" si="3"/>
        <v>-3343429</v>
      </c>
      <c r="I214" s="179">
        <v>-3343429</v>
      </c>
    </row>
    <row r="215" spans="3:9" x14ac:dyDescent="0.3">
      <c r="C215" s="1" t="s">
        <v>3171</v>
      </c>
      <c r="D215" s="1" t="s">
        <v>2662</v>
      </c>
      <c r="E215" s="179">
        <v>0</v>
      </c>
      <c r="F215" s="179">
        <v>-91954.64</v>
      </c>
      <c r="G215" s="179">
        <f>+SUMIFS('Additional &amp; Presentation Entry'!$G$11:$G$1048576,'Additional &amp; Presentation Entry'!$F$11:$F$1048576,Sheet1!C215)</f>
        <v>91954.64</v>
      </c>
      <c r="H215" s="179">
        <f t="shared" si="3"/>
        <v>0</v>
      </c>
      <c r="I215" s="179">
        <v>-91954.64</v>
      </c>
    </row>
    <row r="216" spans="3:9" x14ac:dyDescent="0.3">
      <c r="C216" s="1" t="s">
        <v>3094</v>
      </c>
      <c r="D216" s="1" t="s">
        <v>3094</v>
      </c>
      <c r="E216" s="179">
        <v>0</v>
      </c>
      <c r="F216" s="179">
        <v>-188234</v>
      </c>
      <c r="G216" s="179">
        <f>+SUMIFS('Additional &amp; Presentation Entry'!$G$11:$G$1048576,'Additional &amp; Presentation Entry'!$F$11:$F$1048576,Sheet1!C216)</f>
        <v>0</v>
      </c>
      <c r="H216" s="179">
        <f t="shared" si="3"/>
        <v>-188234</v>
      </c>
      <c r="I216" s="179">
        <v>-188234</v>
      </c>
    </row>
    <row r="217" spans="3:9" x14ac:dyDescent="0.3">
      <c r="C217" s="1" t="s">
        <v>2667</v>
      </c>
      <c r="D217" s="1" t="s">
        <v>2667</v>
      </c>
      <c r="E217" s="179">
        <v>-6815666</v>
      </c>
      <c r="F217" s="179">
        <v>-6815666</v>
      </c>
      <c r="G217" s="179">
        <f>+SUMIFS('Additional &amp; Presentation Entry'!$G$11:$G$1048576,'Additional &amp; Presentation Entry'!$F$11:$F$1048576,Sheet1!C217)</f>
        <v>6815666</v>
      </c>
      <c r="H217" s="179">
        <f t="shared" si="3"/>
        <v>0</v>
      </c>
      <c r="I217" s="179">
        <v>-6815666</v>
      </c>
    </row>
    <row r="218" spans="3:9" x14ac:dyDescent="0.3">
      <c r="C218" s="1" t="s">
        <v>2668</v>
      </c>
      <c r="D218" s="1" t="s">
        <v>2668</v>
      </c>
      <c r="E218" s="179">
        <v>-8000000</v>
      </c>
      <c r="F218" s="179">
        <v>-736322.8</v>
      </c>
      <c r="G218" s="179">
        <f>+SUMIFS('Additional &amp; Presentation Entry'!$G$11:$G$1048576,'Additional &amp; Presentation Entry'!$F$11:$F$1048576,Sheet1!C218)</f>
        <v>736322.8</v>
      </c>
      <c r="H218" s="179">
        <f t="shared" si="3"/>
        <v>0</v>
      </c>
      <c r="I218" s="179">
        <v>-736322.8</v>
      </c>
    </row>
    <row r="219" spans="3:9" x14ac:dyDescent="0.3">
      <c r="C219" s="1" t="s">
        <v>3095</v>
      </c>
      <c r="D219" s="1" t="s">
        <v>3095</v>
      </c>
      <c r="E219" s="179">
        <v>0</v>
      </c>
      <c r="F219" s="179">
        <v>-10342858.35</v>
      </c>
      <c r="G219" s="179">
        <f>+SUMIFS('Additional &amp; Presentation Entry'!$G$11:$G$1048576,'Additional &amp; Presentation Entry'!$F$11:$F$1048576,Sheet1!C219)</f>
        <v>0</v>
      </c>
      <c r="H219" s="179">
        <f t="shared" si="3"/>
        <v>-10342858.35</v>
      </c>
      <c r="I219" s="179">
        <v>-10342858.35</v>
      </c>
    </row>
    <row r="220" spans="3:9" x14ac:dyDescent="0.3">
      <c r="C220" s="1" t="s">
        <v>2671</v>
      </c>
      <c r="D220" s="1" t="s">
        <v>2671</v>
      </c>
      <c r="E220" s="179">
        <v>0</v>
      </c>
      <c r="F220" s="179">
        <v>-6480</v>
      </c>
      <c r="G220" s="179">
        <f>+SUMIFS('Additional &amp; Presentation Entry'!$G$11:$G$1048576,'Additional &amp; Presentation Entry'!$F$11:$F$1048576,Sheet1!C220)</f>
        <v>0</v>
      </c>
      <c r="H220" s="179">
        <f t="shared" si="3"/>
        <v>-6480</v>
      </c>
      <c r="I220" s="179">
        <v>-6480</v>
      </c>
    </row>
    <row r="221" spans="3:9" x14ac:dyDescent="0.3">
      <c r="C221" s="1" t="s">
        <v>2676</v>
      </c>
      <c r="D221" s="1" t="s">
        <v>2676</v>
      </c>
      <c r="E221" s="179">
        <v>0</v>
      </c>
      <c r="F221" s="179">
        <v>31458121.219999999</v>
      </c>
      <c r="G221" s="179">
        <f>+SUMIFS('Additional &amp; Presentation Entry'!$G$11:$G$1048576,'Additional &amp; Presentation Entry'!$F$11:$F$1048576,Sheet1!C221)</f>
        <v>0</v>
      </c>
      <c r="H221" s="179">
        <f t="shared" si="3"/>
        <v>31458121.219999999</v>
      </c>
      <c r="I221" s="179">
        <v>31458121.219999999</v>
      </c>
    </row>
    <row r="222" spans="3:9" x14ac:dyDescent="0.3">
      <c r="C222" s="1" t="s">
        <v>2677</v>
      </c>
      <c r="D222" s="1" t="s">
        <v>2677</v>
      </c>
      <c r="E222" s="179">
        <v>0</v>
      </c>
      <c r="F222" s="179">
        <v>27963531.23</v>
      </c>
      <c r="G222" s="179">
        <f>+SUMIFS('Additional &amp; Presentation Entry'!$G$11:$G$1048576,'Additional &amp; Presentation Entry'!$F$11:$F$1048576,Sheet1!C222)</f>
        <v>0</v>
      </c>
      <c r="H222" s="179">
        <f t="shared" si="3"/>
        <v>27963531.23</v>
      </c>
      <c r="I222" s="179">
        <v>27963531.23</v>
      </c>
    </row>
    <row r="223" spans="3:9" x14ac:dyDescent="0.3">
      <c r="C223" s="1" t="s">
        <v>2678</v>
      </c>
      <c r="D223" s="1" t="s">
        <v>2678</v>
      </c>
      <c r="E223" s="179">
        <v>0</v>
      </c>
      <c r="F223" s="179">
        <v>74019196.129999995</v>
      </c>
      <c r="G223" s="179">
        <f>+SUMIFS('Additional &amp; Presentation Entry'!$G$11:$G$1048576,'Additional &amp; Presentation Entry'!$F$11:$F$1048576,Sheet1!C223)</f>
        <v>0</v>
      </c>
      <c r="H223" s="179">
        <f t="shared" si="3"/>
        <v>74019196.129999995</v>
      </c>
      <c r="I223" s="179">
        <v>74019196.129999995</v>
      </c>
    </row>
    <row r="224" spans="3:9" x14ac:dyDescent="0.3">
      <c r="C224" s="1" t="s">
        <v>2680</v>
      </c>
      <c r="D224" s="1" t="s">
        <v>2680</v>
      </c>
      <c r="E224" s="179">
        <v>0</v>
      </c>
      <c r="F224" s="179">
        <v>2864.25</v>
      </c>
      <c r="G224" s="179">
        <f>+SUMIFS('Additional &amp; Presentation Entry'!$G$11:$G$1048576,'Additional &amp; Presentation Entry'!$F$11:$F$1048576,Sheet1!C224)</f>
        <v>0</v>
      </c>
      <c r="H224" s="179">
        <f t="shared" si="3"/>
        <v>2864.25</v>
      </c>
      <c r="I224" s="179">
        <v>2864.25</v>
      </c>
    </row>
    <row r="225" spans="3:9" x14ac:dyDescent="0.3">
      <c r="C225" s="1" t="s">
        <v>2681</v>
      </c>
      <c r="D225" s="1" t="s">
        <v>2681</v>
      </c>
      <c r="E225" s="179">
        <v>0</v>
      </c>
      <c r="F225" s="179">
        <v>133433069.66</v>
      </c>
      <c r="G225" s="179">
        <f>+SUMIFS('Additional &amp; Presentation Entry'!$G$11:$G$1048576,'Additional &amp; Presentation Entry'!$F$11:$F$1048576,Sheet1!C225)</f>
        <v>0</v>
      </c>
      <c r="H225" s="179">
        <f t="shared" si="3"/>
        <v>133433069.66</v>
      </c>
      <c r="I225" s="179">
        <v>133433069.66</v>
      </c>
    </row>
    <row r="226" spans="3:9" x14ac:dyDescent="0.3">
      <c r="C226" s="1" t="s">
        <v>2682</v>
      </c>
      <c r="D226" s="1" t="s">
        <v>2682</v>
      </c>
      <c r="E226" s="179">
        <v>0</v>
      </c>
      <c r="F226" s="179">
        <v>8549630.8800000008</v>
      </c>
      <c r="G226" s="179">
        <f>+SUMIFS('Additional &amp; Presentation Entry'!$G$11:$G$1048576,'Additional &amp; Presentation Entry'!$F$11:$F$1048576,Sheet1!C226)</f>
        <v>0</v>
      </c>
      <c r="H226" s="179">
        <f t="shared" si="3"/>
        <v>8549630.8800000008</v>
      </c>
      <c r="I226" s="179">
        <v>8549630.8800000008</v>
      </c>
    </row>
    <row r="227" spans="3:9" x14ac:dyDescent="0.3">
      <c r="C227" s="1" t="s">
        <v>2683</v>
      </c>
      <c r="D227" s="1" t="s">
        <v>2683</v>
      </c>
      <c r="E227" s="179">
        <v>0</v>
      </c>
      <c r="F227" s="179">
        <v>180550</v>
      </c>
      <c r="G227" s="179">
        <f>+SUMIFS('Additional &amp; Presentation Entry'!$G$11:$G$1048576,'Additional &amp; Presentation Entry'!$F$11:$F$1048576,Sheet1!C227)</f>
        <v>0</v>
      </c>
      <c r="H227" s="179">
        <f t="shared" si="3"/>
        <v>180550</v>
      </c>
      <c r="I227" s="179">
        <v>180550</v>
      </c>
    </row>
    <row r="228" spans="3:9" x14ac:dyDescent="0.3">
      <c r="C228" s="1" t="s">
        <v>2684</v>
      </c>
      <c r="D228" s="1" t="s">
        <v>2684</v>
      </c>
      <c r="E228" s="179">
        <v>0</v>
      </c>
      <c r="F228" s="179">
        <v>0</v>
      </c>
      <c r="G228" s="179">
        <f>+SUMIFS('Additional &amp; Presentation Entry'!$G$11:$G$1048576,'Additional &amp; Presentation Entry'!$F$11:$F$1048576,Sheet1!C228)</f>
        <v>0</v>
      </c>
      <c r="H228" s="179">
        <f t="shared" si="3"/>
        <v>0</v>
      </c>
      <c r="I228" s="179">
        <v>0</v>
      </c>
    </row>
    <row r="229" spans="3:9" x14ac:dyDescent="0.3">
      <c r="C229" s="1" t="s">
        <v>2685</v>
      </c>
      <c r="D229" s="1" t="s">
        <v>2685</v>
      </c>
      <c r="E229" s="179">
        <v>0</v>
      </c>
      <c r="F229" s="179">
        <v>0</v>
      </c>
      <c r="G229" s="179">
        <f>+SUMIFS('Additional &amp; Presentation Entry'!$G$11:$G$1048576,'Additional &amp; Presentation Entry'!$F$11:$F$1048576,Sheet1!C229)</f>
        <v>0</v>
      </c>
      <c r="H229" s="179">
        <f t="shared" si="3"/>
        <v>0</v>
      </c>
      <c r="I229" s="179">
        <v>0</v>
      </c>
    </row>
    <row r="230" spans="3:9" x14ac:dyDescent="0.3">
      <c r="C230" s="2347" t="s">
        <v>2714</v>
      </c>
      <c r="D230" s="1" t="s">
        <v>2714</v>
      </c>
      <c r="E230" s="179">
        <v>-8355</v>
      </c>
      <c r="F230" s="179">
        <v>-65244</v>
      </c>
      <c r="G230" s="179">
        <f>+SUMIFS('Additional &amp; Presentation Entry'!$G$11:$G$1048576,'Additional &amp; Presentation Entry'!$F$11:$F$1048576,Sheet1!C230)</f>
        <v>65244</v>
      </c>
      <c r="H230" s="179">
        <f t="shared" si="3"/>
        <v>0</v>
      </c>
      <c r="I230" s="179">
        <v>-65244</v>
      </c>
    </row>
    <row r="231" spans="3:9" x14ac:dyDescent="0.3">
      <c r="C231" s="1" t="s">
        <v>2716</v>
      </c>
      <c r="D231" s="1" t="s">
        <v>2716</v>
      </c>
      <c r="E231" s="179">
        <v>-42500</v>
      </c>
      <c r="F231" s="179">
        <v>0</v>
      </c>
      <c r="G231" s="179">
        <f>+SUMIFS('Additional &amp; Presentation Entry'!$G$11:$G$1048576,'Additional &amp; Presentation Entry'!$F$11:$F$1048576,Sheet1!C231)</f>
        <v>0</v>
      </c>
      <c r="H231" s="179">
        <f t="shared" si="3"/>
        <v>0</v>
      </c>
      <c r="I231" s="179">
        <v>0</v>
      </c>
    </row>
    <row r="232" spans="3:9" x14ac:dyDescent="0.3">
      <c r="C232" s="1" t="s">
        <v>2718</v>
      </c>
      <c r="D232" s="1" t="s">
        <v>2718</v>
      </c>
      <c r="E232" s="179">
        <v>0</v>
      </c>
      <c r="F232" s="179">
        <v>39340</v>
      </c>
      <c r="G232" s="179">
        <f>+SUMIFS('Additional &amp; Presentation Entry'!$G$11:$G$1048576,'Additional &amp; Presentation Entry'!$F$11:$F$1048576,Sheet1!C232)</f>
        <v>0</v>
      </c>
      <c r="H232" s="179">
        <f t="shared" si="3"/>
        <v>39340</v>
      </c>
      <c r="I232" s="179">
        <v>39340</v>
      </c>
    </row>
    <row r="233" spans="3:9" x14ac:dyDescent="0.3">
      <c r="C233" s="1" t="s">
        <v>2719</v>
      </c>
      <c r="D233" s="1" t="s">
        <v>2719</v>
      </c>
      <c r="E233" s="179">
        <v>0</v>
      </c>
      <c r="F233" s="179">
        <v>-4740</v>
      </c>
      <c r="G233" s="179">
        <f>+SUMIFS('Additional &amp; Presentation Entry'!$G$11:$G$1048576,'Additional &amp; Presentation Entry'!$F$11:$F$1048576,Sheet1!C233)</f>
        <v>0</v>
      </c>
      <c r="H233" s="179">
        <f t="shared" si="3"/>
        <v>-4740</v>
      </c>
      <c r="I233" s="179">
        <v>-4740</v>
      </c>
    </row>
    <row r="234" spans="3:9" x14ac:dyDescent="0.3">
      <c r="C234" s="1" t="s">
        <v>2723</v>
      </c>
      <c r="D234" s="1" t="s">
        <v>2723</v>
      </c>
      <c r="E234" s="179">
        <v>0</v>
      </c>
      <c r="F234" s="179">
        <v>-128248.63</v>
      </c>
      <c r="G234" s="179">
        <f>+SUMIFS('Additional &amp; Presentation Entry'!$G$11:$G$1048576,'Additional &amp; Presentation Entry'!$F$11:$F$1048576,Sheet1!C234)</f>
        <v>0</v>
      </c>
      <c r="H234" s="179">
        <f t="shared" si="3"/>
        <v>-128248.63</v>
      </c>
      <c r="I234" s="179">
        <v>-128248.63</v>
      </c>
    </row>
    <row r="235" spans="3:9" x14ac:dyDescent="0.3">
      <c r="C235" s="1" t="s">
        <v>2724</v>
      </c>
      <c r="D235" s="1" t="s">
        <v>2724</v>
      </c>
      <c r="E235" s="179">
        <v>0</v>
      </c>
      <c r="F235" s="179">
        <v>0</v>
      </c>
      <c r="G235" s="179">
        <f>+SUMIFS('Additional &amp; Presentation Entry'!$G$11:$G$1048576,'Additional &amp; Presentation Entry'!$F$11:$F$1048576,Sheet1!C235)</f>
        <v>0</v>
      </c>
      <c r="H235" s="179">
        <f t="shared" si="3"/>
        <v>0</v>
      </c>
      <c r="I235" s="179">
        <v>0</v>
      </c>
    </row>
    <row r="236" spans="3:9" x14ac:dyDescent="0.3">
      <c r="C236" s="1" t="s">
        <v>2728</v>
      </c>
      <c r="D236" s="1" t="s">
        <v>2728</v>
      </c>
      <c r="E236" s="179">
        <v>0</v>
      </c>
      <c r="F236" s="179">
        <v>28167</v>
      </c>
      <c r="G236" s="179">
        <f>+SUMIFS('Additional &amp; Presentation Entry'!$G$11:$G$1048576,'Additional &amp; Presentation Entry'!$F$11:$F$1048576,Sheet1!C236)</f>
        <v>0</v>
      </c>
      <c r="H236" s="179">
        <f t="shared" si="3"/>
        <v>28167</v>
      </c>
      <c r="I236" s="179">
        <v>28167</v>
      </c>
    </row>
    <row r="237" spans="3:9" x14ac:dyDescent="0.3">
      <c r="C237" s="1" t="s">
        <v>2729</v>
      </c>
      <c r="D237" s="1" t="s">
        <v>2729</v>
      </c>
      <c r="E237" s="179">
        <v>0</v>
      </c>
      <c r="F237" s="179">
        <v>4363183.9800000004</v>
      </c>
      <c r="G237" s="179">
        <f>+SUMIFS('Additional &amp; Presentation Entry'!$G$11:$G$1048576,'Additional &amp; Presentation Entry'!$F$11:$F$1048576,Sheet1!C237)</f>
        <v>0</v>
      </c>
      <c r="H237" s="179">
        <f t="shared" si="3"/>
        <v>4363183.9800000004</v>
      </c>
      <c r="I237" s="179">
        <v>4363183.9800000004</v>
      </c>
    </row>
    <row r="238" spans="3:9" x14ac:dyDescent="0.3">
      <c r="C238" s="1" t="s">
        <v>2731</v>
      </c>
      <c r="D238" s="1" t="s">
        <v>2731</v>
      </c>
      <c r="E238" s="179">
        <v>0</v>
      </c>
      <c r="F238" s="179">
        <v>3392920.26</v>
      </c>
      <c r="G238" s="179">
        <f>+SUMIFS('Additional &amp; Presentation Entry'!$G$11:$G$1048576,'Additional &amp; Presentation Entry'!$F$11:$F$1048576,Sheet1!C238)</f>
        <v>-1427950.1863013699</v>
      </c>
      <c r="H238" s="179">
        <f t="shared" si="3"/>
        <v>1964970.0736986299</v>
      </c>
      <c r="I238" s="179">
        <v>3392920.26</v>
      </c>
    </row>
    <row r="239" spans="3:9" x14ac:dyDescent="0.3">
      <c r="C239" s="1" t="s">
        <v>2732</v>
      </c>
      <c r="D239" s="1" t="s">
        <v>2732</v>
      </c>
      <c r="E239" s="179">
        <v>0</v>
      </c>
      <c r="F239" s="179">
        <v>8407740</v>
      </c>
      <c r="G239" s="179">
        <f>+SUMIFS('Additional &amp; Presentation Entry'!$G$11:$G$1048576,'Additional &amp; Presentation Entry'!$F$11:$F$1048576,Sheet1!C239)</f>
        <v>-599733.76000000001</v>
      </c>
      <c r="H239" s="179">
        <f t="shared" si="3"/>
        <v>7808006.2400000002</v>
      </c>
      <c r="I239" s="179">
        <v>8407740</v>
      </c>
    </row>
    <row r="240" spans="3:9" x14ac:dyDescent="0.3">
      <c r="C240" s="2347" t="s">
        <v>2733</v>
      </c>
      <c r="D240" s="1" t="s">
        <v>2733</v>
      </c>
      <c r="E240" s="179">
        <v>0</v>
      </c>
      <c r="F240" s="179">
        <v>178774.1</v>
      </c>
      <c r="G240" s="179">
        <f>+SUMIFS('Additional &amp; Presentation Entry'!$G$11:$G$1048576,'Additional &amp; Presentation Entry'!$F$11:$F$1048576,Sheet1!C240)</f>
        <v>-2059.0171270718201</v>
      </c>
      <c r="H240" s="179">
        <f t="shared" si="3"/>
        <v>176715.08287292818</v>
      </c>
      <c r="I240" s="179">
        <v>178774.1</v>
      </c>
    </row>
    <row r="241" spans="3:9" x14ac:dyDescent="0.3">
      <c r="C241" s="1" t="s">
        <v>2734</v>
      </c>
      <c r="D241" s="1" t="s">
        <v>2734</v>
      </c>
      <c r="E241" s="179">
        <v>0</v>
      </c>
      <c r="F241" s="179">
        <v>0</v>
      </c>
      <c r="G241" s="179">
        <f>+SUMIFS('Additional &amp; Presentation Entry'!$G$11:$G$1048576,'Additional &amp; Presentation Entry'!$F$11:$F$1048576,Sheet1!C241)</f>
        <v>0</v>
      </c>
      <c r="H241" s="179">
        <f t="shared" si="3"/>
        <v>0</v>
      </c>
      <c r="I241" s="179">
        <v>0</v>
      </c>
    </row>
    <row r="242" spans="3:9" x14ac:dyDescent="0.3">
      <c r="C242" s="1" t="s">
        <v>2736</v>
      </c>
      <c r="D242" s="1" t="s">
        <v>2736</v>
      </c>
      <c r="E242" s="179">
        <v>0</v>
      </c>
      <c r="F242" s="179">
        <v>0</v>
      </c>
      <c r="G242" s="179">
        <f>+SUMIFS('Additional &amp; Presentation Entry'!$G$11:$G$1048576,'Additional &amp; Presentation Entry'!$F$11:$F$1048576,Sheet1!C242)</f>
        <v>0</v>
      </c>
      <c r="H242" s="179">
        <f t="shared" si="3"/>
        <v>0</v>
      </c>
      <c r="I242" s="179">
        <v>0</v>
      </c>
    </row>
    <row r="243" spans="3:9" x14ac:dyDescent="0.3">
      <c r="C243" s="1" t="s">
        <v>2737</v>
      </c>
      <c r="D243" s="1" t="s">
        <v>2737</v>
      </c>
      <c r="E243" s="179">
        <v>0</v>
      </c>
      <c r="F243" s="179">
        <v>4280286.79</v>
      </c>
      <c r="G243" s="179">
        <f>+SUMIFS('Additional &amp; Presentation Entry'!$G$11:$G$1048576,'Additional &amp; Presentation Entry'!$F$11:$F$1048576,Sheet1!C243)</f>
        <v>0</v>
      </c>
      <c r="H243" s="179">
        <f t="shared" si="3"/>
        <v>4280286.79</v>
      </c>
      <c r="I243" s="179">
        <v>4280286.79</v>
      </c>
    </row>
    <row r="244" spans="3:9" x14ac:dyDescent="0.3">
      <c r="C244" s="1" t="s">
        <v>2738</v>
      </c>
      <c r="D244" s="1" t="s">
        <v>2738</v>
      </c>
      <c r="E244" s="179">
        <v>0</v>
      </c>
      <c r="F244" s="179">
        <v>1020942</v>
      </c>
      <c r="G244" s="179">
        <f>+SUMIFS('Additional &amp; Presentation Entry'!$G$11:$G$1048576,'Additional &amp; Presentation Entry'!$F$11:$F$1048576,Sheet1!C244)</f>
        <v>0</v>
      </c>
      <c r="H244" s="179">
        <f t="shared" si="3"/>
        <v>1020942</v>
      </c>
      <c r="I244" s="179">
        <v>1020942</v>
      </c>
    </row>
    <row r="245" spans="3:9" x14ac:dyDescent="0.3">
      <c r="C245" s="2347" t="s">
        <v>2739</v>
      </c>
      <c r="D245" s="1" t="s">
        <v>2739</v>
      </c>
      <c r="E245" s="179">
        <v>0</v>
      </c>
      <c r="F245" s="179">
        <v>8445420.2200000007</v>
      </c>
      <c r="G245" s="179">
        <f>+SUMIFS('Additional &amp; Presentation Entry'!$G$11:$G$1048576,'Additional &amp; Presentation Entry'!$F$11:$F$1048576,Sheet1!C245)</f>
        <v>0</v>
      </c>
      <c r="H245" s="179">
        <f t="shared" si="3"/>
        <v>8445420.2200000007</v>
      </c>
      <c r="I245" s="179">
        <v>8445420.2200000007</v>
      </c>
    </row>
    <row r="246" spans="3:9" x14ac:dyDescent="0.3">
      <c r="C246" s="1" t="s">
        <v>2740</v>
      </c>
      <c r="D246" s="1" t="s">
        <v>2740</v>
      </c>
      <c r="E246" s="179">
        <v>0</v>
      </c>
      <c r="F246" s="179">
        <v>146907017.63</v>
      </c>
      <c r="G246" s="179">
        <f>+SUMIFS('Additional &amp; Presentation Entry'!$G$11:$G$1048576,'Additional &amp; Presentation Entry'!$F$11:$F$1048576,Sheet1!C246)</f>
        <v>-798674.22</v>
      </c>
      <c r="H246" s="179">
        <f t="shared" si="3"/>
        <v>146108343.41</v>
      </c>
      <c r="I246" s="179">
        <v>146907017.63</v>
      </c>
    </row>
    <row r="247" spans="3:9" x14ac:dyDescent="0.3">
      <c r="C247" s="1" t="s">
        <v>2741</v>
      </c>
      <c r="D247" s="1" t="s">
        <v>2741</v>
      </c>
      <c r="E247" s="179">
        <v>0</v>
      </c>
      <c r="F247" s="179">
        <v>0</v>
      </c>
      <c r="G247" s="179">
        <f>+SUMIFS('Additional &amp; Presentation Entry'!$G$11:$G$1048576,'Additional &amp; Presentation Entry'!$F$11:$F$1048576,Sheet1!C247)</f>
        <v>0</v>
      </c>
      <c r="H247" s="179">
        <f t="shared" si="3"/>
        <v>0</v>
      </c>
      <c r="I247" s="179">
        <v>0</v>
      </c>
    </row>
    <row r="248" spans="3:9" x14ac:dyDescent="0.3">
      <c r="C248" s="1" t="s">
        <v>2743</v>
      </c>
      <c r="D248" s="1" t="s">
        <v>2743</v>
      </c>
      <c r="E248" s="179">
        <v>0</v>
      </c>
      <c r="F248" s="179">
        <v>-209388671.03999999</v>
      </c>
      <c r="G248" s="179">
        <f>+SUMIFS('Additional &amp; Presentation Entry'!$G$11:$G$1048576,'Additional &amp; Presentation Entry'!$F$11:$F$1048576,Sheet1!C248)</f>
        <v>3522185.4320455571</v>
      </c>
      <c r="H248" s="179">
        <f t="shared" si="3"/>
        <v>-205866485.60795444</v>
      </c>
      <c r="I248" s="179">
        <v>-209388671.03999999</v>
      </c>
    </row>
    <row r="249" spans="3:9" x14ac:dyDescent="0.3">
      <c r="C249" s="1" t="s">
        <v>2744</v>
      </c>
      <c r="D249" s="1" t="s">
        <v>2744</v>
      </c>
      <c r="E249" s="179">
        <v>0</v>
      </c>
      <c r="F249" s="179">
        <v>-1193471.78</v>
      </c>
      <c r="G249" s="179">
        <f>+SUMIFS('Additional &amp; Presentation Entry'!$G$11:$G$1048576,'Additional &amp; Presentation Entry'!$F$11:$F$1048576,Sheet1!C249)</f>
        <v>46312.86</v>
      </c>
      <c r="H249" s="179">
        <f t="shared" si="3"/>
        <v>-1147158.92</v>
      </c>
      <c r="I249" s="179">
        <v>-1193471.78</v>
      </c>
    </row>
    <row r="250" spans="3:9" x14ac:dyDescent="0.3">
      <c r="C250" s="1" t="s">
        <v>2745</v>
      </c>
      <c r="D250" s="1" t="s">
        <v>2745</v>
      </c>
      <c r="E250" s="179">
        <v>-5984</v>
      </c>
      <c r="F250" s="179">
        <v>0</v>
      </c>
      <c r="G250" s="179">
        <f>+SUMIFS('Additional &amp; Presentation Entry'!$G$11:$G$1048576,'Additional &amp; Presentation Entry'!$F$11:$F$1048576,Sheet1!C250)</f>
        <v>0</v>
      </c>
      <c r="H250" s="179">
        <f t="shared" si="3"/>
        <v>0</v>
      </c>
      <c r="I250" s="179">
        <v>0</v>
      </c>
    </row>
    <row r="251" spans="3:9" x14ac:dyDescent="0.3">
      <c r="C251" s="1" t="s">
        <v>2705</v>
      </c>
      <c r="D251" s="1" t="s">
        <v>2705</v>
      </c>
      <c r="E251" s="179">
        <v>0</v>
      </c>
      <c r="F251" s="179">
        <v>-58112.9</v>
      </c>
      <c r="G251" s="179">
        <f>+SUMIFS('Additional &amp; Presentation Entry'!$G$11:$G$1048576,'Additional &amp; Presentation Entry'!$F$11:$F$1048576,Sheet1!C251)</f>
        <v>0</v>
      </c>
      <c r="H251" s="179">
        <f t="shared" si="3"/>
        <v>-58112.9</v>
      </c>
      <c r="I251" s="179">
        <v>-58113.7</v>
      </c>
    </row>
    <row r="252" spans="3:9" x14ac:dyDescent="0.3">
      <c r="C252" s="1" t="s">
        <v>2749</v>
      </c>
      <c r="D252" s="1" t="s">
        <v>2749</v>
      </c>
      <c r="E252" s="179">
        <v>0</v>
      </c>
      <c r="F252" s="179">
        <v>0.4</v>
      </c>
      <c r="G252" s="179">
        <f>+SUMIFS('Additional &amp; Presentation Entry'!$G$11:$G$1048576,'Additional &amp; Presentation Entry'!$F$11:$F$1048576,Sheet1!C252)</f>
        <v>-560</v>
      </c>
      <c r="H252" s="179">
        <f t="shared" si="3"/>
        <v>-559.6</v>
      </c>
      <c r="I252" s="179">
        <v>0.4</v>
      </c>
    </row>
    <row r="253" spans="3:9" x14ac:dyDescent="0.3">
      <c r="C253" s="1" t="s">
        <v>2750</v>
      </c>
      <c r="D253" s="1" t="s">
        <v>2750</v>
      </c>
      <c r="E253" s="179">
        <v>0</v>
      </c>
      <c r="F253" s="179">
        <v>0</v>
      </c>
      <c r="G253" s="179">
        <f>+SUMIFS('Additional &amp; Presentation Entry'!$G$11:$G$1048576,'Additional &amp; Presentation Entry'!$F$11:$F$1048576,Sheet1!C253)</f>
        <v>0</v>
      </c>
      <c r="H253" s="179">
        <f t="shared" si="3"/>
        <v>0</v>
      </c>
      <c r="I253" s="179">
        <v>0</v>
      </c>
    </row>
    <row r="254" spans="3:9" x14ac:dyDescent="0.3">
      <c r="C254" s="1" t="s">
        <v>2751</v>
      </c>
      <c r="D254" s="1" t="s">
        <v>2751</v>
      </c>
      <c r="E254" s="179">
        <v>0</v>
      </c>
      <c r="F254" s="179">
        <v>-62688</v>
      </c>
      <c r="G254" s="179">
        <f>+SUMIFS('Additional &amp; Presentation Entry'!$G$11:$G$1048576,'Additional &amp; Presentation Entry'!$F$11:$F$1048576,Sheet1!C254)</f>
        <v>62688</v>
      </c>
      <c r="H254" s="179">
        <f t="shared" si="3"/>
        <v>0</v>
      </c>
      <c r="I254" s="179">
        <v>-62688</v>
      </c>
    </row>
    <row r="255" spans="3:9" x14ac:dyDescent="0.3">
      <c r="C255" s="1" t="s">
        <v>758</v>
      </c>
      <c r="D255" s="1" t="s">
        <v>758</v>
      </c>
      <c r="E255" s="179">
        <v>0</v>
      </c>
      <c r="F255" s="179">
        <v>1377663</v>
      </c>
      <c r="G255" s="179">
        <f>+SUMIFS('Additional &amp; Presentation Entry'!$G$11:$G$1048576,'Additional &amp; Presentation Entry'!$F$11:$F$1048576,Sheet1!C255)</f>
        <v>76325.333333333256</v>
      </c>
      <c r="H255" s="179">
        <f t="shared" si="3"/>
        <v>1453988.3333333333</v>
      </c>
      <c r="I255" s="179">
        <v>1377663</v>
      </c>
    </row>
    <row r="256" spans="3:9" x14ac:dyDescent="0.3">
      <c r="C256" s="1" t="s">
        <v>2754</v>
      </c>
      <c r="D256" s="1" t="s">
        <v>2754</v>
      </c>
      <c r="E256" s="179">
        <v>0</v>
      </c>
      <c r="F256" s="179">
        <v>7985</v>
      </c>
      <c r="G256" s="179">
        <f>+SUMIFS('Additional &amp; Presentation Entry'!$G$11:$G$1048576,'Additional &amp; Presentation Entry'!$F$11:$F$1048576,Sheet1!C256)</f>
        <v>0</v>
      </c>
      <c r="H256" s="179">
        <f t="shared" si="3"/>
        <v>7985</v>
      </c>
      <c r="I256" s="179">
        <v>7985</v>
      </c>
    </row>
    <row r="257" spans="3:9" x14ac:dyDescent="0.3">
      <c r="C257" s="1" t="s">
        <v>2753</v>
      </c>
      <c r="D257" s="1" t="s">
        <v>2753</v>
      </c>
      <c r="E257" s="179">
        <v>0</v>
      </c>
      <c r="F257" s="179">
        <v>10500</v>
      </c>
      <c r="G257" s="179">
        <f>+SUMIFS('Additional &amp; Presentation Entry'!$G$11:$G$1048576,'Additional &amp; Presentation Entry'!$F$11:$F$1048576,Sheet1!C257)</f>
        <v>0</v>
      </c>
      <c r="H257" s="179">
        <f t="shared" si="3"/>
        <v>10500</v>
      </c>
      <c r="I257" s="179">
        <v>10500</v>
      </c>
    </row>
    <row r="258" spans="3:9" x14ac:dyDescent="0.3">
      <c r="C258" s="1" t="s">
        <v>2706</v>
      </c>
      <c r="D258" s="1" t="s">
        <v>2706</v>
      </c>
      <c r="E258" s="179">
        <v>0</v>
      </c>
      <c r="F258" s="179">
        <v>-1.06</v>
      </c>
      <c r="G258" s="179">
        <f>+SUMIFS('Additional &amp; Presentation Entry'!$G$11:$G$1048576,'Additional &amp; Presentation Entry'!$F$11:$F$1048576,Sheet1!C258)</f>
        <v>0</v>
      </c>
      <c r="H258" s="179">
        <f t="shared" si="3"/>
        <v>-1.06</v>
      </c>
      <c r="I258" s="179">
        <v>-1.06</v>
      </c>
    </row>
    <row r="259" spans="3:9" x14ac:dyDescent="0.3">
      <c r="C259" s="1" t="s">
        <v>3096</v>
      </c>
      <c r="D259" s="1" t="s">
        <v>3096</v>
      </c>
      <c r="E259" s="179">
        <v>12744</v>
      </c>
      <c r="F259" s="179">
        <v>0.53</v>
      </c>
      <c r="G259" s="179">
        <f>+SUMIFS('Additional &amp; Presentation Entry'!$G$11:$G$1048576,'Additional &amp; Presentation Entry'!$F$11:$F$1048576,Sheet1!C259)</f>
        <v>0</v>
      </c>
      <c r="H259" s="179">
        <f t="shared" si="3"/>
        <v>0.53</v>
      </c>
      <c r="I259" s="179">
        <v>0.53</v>
      </c>
    </row>
    <row r="260" spans="3:9" x14ac:dyDescent="0.3">
      <c r="C260" s="1" t="s">
        <v>2708</v>
      </c>
      <c r="D260" s="1" t="s">
        <v>2708</v>
      </c>
      <c r="E260" s="179">
        <v>0</v>
      </c>
      <c r="F260" s="179">
        <v>0</v>
      </c>
      <c r="G260" s="179">
        <f>+SUMIFS('Additional &amp; Presentation Entry'!$G$11:$G$1048576,'Additional &amp; Presentation Entry'!$F$11:$F$1048576,Sheet1!C260)</f>
        <v>0</v>
      </c>
      <c r="H260" s="179">
        <f t="shared" si="3"/>
        <v>0</v>
      </c>
      <c r="I260" s="179">
        <v>0</v>
      </c>
    </row>
    <row r="261" spans="3:9" x14ac:dyDescent="0.3">
      <c r="C261" s="1" t="s">
        <v>3097</v>
      </c>
      <c r="D261" s="1" t="s">
        <v>3097</v>
      </c>
      <c r="E261" s="179">
        <v>0</v>
      </c>
      <c r="F261" s="179">
        <v>0.01</v>
      </c>
      <c r="G261" s="179">
        <f>+SUMIFS('Additional &amp; Presentation Entry'!$G$11:$G$1048576,'Additional &amp; Presentation Entry'!$F$11:$F$1048576,Sheet1!C261)</f>
        <v>0</v>
      </c>
      <c r="H261" s="179">
        <f t="shared" si="3"/>
        <v>0.01</v>
      </c>
      <c r="I261" s="179">
        <v>0.01</v>
      </c>
    </row>
    <row r="262" spans="3:9" x14ac:dyDescent="0.3">
      <c r="C262" s="1" t="s">
        <v>2757</v>
      </c>
      <c r="D262" s="1" t="s">
        <v>2757</v>
      </c>
      <c r="E262" s="179">
        <v>0</v>
      </c>
      <c r="F262" s="179">
        <v>19.98</v>
      </c>
      <c r="G262" s="179">
        <f>+SUMIFS('Additional &amp; Presentation Entry'!$G$11:$G$1048576,'Additional &amp; Presentation Entry'!$F$11:$F$1048576,Sheet1!C262)</f>
        <v>0</v>
      </c>
      <c r="H262" s="179">
        <f t="shared" si="3"/>
        <v>19.98</v>
      </c>
      <c r="I262" s="179">
        <v>19.98</v>
      </c>
    </row>
    <row r="263" spans="3:9" x14ac:dyDescent="0.3">
      <c r="C263" s="1" t="s">
        <v>3101</v>
      </c>
      <c r="D263" s="1" t="s">
        <v>3101</v>
      </c>
      <c r="E263" s="179">
        <v>0</v>
      </c>
      <c r="F263" s="179">
        <v>-275008</v>
      </c>
      <c r="G263" s="179">
        <f>+SUMIFS('Additional &amp; Presentation Entry'!$G$11:$G$1048576,'Additional &amp; Presentation Entry'!$F$11:$F$1048576,Sheet1!C263)</f>
        <v>0</v>
      </c>
      <c r="H263" s="179">
        <f t="shared" ref="H263:H326" si="4">+F263+G263</f>
        <v>-275008</v>
      </c>
      <c r="I263" s="179">
        <v>-275008</v>
      </c>
    </row>
    <row r="264" spans="3:9" x14ac:dyDescent="0.3">
      <c r="C264" s="1" t="s">
        <v>2836</v>
      </c>
      <c r="D264" s="1" t="s">
        <v>2836</v>
      </c>
      <c r="E264" s="179">
        <v>0</v>
      </c>
      <c r="F264" s="179">
        <v>0</v>
      </c>
      <c r="G264" s="179">
        <f>+SUMIFS('Additional &amp; Presentation Entry'!$G$11:$G$1048576,'Additional &amp; Presentation Entry'!$F$11:$F$1048576,Sheet1!C264)</f>
        <v>0</v>
      </c>
      <c r="H264" s="179">
        <f t="shared" si="4"/>
        <v>0</v>
      </c>
      <c r="I264" s="179">
        <v>0</v>
      </c>
    </row>
    <row r="265" spans="3:9" x14ac:dyDescent="0.3">
      <c r="C265" s="1" t="s">
        <v>2838</v>
      </c>
      <c r="D265" s="1" t="s">
        <v>2838</v>
      </c>
      <c r="E265" s="179">
        <v>0</v>
      </c>
      <c r="F265" s="179">
        <v>-15443674.32</v>
      </c>
      <c r="G265" s="179">
        <f>+SUMIFS('Additional &amp; Presentation Entry'!$G$11:$G$1048576,'Additional &amp; Presentation Entry'!$F$11:$F$1048576,Sheet1!C265)</f>
        <v>0</v>
      </c>
      <c r="H265" s="179">
        <f t="shared" si="4"/>
        <v>-15443674.32</v>
      </c>
      <c r="I265" s="179">
        <v>-15443674.32</v>
      </c>
    </row>
    <row r="266" spans="3:9" x14ac:dyDescent="0.3">
      <c r="C266" s="1" t="s">
        <v>2839</v>
      </c>
      <c r="D266" s="1" t="s">
        <v>2839</v>
      </c>
      <c r="E266" s="179">
        <v>0</v>
      </c>
      <c r="F266" s="179">
        <v>-3493327.81</v>
      </c>
      <c r="G266" s="179">
        <f>+SUMIFS('Additional &amp; Presentation Entry'!$G$11:$G$1048576,'Additional &amp; Presentation Entry'!$F$11:$F$1048576,Sheet1!C266)</f>
        <v>593188.43000000005</v>
      </c>
      <c r="H266" s="179">
        <f t="shared" si="4"/>
        <v>-2900139.38</v>
      </c>
      <c r="I266" s="179">
        <v>-3493327.81</v>
      </c>
    </row>
    <row r="267" spans="3:9" x14ac:dyDescent="0.3">
      <c r="C267" s="1" t="s">
        <v>2841</v>
      </c>
      <c r="D267" s="1" t="s">
        <v>2841</v>
      </c>
      <c r="E267" s="179">
        <v>0</v>
      </c>
      <c r="F267" s="179">
        <v>-122871258.02</v>
      </c>
      <c r="G267" s="179">
        <f>+SUMIFS('Additional &amp; Presentation Entry'!$G$11:$G$1048576,'Additional &amp; Presentation Entry'!$F$11:$F$1048576,Sheet1!C267)</f>
        <v>-5872674.1799999997</v>
      </c>
      <c r="H267" s="179">
        <f t="shared" si="4"/>
        <v>-128743932.19999999</v>
      </c>
      <c r="I267" s="179">
        <v>-122871258.02</v>
      </c>
    </row>
    <row r="268" spans="3:9" x14ac:dyDescent="0.3">
      <c r="C268" s="1" t="s">
        <v>2842</v>
      </c>
      <c r="D268" s="1" t="s">
        <v>2842</v>
      </c>
      <c r="E268" s="179">
        <v>0</v>
      </c>
      <c r="F268" s="179">
        <v>-113631610.14</v>
      </c>
      <c r="G268" s="179">
        <f>+SUMIFS('Additional &amp; Presentation Entry'!$G$11:$G$1048576,'Additional &amp; Presentation Entry'!$F$11:$F$1048576,Sheet1!C268)</f>
        <v>15804108</v>
      </c>
      <c r="H268" s="179">
        <f t="shared" si="4"/>
        <v>-97827502.140000001</v>
      </c>
      <c r="I268" s="179">
        <v>-113631610.14</v>
      </c>
    </row>
    <row r="269" spans="3:9" x14ac:dyDescent="0.3">
      <c r="C269" s="1" t="s">
        <v>2843</v>
      </c>
      <c r="D269" s="1" t="s">
        <v>2843</v>
      </c>
      <c r="E269" s="179">
        <v>0</v>
      </c>
      <c r="F269" s="179">
        <v>-195327.52</v>
      </c>
      <c r="G269" s="179">
        <f>+SUMIFS('Additional &amp; Presentation Entry'!$G$11:$G$1048576,'Additional &amp; Presentation Entry'!$F$11:$F$1048576,Sheet1!C269)</f>
        <v>0</v>
      </c>
      <c r="H269" s="179">
        <f t="shared" si="4"/>
        <v>-195327.52</v>
      </c>
      <c r="I269" s="179">
        <v>-195327.52</v>
      </c>
    </row>
    <row r="270" spans="3:9" x14ac:dyDescent="0.3">
      <c r="C270" s="1" t="s">
        <v>3594</v>
      </c>
      <c r="D270" s="1" t="s">
        <v>2849</v>
      </c>
      <c r="E270" s="179">
        <v>1357.5</v>
      </c>
      <c r="F270" s="179">
        <v>1357.5</v>
      </c>
      <c r="G270" s="179">
        <f>+SUMIFS('Additional &amp; Presentation Entry'!$G$11:$G$1048576,'Additional &amp; Presentation Entry'!$F$11:$F$1048576,Sheet1!C270)</f>
        <v>0</v>
      </c>
      <c r="H270" s="179">
        <f t="shared" si="4"/>
        <v>1357.5</v>
      </c>
      <c r="I270" s="179">
        <v>1357.5</v>
      </c>
    </row>
    <row r="271" spans="3:9" x14ac:dyDescent="0.3">
      <c r="C271" s="1" t="s">
        <v>3593</v>
      </c>
      <c r="D271" s="1" t="s">
        <v>2848</v>
      </c>
      <c r="E271" s="179">
        <v>1044.5</v>
      </c>
      <c r="F271" s="179">
        <v>1044.5</v>
      </c>
      <c r="G271" s="179">
        <f>+SUMIFS('Additional &amp; Presentation Entry'!$G$11:$G$1048576,'Additional &amp; Presentation Entry'!$F$11:$F$1048576,Sheet1!C271)</f>
        <v>0</v>
      </c>
      <c r="H271" s="179">
        <f t="shared" si="4"/>
        <v>1044.5</v>
      </c>
      <c r="I271" s="179">
        <v>1044.5</v>
      </c>
    </row>
    <row r="272" spans="3:9" x14ac:dyDescent="0.3">
      <c r="C272" s="1" t="s">
        <v>3595</v>
      </c>
      <c r="D272" s="1" t="s">
        <v>2850</v>
      </c>
      <c r="E272" s="179">
        <v>4182.37</v>
      </c>
      <c r="F272" s="179">
        <v>4182.37</v>
      </c>
      <c r="G272" s="179">
        <f>+SUMIFS('Additional &amp; Presentation Entry'!$G$11:$G$1048576,'Additional &amp; Presentation Entry'!$F$11:$F$1048576,Sheet1!C272)</f>
        <v>0</v>
      </c>
      <c r="H272" s="179">
        <f t="shared" si="4"/>
        <v>4182.37</v>
      </c>
      <c r="I272" s="179">
        <v>4182.37</v>
      </c>
    </row>
    <row r="273" spans="3:9" x14ac:dyDescent="0.3">
      <c r="C273" s="1" t="s">
        <v>2769</v>
      </c>
      <c r="D273" s="1" t="s">
        <v>2769</v>
      </c>
      <c r="E273" s="179">
        <v>0</v>
      </c>
      <c r="F273" s="179">
        <v>1396998</v>
      </c>
      <c r="G273" s="179">
        <f>+SUMIFS('Additional &amp; Presentation Entry'!$G$11:$G$1048576,'Additional &amp; Presentation Entry'!$F$11:$F$1048576,Sheet1!C273)</f>
        <v>0</v>
      </c>
      <c r="H273" s="179">
        <f t="shared" si="4"/>
        <v>1396998</v>
      </c>
      <c r="I273" s="179">
        <v>1396998</v>
      </c>
    </row>
    <row r="274" spans="3:9" x14ac:dyDescent="0.3">
      <c r="C274" s="2347" t="s">
        <v>2778</v>
      </c>
      <c r="D274" s="1" t="s">
        <v>2778</v>
      </c>
      <c r="E274" s="179">
        <v>-14896</v>
      </c>
      <c r="F274" s="179">
        <v>-104272</v>
      </c>
      <c r="G274" s="179">
        <f>+SUMIFS('Additional &amp; Presentation Entry'!$G$11:$G$1048576,'Additional &amp; Presentation Entry'!$F$11:$F$1048576,Sheet1!C274)</f>
        <v>104272</v>
      </c>
      <c r="H274" s="179">
        <f t="shared" si="4"/>
        <v>0</v>
      </c>
      <c r="I274" s="179">
        <v>-104272</v>
      </c>
    </row>
    <row r="275" spans="3:9" x14ac:dyDescent="0.3">
      <c r="C275" s="1" t="s">
        <v>2851</v>
      </c>
      <c r="D275" s="1" t="s">
        <v>2851</v>
      </c>
      <c r="E275" s="179">
        <v>0</v>
      </c>
      <c r="F275" s="179">
        <v>16400</v>
      </c>
      <c r="G275" s="179">
        <f>+SUMIFS('Additional &amp; Presentation Entry'!$G$11:$G$1048576,'Additional &amp; Presentation Entry'!$F$11:$F$1048576,Sheet1!C275)</f>
        <v>0</v>
      </c>
      <c r="H275" s="179">
        <f t="shared" si="4"/>
        <v>16400</v>
      </c>
      <c r="I275" s="179">
        <v>16400</v>
      </c>
    </row>
    <row r="276" spans="3:9" x14ac:dyDescent="0.3">
      <c r="C276" s="1" t="s">
        <v>2852</v>
      </c>
      <c r="D276" s="1" t="s">
        <v>2852</v>
      </c>
      <c r="E276" s="179">
        <v>0</v>
      </c>
      <c r="F276" s="179">
        <v>-3333553.79</v>
      </c>
      <c r="G276" s="179">
        <f>+SUMIFS('Additional &amp; Presentation Entry'!$G$11:$G$1048576,'Additional &amp; Presentation Entry'!$F$11:$F$1048576,Sheet1!C276)</f>
        <v>0</v>
      </c>
      <c r="H276" s="179">
        <f t="shared" si="4"/>
        <v>-3333553.79</v>
      </c>
      <c r="I276" s="179">
        <v>-3333553.79</v>
      </c>
    </row>
    <row r="277" spans="3:9" x14ac:dyDescent="0.3">
      <c r="C277" s="1" t="s">
        <v>2853</v>
      </c>
      <c r="D277" s="1" t="s">
        <v>2853</v>
      </c>
      <c r="E277" s="179">
        <v>-3333555.44</v>
      </c>
      <c r="F277" s="179">
        <v>-111118.54</v>
      </c>
      <c r="G277" s="179">
        <f>+SUMIFS('Additional &amp; Presentation Entry'!$G$11:$G$1048576,'Additional &amp; Presentation Entry'!$F$11:$F$1048576,Sheet1!C277)</f>
        <v>0</v>
      </c>
      <c r="H277" s="179">
        <f t="shared" si="4"/>
        <v>-111118.54</v>
      </c>
      <c r="I277" s="179">
        <v>-111118.54</v>
      </c>
    </row>
    <row r="278" spans="3:9" x14ac:dyDescent="0.3">
      <c r="C278" s="1" t="s">
        <v>3568</v>
      </c>
      <c r="D278" s="1" t="s">
        <v>2856</v>
      </c>
      <c r="E278" s="179">
        <v>390.9</v>
      </c>
      <c r="F278" s="179">
        <v>390.9</v>
      </c>
      <c r="G278" s="179">
        <f>+SUMIFS('Additional &amp; Presentation Entry'!$G$11:$G$1048576,'Additional &amp; Presentation Entry'!$F$11:$F$1048576,Sheet1!C278)</f>
        <v>-115</v>
      </c>
      <c r="H278" s="179">
        <f t="shared" si="4"/>
        <v>275.89999999999998</v>
      </c>
      <c r="I278" s="179">
        <v>390.9</v>
      </c>
    </row>
    <row r="279" spans="3:9" x14ac:dyDescent="0.3">
      <c r="C279" s="1" t="s">
        <v>2859</v>
      </c>
      <c r="D279" s="1" t="s">
        <v>2859</v>
      </c>
      <c r="E279" s="179">
        <v>0</v>
      </c>
      <c r="F279" s="179">
        <v>0</v>
      </c>
      <c r="G279" s="179">
        <f>+SUMIFS('Additional &amp; Presentation Entry'!$G$11:$G$1048576,'Additional &amp; Presentation Entry'!$F$11:$F$1048576,Sheet1!C279)</f>
        <v>0</v>
      </c>
      <c r="H279" s="179">
        <f t="shared" si="4"/>
        <v>0</v>
      </c>
      <c r="I279" s="179">
        <v>0</v>
      </c>
    </row>
    <row r="280" spans="3:9" x14ac:dyDescent="0.3">
      <c r="C280" s="1" t="s">
        <v>2782</v>
      </c>
      <c r="D280" s="1" t="s">
        <v>2782</v>
      </c>
      <c r="E280" s="179">
        <v>175262.2</v>
      </c>
      <c r="F280" s="179">
        <v>0</v>
      </c>
      <c r="G280" s="179">
        <f>+SUMIFS('Additional &amp; Presentation Entry'!$G$11:$G$1048576,'Additional &amp; Presentation Entry'!$F$11:$F$1048576,Sheet1!C280)</f>
        <v>0</v>
      </c>
      <c r="H280" s="179">
        <f t="shared" si="4"/>
        <v>0</v>
      </c>
      <c r="I280" s="179">
        <v>0</v>
      </c>
    </row>
    <row r="281" spans="3:9" x14ac:dyDescent="0.3">
      <c r="C281" s="1" t="s">
        <v>2785</v>
      </c>
      <c r="D281" s="1" t="s">
        <v>2785</v>
      </c>
      <c r="E281" s="179">
        <v>0</v>
      </c>
      <c r="F281" s="179">
        <v>-1600</v>
      </c>
      <c r="G281" s="179">
        <f>+SUMIFS('Additional &amp; Presentation Entry'!$G$11:$G$1048576,'Additional &amp; Presentation Entry'!$F$11:$F$1048576,Sheet1!C281)</f>
        <v>0</v>
      </c>
      <c r="H281" s="179">
        <f t="shared" si="4"/>
        <v>-1600</v>
      </c>
      <c r="I281" s="179">
        <v>-1600</v>
      </c>
    </row>
    <row r="282" spans="3:9" x14ac:dyDescent="0.3">
      <c r="C282" s="1" t="s">
        <v>2786</v>
      </c>
      <c r="D282" s="1" t="s">
        <v>2786</v>
      </c>
      <c r="E282" s="179">
        <v>0</v>
      </c>
      <c r="F282" s="179">
        <v>-331689.56</v>
      </c>
      <c r="G282" s="179">
        <f>+SUMIFS('Additional &amp; Presentation Entry'!$G$11:$G$1048576,'Additional &amp; Presentation Entry'!$F$11:$F$1048576,Sheet1!C282)</f>
        <v>109691.02</v>
      </c>
      <c r="H282" s="179">
        <f t="shared" si="4"/>
        <v>-221998.53999999998</v>
      </c>
      <c r="I282" s="179">
        <v>-331689.56</v>
      </c>
    </row>
    <row r="283" spans="3:9" x14ac:dyDescent="0.3">
      <c r="C283" s="1" t="s">
        <v>3098</v>
      </c>
      <c r="D283" s="1" t="s">
        <v>3098</v>
      </c>
      <c r="E283" s="179">
        <v>0</v>
      </c>
      <c r="F283" s="179">
        <v>-2068.85</v>
      </c>
      <c r="G283" s="179">
        <f>+SUMIFS('Additional &amp; Presentation Entry'!$G$11:$G$1048576,'Additional &amp; Presentation Entry'!$F$11:$F$1048576,Sheet1!C283)</f>
        <v>2068.85</v>
      </c>
      <c r="H283" s="179">
        <f t="shared" si="4"/>
        <v>0</v>
      </c>
      <c r="I283" s="179">
        <v>-2068.85</v>
      </c>
    </row>
    <row r="284" spans="3:9" x14ac:dyDescent="0.3">
      <c r="C284" s="1" t="s">
        <v>3596</v>
      </c>
      <c r="D284" s="1" t="s">
        <v>3099</v>
      </c>
      <c r="E284" s="179">
        <v>0</v>
      </c>
      <c r="F284" s="179">
        <v>2685701.32</v>
      </c>
      <c r="G284" s="179">
        <f>+SUMIFS('Additional &amp; Presentation Entry'!$G$11:$G$1048576,'Additional &amp; Presentation Entry'!$F$11:$F$1048576,Sheet1!C284)</f>
        <v>812196.02000000014</v>
      </c>
      <c r="H284" s="179">
        <f t="shared" si="4"/>
        <v>3497897.34</v>
      </c>
      <c r="I284" s="179">
        <v>2691438.73</v>
      </c>
    </row>
    <row r="285" spans="3:9" x14ac:dyDescent="0.3">
      <c r="C285" s="1" t="s">
        <v>3100</v>
      </c>
      <c r="D285" s="1" t="s">
        <v>3100</v>
      </c>
      <c r="E285" s="179">
        <v>565301.93000000005</v>
      </c>
      <c r="F285" s="179">
        <v>58.11</v>
      </c>
      <c r="G285" s="179">
        <f>+SUMIFS('Additional &amp; Presentation Entry'!$G$11:$G$1048576,'Additional &amp; Presentation Entry'!$F$11:$F$1048576,Sheet1!C285)</f>
        <v>0</v>
      </c>
      <c r="H285" s="179">
        <f t="shared" si="4"/>
        <v>58.11</v>
      </c>
      <c r="I285" s="179">
        <v>0</v>
      </c>
    </row>
    <row r="286" spans="3:9" x14ac:dyDescent="0.3">
      <c r="C286" s="1" t="s">
        <v>2864</v>
      </c>
      <c r="D286" s="1" t="s">
        <v>2864</v>
      </c>
      <c r="E286" s="179">
        <v>-338.46</v>
      </c>
      <c r="F286" s="179">
        <v>471.95</v>
      </c>
      <c r="G286" s="179">
        <f>+SUMIFS('Additional &amp; Presentation Entry'!$G$11:$G$1048576,'Additional &amp; Presentation Entry'!$F$11:$F$1048576,Sheet1!C286)</f>
        <v>0</v>
      </c>
      <c r="H286" s="179">
        <f t="shared" si="4"/>
        <v>471.95</v>
      </c>
      <c r="I286" s="179">
        <v>471.95</v>
      </c>
    </row>
    <row r="287" spans="3:9" x14ac:dyDescent="0.3">
      <c r="C287" s="1" t="s">
        <v>2807</v>
      </c>
      <c r="D287" s="1" t="s">
        <v>2807</v>
      </c>
      <c r="E287" s="179">
        <v>-23600</v>
      </c>
      <c r="F287" s="179">
        <v>0</v>
      </c>
      <c r="G287" s="179">
        <f>+SUMIFS('Additional &amp; Presentation Entry'!$G$11:$G$1048576,'Additional &amp; Presentation Entry'!$F$11:$F$1048576,Sheet1!C287)</f>
        <v>0</v>
      </c>
      <c r="H287" s="179">
        <f t="shared" si="4"/>
        <v>0</v>
      </c>
      <c r="I287" s="179">
        <v>0</v>
      </c>
    </row>
    <row r="288" spans="3:9" x14ac:dyDescent="0.3">
      <c r="C288" s="1" t="s">
        <v>2809</v>
      </c>
      <c r="D288" s="1" t="s">
        <v>2809</v>
      </c>
      <c r="E288" s="179">
        <v>2771113.18</v>
      </c>
      <c r="F288" s="179">
        <v>0</v>
      </c>
      <c r="G288" s="179">
        <f>+SUMIFS('Additional &amp; Presentation Entry'!$G$11:$G$1048576,'Additional &amp; Presentation Entry'!$F$11:$F$1048576,Sheet1!C288)</f>
        <v>0</v>
      </c>
      <c r="H288" s="179">
        <f t="shared" si="4"/>
        <v>0</v>
      </c>
      <c r="I288" s="179">
        <v>0</v>
      </c>
    </row>
    <row r="289" spans="3:9" x14ac:dyDescent="0.3">
      <c r="C289" s="2347" t="s">
        <v>2868</v>
      </c>
      <c r="D289" s="1" t="s">
        <v>2868</v>
      </c>
      <c r="E289" s="179">
        <v>0</v>
      </c>
      <c r="F289" s="179">
        <v>116387.92</v>
      </c>
      <c r="G289" s="179">
        <f>+SUMIFS('Additional &amp; Presentation Entry'!$G$11:$G$1048576,'Additional &amp; Presentation Entry'!$F$11:$F$1048576,Sheet1!C289)</f>
        <v>7794.2506849315105</v>
      </c>
      <c r="H289" s="179">
        <f t="shared" si="4"/>
        <v>124182.17068493151</v>
      </c>
      <c r="I289" s="179">
        <v>116387.92</v>
      </c>
    </row>
    <row r="290" spans="3:9" x14ac:dyDescent="0.3">
      <c r="C290" s="1" t="s">
        <v>2870</v>
      </c>
      <c r="D290" s="1" t="s">
        <v>2870</v>
      </c>
      <c r="E290" s="179">
        <v>0</v>
      </c>
      <c r="F290" s="179">
        <v>0</v>
      </c>
      <c r="G290" s="179">
        <f>+SUMIFS('Additional &amp; Presentation Entry'!$G$11:$G$1048576,'Additional &amp; Presentation Entry'!$F$11:$F$1048576,Sheet1!C290)</f>
        <v>0</v>
      </c>
      <c r="H290" s="179">
        <f t="shared" si="4"/>
        <v>0</v>
      </c>
      <c r="I290" s="179">
        <v>0</v>
      </c>
    </row>
    <row r="291" spans="3:9" x14ac:dyDescent="0.3">
      <c r="C291" s="1" t="s">
        <v>2874</v>
      </c>
      <c r="D291" s="1" t="s">
        <v>2874</v>
      </c>
      <c r="E291" s="179">
        <v>0</v>
      </c>
      <c r="F291" s="179">
        <v>0</v>
      </c>
      <c r="G291" s="179">
        <f>+SUMIFS('Additional &amp; Presentation Entry'!$G$11:$G$1048576,'Additional &amp; Presentation Entry'!$F$11:$F$1048576,Sheet1!C291)</f>
        <v>0</v>
      </c>
      <c r="H291" s="179">
        <f t="shared" si="4"/>
        <v>0</v>
      </c>
      <c r="I291" s="179">
        <v>0</v>
      </c>
    </row>
    <row r="292" spans="3:9" x14ac:dyDescent="0.3">
      <c r="C292" s="1" t="s">
        <v>2878</v>
      </c>
      <c r="D292" s="1" t="s">
        <v>2878</v>
      </c>
      <c r="E292" s="179">
        <v>0</v>
      </c>
      <c r="F292" s="179">
        <v>0</v>
      </c>
      <c r="G292" s="179">
        <f>+SUMIFS('Additional &amp; Presentation Entry'!$G$11:$G$1048576,'Additional &amp; Presentation Entry'!$F$11:$F$1048576,Sheet1!C292)</f>
        <v>0</v>
      </c>
      <c r="H292" s="179">
        <f t="shared" si="4"/>
        <v>0</v>
      </c>
      <c r="I292" s="179">
        <v>0</v>
      </c>
    </row>
    <row r="293" spans="3:9" x14ac:dyDescent="0.3">
      <c r="C293" s="1" t="s">
        <v>2881</v>
      </c>
      <c r="D293" s="1" t="s">
        <v>2881</v>
      </c>
      <c r="E293" s="179">
        <v>0</v>
      </c>
      <c r="F293" s="179">
        <v>2500</v>
      </c>
      <c r="G293" s="179">
        <f>+SUMIFS('Additional &amp; Presentation Entry'!$G$11:$G$1048576,'Additional &amp; Presentation Entry'!$F$11:$F$1048576,Sheet1!C293)</f>
        <v>0</v>
      </c>
      <c r="H293" s="179">
        <f t="shared" si="4"/>
        <v>2500</v>
      </c>
      <c r="I293" s="179">
        <v>2500</v>
      </c>
    </row>
    <row r="294" spans="3:9" x14ac:dyDescent="0.3">
      <c r="C294" s="2347" t="s">
        <v>2832</v>
      </c>
      <c r="D294" s="1" t="s">
        <v>2832</v>
      </c>
      <c r="E294" s="179">
        <v>-9804</v>
      </c>
      <c r="F294" s="179">
        <v>-107844</v>
      </c>
      <c r="G294" s="179">
        <f>+SUMIFS('Additional &amp; Presentation Entry'!$G$11:$G$1048576,'Additional &amp; Presentation Entry'!$F$11:$F$1048576,Sheet1!C294)</f>
        <v>107844</v>
      </c>
      <c r="H294" s="179">
        <f t="shared" si="4"/>
        <v>0</v>
      </c>
      <c r="I294" s="179">
        <v>-107844</v>
      </c>
    </row>
    <row r="295" spans="3:9" x14ac:dyDescent="0.3">
      <c r="C295" s="1" t="s">
        <v>2887</v>
      </c>
      <c r="D295" s="1" t="s">
        <v>2887</v>
      </c>
      <c r="E295" s="179">
        <v>130.33000000000001</v>
      </c>
      <c r="F295" s="179">
        <v>130.33000000000001</v>
      </c>
      <c r="G295" s="179">
        <f>+SUMIFS('Additional &amp; Presentation Entry'!$G$11:$G$1048576,'Additional &amp; Presentation Entry'!$F$11:$F$1048576,Sheet1!C295)</f>
        <v>0</v>
      </c>
      <c r="H295" s="179">
        <f t="shared" si="4"/>
        <v>130.33000000000001</v>
      </c>
      <c r="I295" s="179">
        <v>0</v>
      </c>
    </row>
    <row r="296" spans="3:9" x14ac:dyDescent="0.3">
      <c r="C296" s="1" t="s">
        <v>2890</v>
      </c>
      <c r="D296" s="1" t="s">
        <v>2890</v>
      </c>
      <c r="E296" s="179">
        <v>0</v>
      </c>
      <c r="F296" s="179">
        <v>0</v>
      </c>
      <c r="G296" s="179">
        <f>+SUMIFS('Additional &amp; Presentation Entry'!$G$11:$G$1048576,'Additional &amp; Presentation Entry'!$F$11:$F$1048576,Sheet1!C296)</f>
        <v>0</v>
      </c>
      <c r="H296" s="179">
        <f t="shared" si="4"/>
        <v>0</v>
      </c>
      <c r="I296" s="179">
        <v>0</v>
      </c>
    </row>
    <row r="297" spans="3:9" x14ac:dyDescent="0.3">
      <c r="C297" s="1" t="s">
        <v>2893</v>
      </c>
      <c r="D297" s="1" t="s">
        <v>2893</v>
      </c>
      <c r="E297" s="179">
        <v>0</v>
      </c>
      <c r="F297" s="179">
        <v>0</v>
      </c>
      <c r="G297" s="179">
        <f>+SUMIFS('Additional &amp; Presentation Entry'!$G$11:$G$1048576,'Additional &amp; Presentation Entry'!$F$11:$F$1048576,Sheet1!C297)</f>
        <v>0</v>
      </c>
      <c r="H297" s="179">
        <f t="shared" si="4"/>
        <v>0</v>
      </c>
      <c r="I297" s="179">
        <v>0</v>
      </c>
    </row>
    <row r="298" spans="3:9" x14ac:dyDescent="0.3">
      <c r="C298" s="1" t="s">
        <v>2897</v>
      </c>
      <c r="D298" s="1" t="s">
        <v>2897</v>
      </c>
      <c r="E298" s="179">
        <v>0</v>
      </c>
      <c r="F298" s="179">
        <v>0</v>
      </c>
      <c r="G298" s="179">
        <f>+SUMIFS('Additional &amp; Presentation Entry'!$G$11:$G$1048576,'Additional &amp; Presentation Entry'!$F$11:$F$1048576,Sheet1!C298)</f>
        <v>0</v>
      </c>
      <c r="H298" s="179">
        <f t="shared" si="4"/>
        <v>0</v>
      </c>
      <c r="I298" s="179">
        <v>0</v>
      </c>
    </row>
    <row r="299" spans="3:9" x14ac:dyDescent="0.3">
      <c r="C299" s="1" t="s">
        <v>2898</v>
      </c>
      <c r="D299" s="1" t="s">
        <v>2898</v>
      </c>
      <c r="E299" s="179">
        <v>-5152</v>
      </c>
      <c r="F299" s="179">
        <v>-5152</v>
      </c>
      <c r="G299" s="179">
        <f>+SUMIFS('Additional &amp; Presentation Entry'!$G$11:$G$1048576,'Additional &amp; Presentation Entry'!$F$11:$F$1048576,Sheet1!C299)</f>
        <v>5152</v>
      </c>
      <c r="H299" s="179">
        <f t="shared" si="4"/>
        <v>0</v>
      </c>
      <c r="I299" s="179">
        <v>-5152</v>
      </c>
    </row>
    <row r="300" spans="3:9" x14ac:dyDescent="0.3">
      <c r="C300" s="1" t="s">
        <v>2899</v>
      </c>
      <c r="D300" s="1" t="s">
        <v>2899</v>
      </c>
      <c r="E300" s="179">
        <v>90</v>
      </c>
      <c r="F300" s="179">
        <v>90</v>
      </c>
      <c r="G300" s="179">
        <f>+SUMIFS('Additional &amp; Presentation Entry'!$G$11:$G$1048576,'Additional &amp; Presentation Entry'!$F$11:$F$1048576,Sheet1!C300)</f>
        <v>-90</v>
      </c>
      <c r="H300" s="179">
        <f t="shared" si="4"/>
        <v>0</v>
      </c>
      <c r="I300" s="179">
        <v>90</v>
      </c>
    </row>
    <row r="301" spans="3:9" x14ac:dyDescent="0.3">
      <c r="C301" s="1" t="s">
        <v>2937</v>
      </c>
      <c r="D301" s="1" t="s">
        <v>2937</v>
      </c>
      <c r="E301" s="179">
        <v>0</v>
      </c>
      <c r="F301" s="179">
        <v>0</v>
      </c>
      <c r="G301" s="179">
        <f>+SUMIFS('Additional &amp; Presentation Entry'!$G$11:$G$1048576,'Additional &amp; Presentation Entry'!$F$11:$F$1048576,Sheet1!C301)</f>
        <v>0</v>
      </c>
      <c r="H301" s="179">
        <f t="shared" si="4"/>
        <v>0</v>
      </c>
      <c r="I301" s="179">
        <v>0</v>
      </c>
    </row>
    <row r="302" spans="3:9" x14ac:dyDescent="0.3">
      <c r="C302" s="1" t="s">
        <v>2938</v>
      </c>
      <c r="D302" s="1" t="s">
        <v>2938</v>
      </c>
      <c r="E302" s="179">
        <v>-1163483</v>
      </c>
      <c r="F302" s="179">
        <v>149494</v>
      </c>
      <c r="G302" s="179">
        <f>+SUMIFS('Additional &amp; Presentation Entry'!$G$11:$G$1048576,'Additional &amp; Presentation Entry'!$F$11:$F$1048576,Sheet1!C302)</f>
        <v>0</v>
      </c>
      <c r="H302" s="179">
        <f t="shared" si="4"/>
        <v>149494</v>
      </c>
      <c r="I302" s="179">
        <v>149494</v>
      </c>
    </row>
    <row r="303" spans="3:9" x14ac:dyDescent="0.3">
      <c r="C303" s="1" t="s">
        <v>2904</v>
      </c>
      <c r="D303" s="1" t="s">
        <v>2904</v>
      </c>
      <c r="E303" s="179">
        <v>0</v>
      </c>
      <c r="F303" s="179">
        <v>0</v>
      </c>
      <c r="G303" s="179">
        <f>+SUMIFS('Additional &amp; Presentation Entry'!$G$11:$G$1048576,'Additional &amp; Presentation Entry'!$F$11:$F$1048576,Sheet1!C303)</f>
        <v>0</v>
      </c>
      <c r="H303" s="179">
        <f t="shared" si="4"/>
        <v>0</v>
      </c>
      <c r="I303" s="179">
        <v>0</v>
      </c>
    </row>
    <row r="304" spans="3:9" x14ac:dyDescent="0.3">
      <c r="C304" s="1" t="s">
        <v>2905</v>
      </c>
      <c r="D304" s="1" t="s">
        <v>2905</v>
      </c>
      <c r="E304" s="179">
        <v>7548.13</v>
      </c>
      <c r="F304" s="179">
        <v>830.13</v>
      </c>
      <c r="G304" s="179">
        <f>+SUMIFS('Additional &amp; Presentation Entry'!$G$11:$G$1048576,'Additional &amp; Presentation Entry'!$F$11:$F$1048576,Sheet1!C304)</f>
        <v>-830.13</v>
      </c>
      <c r="H304" s="179">
        <f t="shared" si="4"/>
        <v>0</v>
      </c>
      <c r="I304" s="179">
        <v>830.13</v>
      </c>
    </row>
    <row r="305" spans="3:9" x14ac:dyDescent="0.3">
      <c r="C305" s="1" t="s">
        <v>2906</v>
      </c>
      <c r="D305" s="1" t="s">
        <v>2906</v>
      </c>
      <c r="E305" s="179">
        <v>0</v>
      </c>
      <c r="F305" s="179">
        <v>3101</v>
      </c>
      <c r="G305" s="179">
        <f>+SUMIFS('Additional &amp; Presentation Entry'!$G$11:$G$1048576,'Additional &amp; Presentation Entry'!$F$11:$F$1048576,Sheet1!C305)</f>
        <v>0</v>
      </c>
      <c r="H305" s="179">
        <f t="shared" si="4"/>
        <v>3101</v>
      </c>
      <c r="I305" s="179">
        <v>3101</v>
      </c>
    </row>
    <row r="306" spans="3:9" x14ac:dyDescent="0.3">
      <c r="C306" s="1" t="s">
        <v>2913</v>
      </c>
      <c r="D306" s="1" t="s">
        <v>2913</v>
      </c>
      <c r="E306" s="179">
        <v>0</v>
      </c>
      <c r="F306" s="179">
        <v>0</v>
      </c>
      <c r="G306" s="179">
        <f>+SUMIFS('Additional &amp; Presentation Entry'!$G$11:$G$1048576,'Additional &amp; Presentation Entry'!$F$11:$F$1048576,Sheet1!C306)</f>
        <v>0</v>
      </c>
      <c r="H306" s="179">
        <f t="shared" si="4"/>
        <v>0</v>
      </c>
      <c r="I306" s="179">
        <v>0</v>
      </c>
    </row>
    <row r="307" spans="3:9" x14ac:dyDescent="0.3">
      <c r="C307" s="1" t="s">
        <v>2914</v>
      </c>
      <c r="D307" s="1" t="s">
        <v>2914</v>
      </c>
      <c r="E307" s="179">
        <v>0</v>
      </c>
      <c r="F307" s="179">
        <v>0</v>
      </c>
      <c r="G307" s="179">
        <f>+SUMIFS('Additional &amp; Presentation Entry'!$G$11:$G$1048576,'Additional &amp; Presentation Entry'!$F$11:$F$1048576,Sheet1!C307)</f>
        <v>0</v>
      </c>
      <c r="H307" s="179">
        <f t="shared" si="4"/>
        <v>0</v>
      </c>
      <c r="I307" s="179">
        <v>0</v>
      </c>
    </row>
    <row r="308" spans="3:9" x14ac:dyDescent="0.3">
      <c r="C308" s="1" t="s">
        <v>2915</v>
      </c>
      <c r="D308" s="1" t="s">
        <v>2915</v>
      </c>
      <c r="E308" s="179">
        <v>179937</v>
      </c>
      <c r="F308" s="179">
        <v>179937</v>
      </c>
      <c r="G308" s="179">
        <f>+SUMIFS('Additional &amp; Presentation Entry'!$G$11:$G$1048576,'Additional &amp; Presentation Entry'!$F$11:$F$1048576,Sheet1!C308)</f>
        <v>-179937</v>
      </c>
      <c r="H308" s="179">
        <f t="shared" si="4"/>
        <v>0</v>
      </c>
      <c r="I308" s="179">
        <v>179937</v>
      </c>
    </row>
    <row r="309" spans="3:9" x14ac:dyDescent="0.3">
      <c r="C309" s="1" t="s">
        <v>2940</v>
      </c>
      <c r="D309" s="1" t="s">
        <v>2940</v>
      </c>
      <c r="E309" s="179">
        <v>-423.62</v>
      </c>
      <c r="F309" s="179">
        <v>-423.62</v>
      </c>
      <c r="G309" s="179">
        <f>+SUMIFS('Additional &amp; Presentation Entry'!$G$11:$G$1048576,'Additional &amp; Presentation Entry'!$F$11:$F$1048576,Sheet1!C309)</f>
        <v>0</v>
      </c>
      <c r="H309" s="179">
        <f t="shared" si="4"/>
        <v>-423.62</v>
      </c>
      <c r="I309" s="179">
        <v>-423.62</v>
      </c>
    </row>
    <row r="310" spans="3:9" x14ac:dyDescent="0.3">
      <c r="C310" s="1" t="s">
        <v>2941</v>
      </c>
      <c r="D310" s="1" t="s">
        <v>2941</v>
      </c>
      <c r="E310" s="179">
        <v>7.0000000000000007E-2</v>
      </c>
      <c r="F310" s="179">
        <v>7.0000000000000007E-2</v>
      </c>
      <c r="G310" s="179">
        <f>+SUMIFS('Additional &amp; Presentation Entry'!$G$11:$G$1048576,'Additional &amp; Presentation Entry'!$F$11:$F$1048576,Sheet1!C310)</f>
        <v>0</v>
      </c>
      <c r="H310" s="179">
        <f t="shared" si="4"/>
        <v>7.0000000000000007E-2</v>
      </c>
      <c r="I310" s="179">
        <v>7.0000000000000007E-2</v>
      </c>
    </row>
    <row r="311" spans="3:9" x14ac:dyDescent="0.3">
      <c r="C311" s="1" t="s">
        <v>2944</v>
      </c>
      <c r="D311" s="1" t="s">
        <v>2944</v>
      </c>
      <c r="E311" s="179">
        <v>-2642</v>
      </c>
      <c r="F311" s="179">
        <v>-1098</v>
      </c>
      <c r="G311" s="179">
        <f>+SUMIFS('Additional &amp; Presentation Entry'!$G$11:$G$1048576,'Additional &amp; Presentation Entry'!$F$11:$F$1048576,Sheet1!C311)</f>
        <v>0</v>
      </c>
      <c r="H311" s="179">
        <f t="shared" si="4"/>
        <v>-1098</v>
      </c>
      <c r="I311" s="179">
        <v>-1098</v>
      </c>
    </row>
    <row r="312" spans="3:9" x14ac:dyDescent="0.3">
      <c r="C312" s="1" t="s">
        <v>3102</v>
      </c>
      <c r="D312" s="1" t="s">
        <v>3102</v>
      </c>
      <c r="E312" s="179">
        <v>0</v>
      </c>
      <c r="F312" s="179">
        <v>-3742.84</v>
      </c>
      <c r="G312" s="179">
        <f>+SUMIFS('Additional &amp; Presentation Entry'!$G$11:$G$1048576,'Additional &amp; Presentation Entry'!$F$11:$F$1048576,Sheet1!C312)</f>
        <v>0</v>
      </c>
      <c r="H312" s="179">
        <f t="shared" si="4"/>
        <v>-3742.84</v>
      </c>
      <c r="I312" s="179">
        <v>-3742.84</v>
      </c>
    </row>
    <row r="313" spans="3:9" x14ac:dyDescent="0.3">
      <c r="C313" s="1" t="s">
        <v>2921</v>
      </c>
      <c r="D313" s="1" t="s">
        <v>2921</v>
      </c>
      <c r="E313" s="179">
        <v>-3549</v>
      </c>
      <c r="F313" s="179">
        <v>0</v>
      </c>
      <c r="G313" s="179">
        <f>+SUMIFS('Additional &amp; Presentation Entry'!$G$11:$G$1048576,'Additional &amp; Presentation Entry'!$F$11:$F$1048576,Sheet1!C313)</f>
        <v>0</v>
      </c>
      <c r="H313" s="179">
        <f t="shared" si="4"/>
        <v>0</v>
      </c>
      <c r="I313" s="179">
        <v>0</v>
      </c>
    </row>
    <row r="314" spans="3:9" x14ac:dyDescent="0.3">
      <c r="C314" s="1" t="s">
        <v>3103</v>
      </c>
      <c r="D314" s="1" t="s">
        <v>3103</v>
      </c>
      <c r="E314" s="179">
        <v>0</v>
      </c>
      <c r="F314" s="179">
        <v>-26237.97</v>
      </c>
      <c r="G314" s="179">
        <f>+SUMIFS('Additional &amp; Presentation Entry'!$G$11:$G$1048576,'Additional &amp; Presentation Entry'!$F$11:$F$1048576,Sheet1!C314)</f>
        <v>0</v>
      </c>
      <c r="H314" s="179">
        <f t="shared" si="4"/>
        <v>-26237.97</v>
      </c>
      <c r="I314" s="179">
        <v>-26237.97</v>
      </c>
    </row>
    <row r="315" spans="3:9" x14ac:dyDescent="0.3">
      <c r="C315" s="1" t="s">
        <v>3104</v>
      </c>
      <c r="D315" s="1" t="s">
        <v>3104</v>
      </c>
      <c r="E315" s="179">
        <v>0</v>
      </c>
      <c r="F315" s="179">
        <v>-0.15</v>
      </c>
      <c r="G315" s="179">
        <f>+SUMIFS('Additional &amp; Presentation Entry'!$G$11:$G$1048576,'Additional &amp; Presentation Entry'!$F$11:$F$1048576,Sheet1!C315)</f>
        <v>0</v>
      </c>
      <c r="H315" s="179">
        <f t="shared" si="4"/>
        <v>-0.15</v>
      </c>
      <c r="I315" s="179">
        <v>-0.15</v>
      </c>
    </row>
    <row r="316" spans="3:9" x14ac:dyDescent="0.3">
      <c r="C316" s="1" t="s">
        <v>2945</v>
      </c>
      <c r="D316" s="1" t="s">
        <v>2945</v>
      </c>
      <c r="E316" s="179">
        <v>1909</v>
      </c>
      <c r="F316" s="179">
        <v>1909</v>
      </c>
      <c r="G316" s="179">
        <f>+SUMIFS('Additional &amp; Presentation Entry'!$G$11:$G$1048576,'Additional &amp; Presentation Entry'!$F$11:$F$1048576,Sheet1!C316)</f>
        <v>0</v>
      </c>
      <c r="H316" s="179">
        <f t="shared" si="4"/>
        <v>1909</v>
      </c>
      <c r="I316" s="179">
        <v>1909</v>
      </c>
    </row>
    <row r="317" spans="3:9" x14ac:dyDescent="0.3">
      <c r="C317" s="1" t="s">
        <v>2946</v>
      </c>
      <c r="D317" s="1" t="s">
        <v>2946</v>
      </c>
      <c r="E317" s="179">
        <v>4423.93</v>
      </c>
      <c r="F317" s="179">
        <v>4423.93</v>
      </c>
      <c r="G317" s="179">
        <f>+SUMIFS('Additional &amp; Presentation Entry'!$G$11:$G$1048576,'Additional &amp; Presentation Entry'!$F$11:$F$1048576,Sheet1!C317)</f>
        <v>0</v>
      </c>
      <c r="H317" s="179">
        <f t="shared" si="4"/>
        <v>4423.93</v>
      </c>
      <c r="I317" s="179">
        <v>4423.93</v>
      </c>
    </row>
    <row r="318" spans="3:9" x14ac:dyDescent="0.3">
      <c r="C318" s="1" t="s">
        <v>2947</v>
      </c>
      <c r="D318" s="1" t="s">
        <v>2947</v>
      </c>
      <c r="E318" s="179">
        <v>158.5</v>
      </c>
      <c r="F318" s="179">
        <v>158.5</v>
      </c>
      <c r="G318" s="179">
        <f>+SUMIFS('Additional &amp; Presentation Entry'!$G$11:$G$1048576,'Additional &amp; Presentation Entry'!$F$11:$F$1048576,Sheet1!C318)</f>
        <v>0</v>
      </c>
      <c r="H318" s="179">
        <f t="shared" si="4"/>
        <v>158.5</v>
      </c>
      <c r="I318" s="179">
        <v>158.5</v>
      </c>
    </row>
    <row r="319" spans="3:9" x14ac:dyDescent="0.3">
      <c r="C319" s="1" t="s">
        <v>2948</v>
      </c>
      <c r="D319" s="1" t="s">
        <v>2948</v>
      </c>
      <c r="E319" s="179">
        <v>-11569</v>
      </c>
      <c r="F319" s="179">
        <v>-11569</v>
      </c>
      <c r="G319" s="179">
        <f>+SUMIFS('Additional &amp; Presentation Entry'!$G$11:$G$1048576,'Additional &amp; Presentation Entry'!$F$11:$F$1048576,Sheet1!C319)</f>
        <v>0</v>
      </c>
      <c r="H319" s="179">
        <f t="shared" si="4"/>
        <v>-11569</v>
      </c>
      <c r="I319" s="179">
        <v>-11569</v>
      </c>
    </row>
    <row r="320" spans="3:9" x14ac:dyDescent="0.3">
      <c r="C320" s="1" t="s">
        <v>2949</v>
      </c>
      <c r="D320" s="1" t="s">
        <v>2949</v>
      </c>
      <c r="E320" s="179">
        <v>212</v>
      </c>
      <c r="F320" s="179">
        <v>212</v>
      </c>
      <c r="G320" s="179">
        <f>+SUMIFS('Additional &amp; Presentation Entry'!$G$11:$G$1048576,'Additional &amp; Presentation Entry'!$F$11:$F$1048576,Sheet1!C320)</f>
        <v>0</v>
      </c>
      <c r="H320" s="179">
        <f t="shared" si="4"/>
        <v>212</v>
      </c>
      <c r="I320" s="179">
        <v>212</v>
      </c>
    </row>
    <row r="321" spans="3:9" x14ac:dyDescent="0.3">
      <c r="C321" s="1" t="s">
        <v>3109</v>
      </c>
      <c r="D321" s="1" t="s">
        <v>3109</v>
      </c>
      <c r="E321" s="179">
        <v>0</v>
      </c>
      <c r="F321" s="179">
        <v>4358.3900000000003</v>
      </c>
      <c r="G321" s="179">
        <f>+SUMIFS('Additional &amp; Presentation Entry'!$G$11:$G$1048576,'Additional &amp; Presentation Entry'!$F$11:$F$1048576,Sheet1!C321)</f>
        <v>-7855.9966666666623</v>
      </c>
      <c r="H321" s="179">
        <f t="shared" si="4"/>
        <v>-3497.606666666662</v>
      </c>
      <c r="I321" s="179">
        <v>4358.3900000000003</v>
      </c>
    </row>
    <row r="322" spans="3:9" x14ac:dyDescent="0.3">
      <c r="C322" s="1" t="s">
        <v>2950</v>
      </c>
      <c r="D322" s="1" t="s">
        <v>3110</v>
      </c>
      <c r="E322" s="179">
        <v>-276945.56</v>
      </c>
      <c r="F322" s="179">
        <v>21113.439999999999</v>
      </c>
      <c r="G322" s="179">
        <f>+SUMIFS('Additional &amp; Presentation Entry'!$G$11:$G$1048576,'Additional &amp; Presentation Entry'!$F$11:$F$1048576,Sheet1!C322)</f>
        <v>0</v>
      </c>
      <c r="H322" s="179">
        <f t="shared" si="4"/>
        <v>21113.439999999999</v>
      </c>
      <c r="I322" s="179">
        <v>21113.439999999999</v>
      </c>
    </row>
    <row r="323" spans="3:9" x14ac:dyDescent="0.3">
      <c r="C323" s="1" t="s">
        <v>2951</v>
      </c>
      <c r="D323" s="1" t="s">
        <v>2951</v>
      </c>
      <c r="E323" s="179">
        <v>0.5</v>
      </c>
      <c r="F323" s="179">
        <v>0.5</v>
      </c>
      <c r="G323" s="179">
        <f>+SUMIFS('Additional &amp; Presentation Entry'!$G$11:$G$1048576,'Additional &amp; Presentation Entry'!$F$11:$F$1048576,Sheet1!C323)</f>
        <v>0</v>
      </c>
      <c r="H323" s="179">
        <f t="shared" si="4"/>
        <v>0.5</v>
      </c>
      <c r="I323" s="179">
        <v>0.5</v>
      </c>
    </row>
    <row r="324" spans="3:9" x14ac:dyDescent="0.3">
      <c r="C324" s="1" t="s">
        <v>2955</v>
      </c>
      <c r="D324" s="1" t="s">
        <v>2955</v>
      </c>
      <c r="E324" s="179">
        <v>-76866</v>
      </c>
      <c r="F324" s="179">
        <v>-944</v>
      </c>
      <c r="G324" s="179">
        <f>+SUMIFS('Additional &amp; Presentation Entry'!$G$11:$G$1048576,'Additional &amp; Presentation Entry'!$F$11:$F$1048576,Sheet1!C324)</f>
        <v>0</v>
      </c>
      <c r="H324" s="179">
        <f t="shared" si="4"/>
        <v>-944</v>
      </c>
      <c r="I324" s="179">
        <v>-944</v>
      </c>
    </row>
    <row r="325" spans="3:9" x14ac:dyDescent="0.3">
      <c r="C325" s="1" t="s">
        <v>3597</v>
      </c>
      <c r="D325" s="1" t="s">
        <v>3105</v>
      </c>
      <c r="E325" s="179">
        <v>0</v>
      </c>
      <c r="F325" s="179">
        <v>-81710.7</v>
      </c>
      <c r="G325" s="179">
        <f>+SUMIFS('Additional &amp; Presentation Entry'!$G$11:$G$1048576,'Additional &amp; Presentation Entry'!$F$11:$F$1048576,Sheet1!C325)</f>
        <v>0</v>
      </c>
      <c r="H325" s="179">
        <f t="shared" si="4"/>
        <v>-81710.7</v>
      </c>
      <c r="I325" s="179">
        <v>-81710.7</v>
      </c>
    </row>
    <row r="326" spans="3:9" x14ac:dyDescent="0.3">
      <c r="C326" s="1" t="s">
        <v>2958</v>
      </c>
      <c r="D326" s="1" t="s">
        <v>2958</v>
      </c>
      <c r="E326" s="179">
        <v>3.22</v>
      </c>
      <c r="F326" s="179">
        <v>3.22</v>
      </c>
      <c r="G326" s="179">
        <f>+SUMIFS('Additional &amp; Presentation Entry'!$G$11:$G$1048576,'Additional &amp; Presentation Entry'!$F$11:$F$1048576,Sheet1!C326)</f>
        <v>0</v>
      </c>
      <c r="H326" s="179">
        <f t="shared" si="4"/>
        <v>3.22</v>
      </c>
      <c r="I326" s="179">
        <v>3.22</v>
      </c>
    </row>
    <row r="327" spans="3:9" x14ac:dyDescent="0.3">
      <c r="C327" s="1" t="s">
        <v>2959</v>
      </c>
      <c r="D327" s="1" t="s">
        <v>2959</v>
      </c>
      <c r="E327" s="179">
        <v>171634.59</v>
      </c>
      <c r="F327" s="179">
        <v>171634.59</v>
      </c>
      <c r="G327" s="179">
        <f>+SUMIFS('Additional &amp; Presentation Entry'!$G$11:$G$1048576,'Additional &amp; Presentation Entry'!$F$11:$F$1048576,Sheet1!C327)</f>
        <v>0</v>
      </c>
      <c r="H327" s="179">
        <f t="shared" ref="H327:H357" si="5">+F327+G327</f>
        <v>171634.59</v>
      </c>
      <c r="I327" s="179">
        <v>171634.59</v>
      </c>
    </row>
    <row r="328" spans="3:9" x14ac:dyDescent="0.3">
      <c r="C328" s="1" t="s">
        <v>2960</v>
      </c>
      <c r="D328" s="1" t="s">
        <v>2960</v>
      </c>
      <c r="E328" s="179">
        <v>691936.21</v>
      </c>
      <c r="F328" s="179">
        <v>691936.21</v>
      </c>
      <c r="G328" s="179">
        <f>+SUMIFS('Additional &amp; Presentation Entry'!$G$11:$G$1048576,'Additional &amp; Presentation Entry'!$F$11:$F$1048576,Sheet1!C328)</f>
        <v>0</v>
      </c>
      <c r="H328" s="179">
        <f t="shared" si="5"/>
        <v>691936.21</v>
      </c>
      <c r="I328" s="179">
        <v>691936.21</v>
      </c>
    </row>
    <row r="329" spans="3:9" x14ac:dyDescent="0.3">
      <c r="C329" s="1" t="s">
        <v>3106</v>
      </c>
      <c r="D329" s="1" t="s">
        <v>3106</v>
      </c>
      <c r="E329" s="179">
        <v>0</v>
      </c>
      <c r="F329" s="179">
        <v>-72925</v>
      </c>
      <c r="G329" s="179">
        <f>+SUMIFS('Additional &amp; Presentation Entry'!$G$11:$G$1048576,'Additional &amp; Presentation Entry'!$F$11:$F$1048576,Sheet1!C329)</f>
        <v>0</v>
      </c>
      <c r="H329" s="179">
        <f t="shared" si="5"/>
        <v>-72925</v>
      </c>
      <c r="I329" s="179">
        <v>-72925</v>
      </c>
    </row>
    <row r="330" spans="3:9" x14ac:dyDescent="0.3">
      <c r="C330" s="1" t="s">
        <v>2908</v>
      </c>
      <c r="D330" s="1" t="s">
        <v>2908</v>
      </c>
      <c r="E330" s="179">
        <v>0</v>
      </c>
      <c r="F330" s="179">
        <v>0</v>
      </c>
      <c r="G330" s="179">
        <f>+SUMIFS('Additional &amp; Presentation Entry'!$G$11:$G$1048576,'Additional &amp; Presentation Entry'!$F$11:$F$1048576,Sheet1!C330)</f>
        <v>0</v>
      </c>
      <c r="H330" s="179">
        <f t="shared" si="5"/>
        <v>0</v>
      </c>
      <c r="I330" s="179">
        <v>0</v>
      </c>
    </row>
    <row r="331" spans="3:9" x14ac:dyDescent="0.3">
      <c r="C331" s="1" t="s">
        <v>2909</v>
      </c>
      <c r="D331" s="1" t="s">
        <v>2909</v>
      </c>
      <c r="E331" s="179">
        <v>0</v>
      </c>
      <c r="F331" s="179">
        <v>0</v>
      </c>
      <c r="G331" s="179">
        <f>+SUMIFS('Additional &amp; Presentation Entry'!$G$11:$G$1048576,'Additional &amp; Presentation Entry'!$F$11:$F$1048576,Sheet1!C331)</f>
        <v>0</v>
      </c>
      <c r="H331" s="179">
        <f t="shared" si="5"/>
        <v>0</v>
      </c>
      <c r="I331" s="179">
        <v>0</v>
      </c>
    </row>
    <row r="332" spans="3:9" x14ac:dyDescent="0.3">
      <c r="C332" s="1" t="s">
        <v>2910</v>
      </c>
      <c r="D332" s="1" t="s">
        <v>2910</v>
      </c>
      <c r="E332" s="179">
        <v>6614033.96</v>
      </c>
      <c r="F332" s="179">
        <v>6614033.96</v>
      </c>
      <c r="G332" s="179">
        <f>+SUMIFS('Additional &amp; Presentation Entry'!$G$11:$G$1048576,'Additional &amp; Presentation Entry'!$F$11:$F$1048576,Sheet1!C332)</f>
        <v>-6614033.96</v>
      </c>
      <c r="H332" s="179">
        <f t="shared" si="5"/>
        <v>0</v>
      </c>
      <c r="I332" s="179">
        <v>6614033.96</v>
      </c>
    </row>
    <row r="333" spans="3:9" x14ac:dyDescent="0.3">
      <c r="C333" s="1" t="s">
        <v>2912</v>
      </c>
      <c r="D333" s="1" t="s">
        <v>2912</v>
      </c>
      <c r="E333" s="179">
        <v>1723824.09</v>
      </c>
      <c r="F333" s="179">
        <v>-213.71</v>
      </c>
      <c r="G333" s="179">
        <f>+SUMIFS('Additional &amp; Presentation Entry'!$G$11:$G$1048576,'Additional &amp; Presentation Entry'!$F$11:$F$1048576,Sheet1!C333)</f>
        <v>213.71</v>
      </c>
      <c r="H333" s="179">
        <f t="shared" si="5"/>
        <v>0</v>
      </c>
      <c r="I333" s="179">
        <v>-213.71</v>
      </c>
    </row>
    <row r="334" spans="3:9" x14ac:dyDescent="0.3">
      <c r="C334" s="1" t="s">
        <v>3108</v>
      </c>
      <c r="D334" s="1" t="s">
        <v>3108</v>
      </c>
      <c r="E334" s="179">
        <v>0</v>
      </c>
      <c r="F334" s="179">
        <v>2261961.5699999998</v>
      </c>
      <c r="G334" s="179">
        <f>+SUMIFS('Additional &amp; Presentation Entry'!$G$11:$G$1048576,'Additional &amp; Presentation Entry'!$F$11:$F$1048576,Sheet1!C334)</f>
        <v>-2261944.4099999997</v>
      </c>
      <c r="H334" s="179">
        <f t="shared" si="5"/>
        <v>17.160000000149012</v>
      </c>
      <c r="I334" s="179">
        <v>2261961.5699999998</v>
      </c>
    </row>
    <row r="335" spans="3:9" x14ac:dyDescent="0.3">
      <c r="C335" s="1" t="s">
        <v>2922</v>
      </c>
      <c r="D335" s="1" t="s">
        <v>2922</v>
      </c>
      <c r="E335" s="179">
        <v>13137.79</v>
      </c>
      <c r="F335" s="179">
        <v>2218.79</v>
      </c>
      <c r="G335" s="179">
        <f>+SUMIFS('Additional &amp; Presentation Entry'!$G$11:$G$1048576,'Additional &amp; Presentation Entry'!$F$11:$F$1048576,Sheet1!C335)</f>
        <v>-2218.79</v>
      </c>
      <c r="H335" s="179">
        <f t="shared" si="5"/>
        <v>0</v>
      </c>
      <c r="I335" s="179">
        <v>2218.79</v>
      </c>
    </row>
    <row r="336" spans="3:9" x14ac:dyDescent="0.3">
      <c r="C336" s="1" t="s">
        <v>3111</v>
      </c>
      <c r="D336" s="1" t="s">
        <v>3111</v>
      </c>
      <c r="E336" s="179">
        <v>0</v>
      </c>
      <c r="F336" s="179">
        <v>-1781311</v>
      </c>
      <c r="G336" s="179">
        <f>+SUMIFS('Additional &amp; Presentation Entry'!$G$11:$G$1048576,'Additional &amp; Presentation Entry'!$F$11:$F$1048576,Sheet1!C336)</f>
        <v>0</v>
      </c>
      <c r="H336" s="179">
        <f t="shared" si="5"/>
        <v>-1781311</v>
      </c>
      <c r="I336" s="179">
        <v>-1781311</v>
      </c>
    </row>
    <row r="337" spans="3:9" x14ac:dyDescent="0.3">
      <c r="C337" s="1" t="s">
        <v>3112</v>
      </c>
      <c r="D337" s="1" t="s">
        <v>3112</v>
      </c>
      <c r="E337" s="179">
        <v>0</v>
      </c>
      <c r="F337" s="179">
        <v>-4753251.7</v>
      </c>
      <c r="G337" s="179">
        <f>+SUMIFS('Additional &amp; Presentation Entry'!$G$11:$G$1048576,'Additional &amp; Presentation Entry'!$F$11:$F$1048576,Sheet1!C337)</f>
        <v>0</v>
      </c>
      <c r="H337" s="179">
        <f t="shared" si="5"/>
        <v>-4753251.7</v>
      </c>
      <c r="I337" s="179">
        <v>-4753251.7</v>
      </c>
    </row>
    <row r="338" spans="3:9" x14ac:dyDescent="0.3">
      <c r="C338" s="1" t="s">
        <v>2961</v>
      </c>
      <c r="D338" s="1" t="s">
        <v>2961</v>
      </c>
      <c r="E338" s="179">
        <v>-493835.8</v>
      </c>
      <c r="F338" s="179">
        <v>-0.45</v>
      </c>
      <c r="G338" s="179">
        <f>+SUMIFS('Additional &amp; Presentation Entry'!$G$11:$G$1048576,'Additional &amp; Presentation Entry'!$F$11:$F$1048576,Sheet1!C338)</f>
        <v>0</v>
      </c>
      <c r="H338" s="179">
        <f t="shared" si="5"/>
        <v>-0.45</v>
      </c>
      <c r="I338" s="179">
        <v>-0.45</v>
      </c>
    </row>
    <row r="339" spans="3:9" x14ac:dyDescent="0.3">
      <c r="C339" s="1" t="s">
        <v>2962</v>
      </c>
      <c r="D339" s="1" t="s">
        <v>2962</v>
      </c>
      <c r="E339" s="179">
        <v>3564166.98</v>
      </c>
      <c r="F339" s="179">
        <v>0</v>
      </c>
      <c r="G339" s="179">
        <f>+SUMIFS('Additional &amp; Presentation Entry'!$G$11:$G$1048576,'Additional &amp; Presentation Entry'!$F$11:$F$1048576,Sheet1!C339)</f>
        <v>0</v>
      </c>
      <c r="H339" s="179">
        <f t="shared" si="5"/>
        <v>0</v>
      </c>
      <c r="I339" s="179">
        <v>0</v>
      </c>
    </row>
    <row r="340" spans="3:9" x14ac:dyDescent="0.3">
      <c r="C340" s="1" t="s">
        <v>3153</v>
      </c>
      <c r="D340" s="1" t="s">
        <v>3153</v>
      </c>
      <c r="E340" s="179">
        <v>0</v>
      </c>
      <c r="F340" s="179">
        <v>0</v>
      </c>
      <c r="G340" s="179">
        <f>+SUMIFS('Additional &amp; Presentation Entry'!$G$11:$G$1048576,'Additional &amp; Presentation Entry'!$F$11:$F$1048576,Sheet1!C340)</f>
        <v>0</v>
      </c>
      <c r="H340" s="179">
        <f t="shared" si="5"/>
        <v>0</v>
      </c>
      <c r="I340" s="179">
        <v>-117</v>
      </c>
    </row>
    <row r="341" spans="3:9" x14ac:dyDescent="0.3">
      <c r="C341" s="1" t="s">
        <v>2967</v>
      </c>
      <c r="D341" s="1" t="s">
        <v>2967</v>
      </c>
      <c r="E341" s="179">
        <v>0</v>
      </c>
      <c r="F341" s="179">
        <v>19598.8</v>
      </c>
      <c r="G341" s="179">
        <f>+SUMIFS('Additional &amp; Presentation Entry'!$G$11:$G$1048576,'Additional &amp; Presentation Entry'!$F$11:$F$1048576,Sheet1!C341)</f>
        <v>0</v>
      </c>
      <c r="H341" s="179">
        <f t="shared" si="5"/>
        <v>19598.8</v>
      </c>
      <c r="I341" s="179">
        <v>19697.98</v>
      </c>
    </row>
    <row r="342" spans="3:9" x14ac:dyDescent="0.3">
      <c r="C342" s="1756" t="s">
        <v>2968</v>
      </c>
      <c r="D342" s="1" t="s">
        <v>2968</v>
      </c>
      <c r="E342" s="179">
        <v>0</v>
      </c>
      <c r="F342" s="179">
        <v>47004.26</v>
      </c>
      <c r="G342" s="179">
        <f>+SUMIFS('Additional &amp; Presentation Entry'!$G$11:$G$1048576,'Additional &amp; Presentation Entry'!$F$11:$F$1048576,Sheet1!C342)</f>
        <v>0</v>
      </c>
      <c r="H342" s="179">
        <f t="shared" si="5"/>
        <v>47004.26</v>
      </c>
      <c r="I342" s="179">
        <v>47004.26</v>
      </c>
    </row>
    <row r="343" spans="3:9" x14ac:dyDescent="0.3">
      <c r="C343" s="1" t="s">
        <v>2970</v>
      </c>
      <c r="D343" s="1" t="s">
        <v>2970</v>
      </c>
      <c r="E343" s="179">
        <v>0</v>
      </c>
      <c r="F343" s="179">
        <v>0</v>
      </c>
      <c r="G343" s="179">
        <f>+SUMIFS('Additional &amp; Presentation Entry'!$G$11:$G$1048576,'Additional &amp; Presentation Entry'!$F$11:$F$1048576,Sheet1!C343)</f>
        <v>0</v>
      </c>
      <c r="H343" s="179">
        <f t="shared" si="5"/>
        <v>0</v>
      </c>
      <c r="I343" s="179">
        <v>0</v>
      </c>
    </row>
    <row r="344" spans="3:9" x14ac:dyDescent="0.3">
      <c r="C344" s="1" t="s">
        <v>2971</v>
      </c>
      <c r="D344" s="1" t="s">
        <v>2971</v>
      </c>
      <c r="E344" s="179">
        <v>0</v>
      </c>
      <c r="F344" s="179">
        <v>41386.51</v>
      </c>
      <c r="G344" s="179">
        <f>+SUMIFS('Additional &amp; Presentation Entry'!$G$11:$G$1048576,'Additional &amp; Presentation Entry'!$F$11:$F$1048576,Sheet1!C344)</f>
        <v>0</v>
      </c>
      <c r="H344" s="179">
        <f t="shared" si="5"/>
        <v>41386.51</v>
      </c>
      <c r="I344" s="179">
        <v>41386.51</v>
      </c>
    </row>
    <row r="345" spans="3:9" x14ac:dyDescent="0.3">
      <c r="C345" s="1" t="s">
        <v>2974</v>
      </c>
      <c r="D345" s="1" t="s">
        <v>2974</v>
      </c>
      <c r="E345" s="179">
        <v>15089.84</v>
      </c>
      <c r="F345" s="179">
        <v>0</v>
      </c>
      <c r="G345" s="179">
        <f>+SUMIFS('Additional &amp; Presentation Entry'!$G$11:$G$1048576,'Additional &amp; Presentation Entry'!$F$11:$F$1048576,Sheet1!C345)</f>
        <v>0</v>
      </c>
      <c r="H345" s="179">
        <f t="shared" si="5"/>
        <v>0</v>
      </c>
      <c r="I345" s="179">
        <v>0</v>
      </c>
    </row>
    <row r="346" spans="3:9" x14ac:dyDescent="0.3">
      <c r="C346" s="1" t="s">
        <v>2976</v>
      </c>
      <c r="D346" s="1" t="s">
        <v>2976</v>
      </c>
      <c r="E346" s="179">
        <v>0</v>
      </c>
      <c r="F346" s="179">
        <v>125583.6</v>
      </c>
      <c r="G346" s="179">
        <f>+SUMIFS('Additional &amp; Presentation Entry'!$G$11:$G$1048576,'Additional &amp; Presentation Entry'!$F$11:$F$1048576,Sheet1!C346)</f>
        <v>0</v>
      </c>
      <c r="H346" s="179">
        <f t="shared" si="5"/>
        <v>125583.6</v>
      </c>
      <c r="I346" s="179">
        <v>125583.6</v>
      </c>
    </row>
    <row r="347" spans="3:9" x14ac:dyDescent="0.3">
      <c r="C347" s="1" t="s">
        <v>3113</v>
      </c>
      <c r="D347" s="1" t="s">
        <v>3113</v>
      </c>
      <c r="E347" s="179">
        <v>0</v>
      </c>
      <c r="F347" s="179">
        <v>605978.1</v>
      </c>
      <c r="G347" s="179">
        <f>+SUMIFS('Additional &amp; Presentation Entry'!$G$11:$G$1048576,'Additional &amp; Presentation Entry'!$F$11:$F$1048576,Sheet1!C347)</f>
        <v>-605978.1</v>
      </c>
      <c r="H347" s="179">
        <f t="shared" si="5"/>
        <v>0</v>
      </c>
      <c r="I347" s="179">
        <v>605978.1</v>
      </c>
    </row>
    <row r="348" spans="3:9" x14ac:dyDescent="0.3">
      <c r="C348" s="1" t="s">
        <v>2985</v>
      </c>
      <c r="D348" s="1" t="s">
        <v>2985</v>
      </c>
      <c r="E348" s="179">
        <v>0</v>
      </c>
      <c r="F348" s="179">
        <v>49703</v>
      </c>
      <c r="G348" s="179">
        <f>+SUMIFS('Additional &amp; Presentation Entry'!$G$11:$G$1048576,'Additional &amp; Presentation Entry'!$F$11:$F$1048576,Sheet1!C348)</f>
        <v>0</v>
      </c>
      <c r="H348" s="179">
        <f t="shared" si="5"/>
        <v>49703</v>
      </c>
      <c r="I348" s="179">
        <v>49703</v>
      </c>
    </row>
    <row r="349" spans="3:9" x14ac:dyDescent="0.3">
      <c r="C349" s="1" t="s">
        <v>3023</v>
      </c>
      <c r="D349" s="1" t="s">
        <v>3023</v>
      </c>
      <c r="E349" s="179">
        <v>0</v>
      </c>
      <c r="F349" s="179">
        <v>0</v>
      </c>
      <c r="G349" s="179">
        <f>+SUMIFS('Additional &amp; Presentation Entry'!$G$11:$G$1048576,'Additional &amp; Presentation Entry'!$F$11:$F$1048576,Sheet1!C349)</f>
        <v>0</v>
      </c>
      <c r="H349" s="179">
        <f t="shared" si="5"/>
        <v>0</v>
      </c>
      <c r="I349" s="179">
        <v>0</v>
      </c>
    </row>
    <row r="350" spans="3:9" x14ac:dyDescent="0.3">
      <c r="C350" s="1" t="s">
        <v>3005</v>
      </c>
      <c r="D350" s="1" t="s">
        <v>3005</v>
      </c>
      <c r="E350" s="179">
        <v>0</v>
      </c>
      <c r="F350" s="179">
        <v>0</v>
      </c>
      <c r="G350" s="179">
        <f>+SUMIFS('Additional &amp; Presentation Entry'!$G$11:$G$1048576,'Additional &amp; Presentation Entry'!$F$11:$F$1048576,Sheet1!C350)</f>
        <v>0</v>
      </c>
      <c r="H350" s="179">
        <f t="shared" si="5"/>
        <v>0</v>
      </c>
      <c r="I350" s="179">
        <v>0</v>
      </c>
    </row>
    <row r="351" spans="3:9" x14ac:dyDescent="0.3">
      <c r="C351" s="2347" t="s">
        <v>3024</v>
      </c>
      <c r="D351" s="1" t="s">
        <v>3024</v>
      </c>
      <c r="E351" s="179">
        <v>-1783</v>
      </c>
      <c r="F351" s="179">
        <v>-8915</v>
      </c>
      <c r="G351" s="179">
        <f>+SUMIFS('Additional &amp; Presentation Entry'!$G$11:$G$1048576,'Additional &amp; Presentation Entry'!$F$11:$F$1048576,Sheet1!C351)</f>
        <v>8915</v>
      </c>
      <c r="H351" s="179">
        <f t="shared" si="5"/>
        <v>0</v>
      </c>
      <c r="I351" s="179">
        <v>-8915</v>
      </c>
    </row>
    <row r="352" spans="3:9" x14ac:dyDescent="0.3">
      <c r="C352" s="2347" t="s">
        <v>3114</v>
      </c>
      <c r="D352" s="1" t="s">
        <v>3114</v>
      </c>
      <c r="E352" s="179">
        <v>0</v>
      </c>
      <c r="F352" s="179">
        <v>-8334</v>
      </c>
      <c r="G352" s="179">
        <f>+SUMIFS('Additional &amp; Presentation Entry'!$G$11:$G$1048576,'Additional &amp; Presentation Entry'!$F$11:$F$1048576,Sheet1!C352)</f>
        <v>0</v>
      </c>
      <c r="H352" s="179">
        <f t="shared" si="5"/>
        <v>-8334</v>
      </c>
      <c r="I352" s="179">
        <v>-8334</v>
      </c>
    </row>
    <row r="353" spans="3:9" x14ac:dyDescent="0.3">
      <c r="C353" s="1" t="s">
        <v>3029</v>
      </c>
      <c r="D353" s="1" t="s">
        <v>3029</v>
      </c>
      <c r="E353" s="179">
        <v>0</v>
      </c>
      <c r="F353" s="179">
        <v>0</v>
      </c>
      <c r="G353" s="179">
        <f>+SUMIFS('Additional &amp; Presentation Entry'!$G$11:$G$1048576,'Additional &amp; Presentation Entry'!$F$11:$F$1048576,Sheet1!C353)</f>
        <v>0</v>
      </c>
      <c r="H353" s="179">
        <f t="shared" si="5"/>
        <v>0</v>
      </c>
      <c r="I353" s="179">
        <v>0</v>
      </c>
    </row>
    <row r="354" spans="3:9" x14ac:dyDescent="0.3">
      <c r="C354" s="1" t="s">
        <v>3287</v>
      </c>
      <c r="D354" s="1" t="s">
        <v>3287</v>
      </c>
      <c r="E354" s="179">
        <v>0</v>
      </c>
      <c r="F354" s="179">
        <v>370367.69</v>
      </c>
      <c r="G354" s="179">
        <f>+SUMIFS('Additional &amp; Presentation Entry'!$G$11:$G$1048576,'Additional &amp; Presentation Entry'!$F$11:$F$1048576,Sheet1!C354)</f>
        <v>0</v>
      </c>
      <c r="H354" s="179">
        <f t="shared" si="5"/>
        <v>370367.69</v>
      </c>
      <c r="I354" s="179">
        <v>370367.69</v>
      </c>
    </row>
    <row r="355" spans="3:9" x14ac:dyDescent="0.3">
      <c r="C355" s="1" t="s">
        <v>3148</v>
      </c>
      <c r="D355" s="1" t="s">
        <v>3148</v>
      </c>
      <c r="E355" s="179">
        <v>0</v>
      </c>
      <c r="F355" s="179">
        <v>0</v>
      </c>
      <c r="G355" s="179">
        <f>+SUMIFS('Additional &amp; Presentation Entry'!$G$11:$G$1048576,'Additional &amp; Presentation Entry'!$F$11:$F$1048576,Sheet1!C355)</f>
        <v>0</v>
      </c>
      <c r="H355" s="179">
        <f t="shared" si="5"/>
        <v>0</v>
      </c>
      <c r="I355" s="179">
        <v>0</v>
      </c>
    </row>
    <row r="356" spans="3:9" x14ac:dyDescent="0.3">
      <c r="C356" s="1" t="s">
        <v>3032</v>
      </c>
      <c r="D356" s="1" t="s">
        <v>3032</v>
      </c>
      <c r="E356" s="179">
        <v>2667</v>
      </c>
      <c r="F356" s="179">
        <v>2667</v>
      </c>
      <c r="G356" s="179">
        <f>+SUMIFS('Additional &amp; Presentation Entry'!$G$11:$G$1048576,'Additional &amp; Presentation Entry'!$F$11:$F$1048576,Sheet1!C356)</f>
        <v>0</v>
      </c>
      <c r="H356" s="179">
        <f t="shared" si="5"/>
        <v>2667</v>
      </c>
      <c r="I356" s="179">
        <v>2667</v>
      </c>
    </row>
    <row r="357" spans="3:9" x14ac:dyDescent="0.3">
      <c r="C357" s="1" t="s">
        <v>3033</v>
      </c>
      <c r="D357" s="1" t="s">
        <v>3033</v>
      </c>
      <c r="E357" s="179">
        <v>0</v>
      </c>
      <c r="F357" s="179">
        <v>0</v>
      </c>
      <c r="G357" s="179">
        <f>+SUMIFS('Additional &amp; Presentation Entry'!$G$11:$G$1048576,'Additional &amp; Presentation Entry'!$F$11:$F$1048576,Sheet1!C357)</f>
        <v>0</v>
      </c>
      <c r="H357" s="179">
        <f t="shared" si="5"/>
        <v>0</v>
      </c>
      <c r="I357" s="179">
        <v>0</v>
      </c>
    </row>
    <row r="358" spans="3:9" x14ac:dyDescent="0.3">
      <c r="I358" s="179">
        <v>0</v>
      </c>
    </row>
    <row r="359" spans="3:9" x14ac:dyDescent="0.3">
      <c r="I359" s="179">
        <v>0</v>
      </c>
    </row>
    <row r="360" spans="3:9" x14ac:dyDescent="0.3">
      <c r="I360" s="179">
        <v>0</v>
      </c>
    </row>
  </sheetData>
  <autoFilter ref="C4:I360">
    <sortState ref="C240:I240">
      <sortCondition descending="1" ref="C4:C360"/>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3:E357"/>
  <sheetViews>
    <sheetView topLeftCell="A2" workbookViewId="0">
      <selection activeCell="B4" sqref="B4"/>
    </sheetView>
  </sheetViews>
  <sheetFormatPr defaultRowHeight="15" x14ac:dyDescent="0.25"/>
  <cols>
    <col min="1" max="1" width="53" bestFit="1" customWidth="1"/>
    <col min="2" max="2" width="24" bestFit="1" customWidth="1"/>
    <col min="4" max="4" width="53" bestFit="1" customWidth="1"/>
    <col min="5" max="5" width="24" style="2504" bestFit="1" customWidth="1"/>
  </cols>
  <sheetData>
    <row r="3" spans="1:5" x14ac:dyDescent="0.25">
      <c r="A3" s="2501" t="s">
        <v>3601</v>
      </c>
      <c r="B3" t="s">
        <v>3603</v>
      </c>
      <c r="D3" t="s">
        <v>3601</v>
      </c>
      <c r="E3" s="2504" t="s">
        <v>3603</v>
      </c>
    </row>
    <row r="4" spans="1:5" x14ac:dyDescent="0.25">
      <c r="A4" s="2502" t="s">
        <v>2062</v>
      </c>
      <c r="B4" s="2503">
        <v>0</v>
      </c>
      <c r="D4" t="s">
        <v>2062</v>
      </c>
      <c r="E4">
        <v>0</v>
      </c>
    </row>
    <row r="5" spans="1:5" x14ac:dyDescent="0.25">
      <c r="A5" s="2502" t="s">
        <v>2113</v>
      </c>
      <c r="B5" s="2503">
        <v>48433</v>
      </c>
      <c r="D5" t="s">
        <v>2113</v>
      </c>
      <c r="E5" s="2504">
        <v>48433</v>
      </c>
    </row>
    <row r="6" spans="1:5" x14ac:dyDescent="0.25">
      <c r="A6" s="2502" t="s">
        <v>3040</v>
      </c>
      <c r="B6" s="2503">
        <v>25002</v>
      </c>
      <c r="D6" t="s">
        <v>3040</v>
      </c>
      <c r="E6" s="2504">
        <v>25002</v>
      </c>
    </row>
    <row r="7" spans="1:5" x14ac:dyDescent="0.25">
      <c r="A7" s="2502" t="s">
        <v>3170</v>
      </c>
      <c r="B7" s="2503">
        <v>46800</v>
      </c>
      <c r="D7" t="s">
        <v>3170</v>
      </c>
      <c r="E7" s="2504">
        <v>46800</v>
      </c>
    </row>
    <row r="8" spans="1:5" x14ac:dyDescent="0.25">
      <c r="A8" s="2502" t="s">
        <v>3570</v>
      </c>
      <c r="B8" s="2503">
        <v>-719447</v>
      </c>
      <c r="D8" t="s">
        <v>3570</v>
      </c>
      <c r="E8" s="2504">
        <v>-719447</v>
      </c>
    </row>
    <row r="9" spans="1:5" x14ac:dyDescent="0.25">
      <c r="A9" s="2502" t="s">
        <v>3041</v>
      </c>
      <c r="B9" s="2503">
        <v>0</v>
      </c>
      <c r="D9" t="s">
        <v>3041</v>
      </c>
      <c r="E9">
        <v>0</v>
      </c>
    </row>
    <row r="10" spans="1:5" x14ac:dyDescent="0.25">
      <c r="A10" s="2502" t="s">
        <v>2121</v>
      </c>
      <c r="B10" s="2503">
        <v>0</v>
      </c>
      <c r="D10" t="s">
        <v>2121</v>
      </c>
      <c r="E10">
        <v>0</v>
      </c>
    </row>
    <row r="11" spans="1:5" x14ac:dyDescent="0.25">
      <c r="A11" s="2502" t="s">
        <v>2125</v>
      </c>
      <c r="B11" s="2503">
        <v>184683</v>
      </c>
      <c r="D11" t="s">
        <v>2125</v>
      </c>
      <c r="E11">
        <v>0</v>
      </c>
    </row>
    <row r="12" spans="1:5" x14ac:dyDescent="0.25">
      <c r="A12" s="2502" t="s">
        <v>3042</v>
      </c>
      <c r="B12" s="2503">
        <v>0</v>
      </c>
      <c r="D12" t="s">
        <v>3042</v>
      </c>
      <c r="E12">
        <v>0</v>
      </c>
    </row>
    <row r="13" spans="1:5" x14ac:dyDescent="0.25">
      <c r="A13" s="2502" t="s">
        <v>2130</v>
      </c>
      <c r="B13" s="2503">
        <v>0</v>
      </c>
      <c r="D13" t="s">
        <v>2130</v>
      </c>
      <c r="E13">
        <v>0</v>
      </c>
    </row>
    <row r="14" spans="1:5" x14ac:dyDescent="0.25">
      <c r="A14" s="2502" t="s">
        <v>3565</v>
      </c>
      <c r="B14" s="2503">
        <v>-355</v>
      </c>
      <c r="D14" t="s">
        <v>3565</v>
      </c>
      <c r="E14" s="2504">
        <v>-355</v>
      </c>
    </row>
    <row r="15" spans="1:5" x14ac:dyDescent="0.25">
      <c r="A15" s="2502" t="s">
        <v>2133</v>
      </c>
      <c r="B15" s="2503">
        <v>-2390</v>
      </c>
      <c r="D15" t="s">
        <v>2133</v>
      </c>
      <c r="E15" s="2504">
        <v>-2390</v>
      </c>
    </row>
    <row r="16" spans="1:5" x14ac:dyDescent="0.25">
      <c r="A16" s="2502" t="s">
        <v>3043</v>
      </c>
      <c r="B16" s="2503">
        <v>128520</v>
      </c>
      <c r="D16" t="s">
        <v>3043</v>
      </c>
      <c r="E16" s="2504">
        <v>128520</v>
      </c>
    </row>
    <row r="17" spans="1:5" x14ac:dyDescent="0.25">
      <c r="A17" s="2502" t="s">
        <v>3044</v>
      </c>
      <c r="B17" s="2503">
        <v>12000</v>
      </c>
      <c r="D17" t="s">
        <v>3044</v>
      </c>
      <c r="E17" s="2504">
        <v>12000</v>
      </c>
    </row>
    <row r="18" spans="1:5" x14ac:dyDescent="0.25">
      <c r="A18" s="2502" t="s">
        <v>2168</v>
      </c>
      <c r="B18" s="2503">
        <v>345922.64</v>
      </c>
      <c r="D18" t="s">
        <v>2168</v>
      </c>
      <c r="E18">
        <v>0</v>
      </c>
    </row>
    <row r="19" spans="1:5" x14ac:dyDescent="0.25">
      <c r="A19" s="2502" t="s">
        <v>2170</v>
      </c>
      <c r="B19" s="2503">
        <v>6919991.1799999997</v>
      </c>
      <c r="D19" t="s">
        <v>2170</v>
      </c>
      <c r="E19" s="2504">
        <v>-4976.67</v>
      </c>
    </row>
    <row r="20" spans="1:5" x14ac:dyDescent="0.25">
      <c r="A20" s="2502" t="s">
        <v>2172</v>
      </c>
      <c r="B20" s="2503">
        <v>-20492</v>
      </c>
      <c r="D20" t="s">
        <v>2172</v>
      </c>
      <c r="E20" s="2504">
        <v>-20492</v>
      </c>
    </row>
    <row r="21" spans="1:5" x14ac:dyDescent="0.25">
      <c r="A21" s="2502" t="s">
        <v>3045</v>
      </c>
      <c r="B21" s="2503">
        <v>0</v>
      </c>
      <c r="D21" t="s">
        <v>3045</v>
      </c>
      <c r="E21">
        <v>0</v>
      </c>
    </row>
    <row r="22" spans="1:5" x14ac:dyDescent="0.25">
      <c r="A22" s="2502" t="s">
        <v>2174</v>
      </c>
      <c r="B22" s="2503">
        <v>0</v>
      </c>
      <c r="D22" t="s">
        <v>2174</v>
      </c>
      <c r="E22">
        <v>0</v>
      </c>
    </row>
    <row r="23" spans="1:5" x14ac:dyDescent="0.25">
      <c r="A23" s="2502" t="s">
        <v>2175</v>
      </c>
      <c r="B23" s="2503">
        <v>0</v>
      </c>
      <c r="D23" t="s">
        <v>2175</v>
      </c>
      <c r="E23">
        <v>0</v>
      </c>
    </row>
    <row r="24" spans="1:5" x14ac:dyDescent="0.25">
      <c r="A24" s="2502" t="s">
        <v>2176</v>
      </c>
      <c r="B24" s="2503">
        <v>0</v>
      </c>
      <c r="D24" t="s">
        <v>2176</v>
      </c>
      <c r="E24">
        <v>0</v>
      </c>
    </row>
    <row r="25" spans="1:5" x14ac:dyDescent="0.25">
      <c r="A25" s="2502" t="s">
        <v>2151</v>
      </c>
      <c r="B25" s="2503">
        <v>0</v>
      </c>
      <c r="D25" t="s">
        <v>2151</v>
      </c>
      <c r="E25">
        <v>0</v>
      </c>
    </row>
    <row r="26" spans="1:5" x14ac:dyDescent="0.25">
      <c r="A26" s="2502" t="s">
        <v>2152</v>
      </c>
      <c r="B26" s="2503">
        <v>0</v>
      </c>
      <c r="D26" t="s">
        <v>2152</v>
      </c>
      <c r="E26">
        <v>0</v>
      </c>
    </row>
    <row r="27" spans="1:5" x14ac:dyDescent="0.25">
      <c r="A27" s="2502" t="s">
        <v>3046</v>
      </c>
      <c r="B27" s="2503">
        <v>25002</v>
      </c>
      <c r="D27" t="s">
        <v>3046</v>
      </c>
      <c r="E27" s="2504">
        <v>25002</v>
      </c>
    </row>
    <row r="28" spans="1:5" x14ac:dyDescent="0.25">
      <c r="A28" s="2502" t="s">
        <v>3047</v>
      </c>
      <c r="B28" s="2503">
        <v>0</v>
      </c>
      <c r="D28" t="s">
        <v>3047</v>
      </c>
      <c r="E28">
        <v>0</v>
      </c>
    </row>
    <row r="29" spans="1:5" x14ac:dyDescent="0.25">
      <c r="A29" s="2502" t="s">
        <v>2181</v>
      </c>
      <c r="B29" s="2503">
        <v>0</v>
      </c>
      <c r="D29" t="s">
        <v>2181</v>
      </c>
      <c r="E29">
        <v>0</v>
      </c>
    </row>
    <row r="30" spans="1:5" x14ac:dyDescent="0.25">
      <c r="A30" s="2502" t="s">
        <v>2182</v>
      </c>
      <c r="B30" s="2503">
        <v>0</v>
      </c>
      <c r="D30" t="s">
        <v>2182</v>
      </c>
      <c r="E30">
        <v>0</v>
      </c>
    </row>
    <row r="31" spans="1:5" x14ac:dyDescent="0.25">
      <c r="A31" s="2502" t="s">
        <v>3049</v>
      </c>
      <c r="B31" s="2503">
        <v>2068.85</v>
      </c>
      <c r="D31" t="s">
        <v>3049</v>
      </c>
      <c r="E31" s="2504">
        <v>2068.85</v>
      </c>
    </row>
    <row r="32" spans="1:5" x14ac:dyDescent="0.25">
      <c r="A32" s="2502" t="s">
        <v>2193</v>
      </c>
      <c r="B32" s="2503">
        <v>-37.83</v>
      </c>
      <c r="D32" t="s">
        <v>2193</v>
      </c>
      <c r="E32" s="2504">
        <v>-37.83</v>
      </c>
    </row>
    <row r="33" spans="1:5" x14ac:dyDescent="0.25">
      <c r="A33" s="2502" t="s">
        <v>3051</v>
      </c>
      <c r="B33" s="2503">
        <v>-6531378.5099999998</v>
      </c>
      <c r="D33" t="s">
        <v>3051</v>
      </c>
      <c r="E33" s="2504">
        <v>-5474297.1699999999</v>
      </c>
    </row>
    <row r="34" spans="1:5" x14ac:dyDescent="0.25">
      <c r="A34" s="2502" t="s">
        <v>2203</v>
      </c>
      <c r="B34" s="2503">
        <v>0</v>
      </c>
      <c r="D34" t="s">
        <v>2203</v>
      </c>
      <c r="E34">
        <v>0</v>
      </c>
    </row>
    <row r="35" spans="1:5" x14ac:dyDescent="0.25">
      <c r="A35" s="2502" t="s">
        <v>2205</v>
      </c>
      <c r="B35" s="2503">
        <v>0</v>
      </c>
      <c r="D35" t="s">
        <v>2205</v>
      </c>
      <c r="E35">
        <v>0</v>
      </c>
    </row>
    <row r="36" spans="1:5" x14ac:dyDescent="0.25">
      <c r="A36" s="2502" t="s">
        <v>2197</v>
      </c>
      <c r="B36" s="2503">
        <v>0</v>
      </c>
      <c r="D36" t="s">
        <v>2197</v>
      </c>
      <c r="E36">
        <v>0</v>
      </c>
    </row>
    <row r="37" spans="1:5" x14ac:dyDescent="0.25">
      <c r="A37" s="2502" t="s">
        <v>2206</v>
      </c>
      <c r="B37" s="2503">
        <v>0</v>
      </c>
      <c r="D37" t="s">
        <v>2206</v>
      </c>
      <c r="E37">
        <v>0</v>
      </c>
    </row>
    <row r="38" spans="1:5" x14ac:dyDescent="0.25">
      <c r="A38" s="2502" t="s">
        <v>2209</v>
      </c>
      <c r="B38" s="2503">
        <v>0</v>
      </c>
      <c r="D38" t="s">
        <v>2209</v>
      </c>
      <c r="E38">
        <v>0</v>
      </c>
    </row>
    <row r="39" spans="1:5" x14ac:dyDescent="0.25">
      <c r="A39" s="2502" t="s">
        <v>3572</v>
      </c>
      <c r="B39" s="2503">
        <v>0</v>
      </c>
      <c r="D39" t="s">
        <v>3572</v>
      </c>
      <c r="E39">
        <v>0</v>
      </c>
    </row>
    <row r="40" spans="1:5" x14ac:dyDescent="0.25">
      <c r="A40" s="2502" t="s">
        <v>2211</v>
      </c>
      <c r="B40" s="2503">
        <v>0</v>
      </c>
      <c r="D40" t="s">
        <v>2211</v>
      </c>
      <c r="E40">
        <v>0</v>
      </c>
    </row>
    <row r="41" spans="1:5" x14ac:dyDescent="0.25">
      <c r="A41" s="2502" t="s">
        <v>3573</v>
      </c>
      <c r="B41" s="2503">
        <v>-8844.35</v>
      </c>
      <c r="D41" t="s">
        <v>3573</v>
      </c>
      <c r="E41" s="2504">
        <v>-8844.35</v>
      </c>
    </row>
    <row r="42" spans="1:5" x14ac:dyDescent="0.25">
      <c r="A42" s="2502" t="s">
        <v>2217</v>
      </c>
      <c r="B42" s="2503">
        <v>0</v>
      </c>
      <c r="D42" t="s">
        <v>2217</v>
      </c>
      <c r="E42">
        <v>0</v>
      </c>
    </row>
    <row r="43" spans="1:5" x14ac:dyDescent="0.25">
      <c r="A43" s="2502" t="s">
        <v>2222</v>
      </c>
      <c r="B43" s="2503">
        <v>4227.04</v>
      </c>
      <c r="D43" t="s">
        <v>2222</v>
      </c>
      <c r="E43" s="2504">
        <v>4227.04</v>
      </c>
    </row>
    <row r="44" spans="1:5" x14ac:dyDescent="0.25">
      <c r="A44" s="2502" t="s">
        <v>2223</v>
      </c>
      <c r="B44" s="2503">
        <v>0</v>
      </c>
      <c r="D44" t="s">
        <v>2223</v>
      </c>
      <c r="E44">
        <v>0</v>
      </c>
    </row>
    <row r="45" spans="1:5" x14ac:dyDescent="0.25">
      <c r="A45" s="2502" t="s">
        <v>3574</v>
      </c>
      <c r="B45" s="2503">
        <v>0</v>
      </c>
      <c r="D45" t="s">
        <v>3574</v>
      </c>
      <c r="E45">
        <v>0</v>
      </c>
    </row>
    <row r="46" spans="1:5" x14ac:dyDescent="0.25">
      <c r="A46" s="2502" t="s">
        <v>3053</v>
      </c>
      <c r="B46" s="2503">
        <v>0</v>
      </c>
      <c r="D46" t="s">
        <v>3053</v>
      </c>
      <c r="E46">
        <v>0</v>
      </c>
    </row>
    <row r="47" spans="1:5" x14ac:dyDescent="0.25">
      <c r="A47" s="2502" t="s">
        <v>2227</v>
      </c>
      <c r="B47" s="2503">
        <v>0</v>
      </c>
      <c r="D47" t="s">
        <v>2227</v>
      </c>
      <c r="E47">
        <v>0</v>
      </c>
    </row>
    <row r="48" spans="1:5" x14ac:dyDescent="0.25">
      <c r="A48" s="2502" t="s">
        <v>3575</v>
      </c>
      <c r="B48" s="2503">
        <v>126084.395532</v>
      </c>
      <c r="D48" t="s">
        <v>3575</v>
      </c>
      <c r="E48">
        <v>0</v>
      </c>
    </row>
    <row r="49" spans="1:5" x14ac:dyDescent="0.25">
      <c r="A49" s="2502" t="s">
        <v>3055</v>
      </c>
      <c r="B49" s="2503">
        <v>0</v>
      </c>
      <c r="D49" t="s">
        <v>3055</v>
      </c>
      <c r="E49">
        <v>0</v>
      </c>
    </row>
    <row r="50" spans="1:5" x14ac:dyDescent="0.25">
      <c r="A50" s="2502" t="s">
        <v>3056</v>
      </c>
      <c r="B50" s="2503">
        <v>-302.64999999999998</v>
      </c>
      <c r="D50" t="s">
        <v>3056</v>
      </c>
      <c r="E50" s="2504">
        <v>-302.64999999999998</v>
      </c>
    </row>
    <row r="51" spans="1:5" x14ac:dyDescent="0.25">
      <c r="A51" s="2502" t="s">
        <v>3054</v>
      </c>
      <c r="B51" s="2503">
        <v>-52386</v>
      </c>
      <c r="D51" t="s">
        <v>3054</v>
      </c>
      <c r="E51" s="2504">
        <v>-52386</v>
      </c>
    </row>
    <row r="52" spans="1:5" x14ac:dyDescent="0.25">
      <c r="A52" s="2502" t="s">
        <v>2258</v>
      </c>
      <c r="B52" s="2503">
        <v>-6852</v>
      </c>
      <c r="D52" t="s">
        <v>2258</v>
      </c>
      <c r="E52" s="2504">
        <v>-6852</v>
      </c>
    </row>
    <row r="53" spans="1:5" x14ac:dyDescent="0.25">
      <c r="A53" s="2502" t="s">
        <v>3566</v>
      </c>
      <c r="B53" s="2503">
        <v>-28</v>
      </c>
      <c r="D53" t="s">
        <v>3566</v>
      </c>
      <c r="E53" s="2504">
        <v>-28</v>
      </c>
    </row>
    <row r="54" spans="1:5" x14ac:dyDescent="0.25">
      <c r="A54" s="2502" t="s">
        <v>3577</v>
      </c>
      <c r="B54" s="2503">
        <v>0</v>
      </c>
      <c r="D54" t="s">
        <v>3577</v>
      </c>
      <c r="E54">
        <v>0</v>
      </c>
    </row>
    <row r="55" spans="1:5" x14ac:dyDescent="0.25">
      <c r="A55" s="2502" t="s">
        <v>3578</v>
      </c>
      <c r="B55" s="2503">
        <v>0</v>
      </c>
      <c r="D55" t="s">
        <v>3578</v>
      </c>
      <c r="E55">
        <v>0</v>
      </c>
    </row>
    <row r="56" spans="1:5" x14ac:dyDescent="0.25">
      <c r="A56" s="2502" t="s">
        <v>2262</v>
      </c>
      <c r="B56" s="2503">
        <v>0</v>
      </c>
      <c r="D56" t="s">
        <v>2262</v>
      </c>
      <c r="E56">
        <v>0</v>
      </c>
    </row>
    <row r="57" spans="1:5" x14ac:dyDescent="0.25">
      <c r="A57" s="2502" t="s">
        <v>3579</v>
      </c>
      <c r="B57" s="2503">
        <v>0</v>
      </c>
      <c r="D57" t="s">
        <v>3579</v>
      </c>
      <c r="E57">
        <v>0</v>
      </c>
    </row>
    <row r="58" spans="1:5" x14ac:dyDescent="0.25">
      <c r="A58" s="2502" t="s">
        <v>2264</v>
      </c>
      <c r="B58" s="2503">
        <v>-2871.6400000000003</v>
      </c>
      <c r="D58" t="s">
        <v>2264</v>
      </c>
      <c r="E58" s="2504">
        <v>-4740.0100000000102</v>
      </c>
    </row>
    <row r="59" spans="1:5" x14ac:dyDescent="0.25">
      <c r="A59" s="2502" t="s">
        <v>3057</v>
      </c>
      <c r="B59" s="2503">
        <v>0</v>
      </c>
      <c r="D59" t="s">
        <v>3057</v>
      </c>
      <c r="E59">
        <v>0</v>
      </c>
    </row>
    <row r="60" spans="1:5" x14ac:dyDescent="0.25">
      <c r="A60" s="2502" t="s">
        <v>2265</v>
      </c>
      <c r="B60" s="2503">
        <v>0</v>
      </c>
      <c r="D60" t="s">
        <v>2265</v>
      </c>
      <c r="E60">
        <v>0</v>
      </c>
    </row>
    <row r="61" spans="1:5" x14ac:dyDescent="0.25">
      <c r="A61" s="2502" t="s">
        <v>3058</v>
      </c>
      <c r="B61" s="2503">
        <v>0</v>
      </c>
      <c r="D61" t="s">
        <v>3058</v>
      </c>
      <c r="E61">
        <v>0</v>
      </c>
    </row>
    <row r="62" spans="1:5" x14ac:dyDescent="0.25">
      <c r="A62" s="2502" t="s">
        <v>2285</v>
      </c>
      <c r="B62" s="2503">
        <v>-430</v>
      </c>
      <c r="D62" t="s">
        <v>2285</v>
      </c>
      <c r="E62">
        <v>0</v>
      </c>
    </row>
    <row r="63" spans="1:5" x14ac:dyDescent="0.25">
      <c r="A63" s="2502" t="s">
        <v>3060</v>
      </c>
      <c r="B63" s="2503">
        <v>704449.22</v>
      </c>
      <c r="D63" t="s">
        <v>3060</v>
      </c>
      <c r="E63">
        <v>0</v>
      </c>
    </row>
    <row r="64" spans="1:5" x14ac:dyDescent="0.25">
      <c r="A64" s="2502" t="s">
        <v>3061</v>
      </c>
      <c r="B64" s="2503">
        <v>-13719.23</v>
      </c>
      <c r="D64" t="s">
        <v>3061</v>
      </c>
      <c r="E64">
        <v>0</v>
      </c>
    </row>
    <row r="65" spans="1:5" x14ac:dyDescent="0.25">
      <c r="A65" s="2502" t="s">
        <v>2290</v>
      </c>
      <c r="B65" s="2503">
        <v>0</v>
      </c>
      <c r="D65" t="s">
        <v>2290</v>
      </c>
      <c r="E65">
        <v>0</v>
      </c>
    </row>
    <row r="66" spans="1:5" x14ac:dyDescent="0.25">
      <c r="A66" s="2502" t="s">
        <v>3059</v>
      </c>
      <c r="B66" s="2503">
        <v>0</v>
      </c>
      <c r="D66" t="s">
        <v>3059</v>
      </c>
      <c r="E66">
        <v>0</v>
      </c>
    </row>
    <row r="67" spans="1:5" x14ac:dyDescent="0.25">
      <c r="A67" s="2502" t="s">
        <v>2291</v>
      </c>
      <c r="B67" s="2503">
        <v>0</v>
      </c>
      <c r="D67" t="s">
        <v>2291</v>
      </c>
      <c r="E67">
        <v>0</v>
      </c>
    </row>
    <row r="68" spans="1:5" x14ac:dyDescent="0.25">
      <c r="A68" s="2502" t="s">
        <v>2293</v>
      </c>
      <c r="B68" s="2503">
        <v>0</v>
      </c>
      <c r="D68" t="s">
        <v>2293</v>
      </c>
      <c r="E68">
        <v>0</v>
      </c>
    </row>
    <row r="69" spans="1:5" x14ac:dyDescent="0.25">
      <c r="A69" s="2502" t="s">
        <v>2295</v>
      </c>
      <c r="B69" s="2503">
        <v>0</v>
      </c>
      <c r="D69" t="s">
        <v>2295</v>
      </c>
      <c r="E69">
        <v>0</v>
      </c>
    </row>
    <row r="70" spans="1:5" x14ac:dyDescent="0.25">
      <c r="A70" s="2502" t="s">
        <v>2301</v>
      </c>
      <c r="B70" s="2503">
        <v>0</v>
      </c>
      <c r="D70" t="s">
        <v>2301</v>
      </c>
      <c r="E70">
        <v>0</v>
      </c>
    </row>
    <row r="71" spans="1:5" x14ac:dyDescent="0.25">
      <c r="A71" s="2502" t="s">
        <v>2303</v>
      </c>
      <c r="B71" s="2503">
        <v>586241.13</v>
      </c>
      <c r="D71" t="s">
        <v>2303</v>
      </c>
      <c r="E71">
        <v>0</v>
      </c>
    </row>
    <row r="72" spans="1:5" x14ac:dyDescent="0.25">
      <c r="A72" s="2502" t="s">
        <v>2304</v>
      </c>
      <c r="B72" s="2503">
        <v>0</v>
      </c>
      <c r="D72" t="s">
        <v>2304</v>
      </c>
      <c r="E72">
        <v>0</v>
      </c>
    </row>
    <row r="73" spans="1:5" x14ac:dyDescent="0.25">
      <c r="A73" s="2502" t="s">
        <v>2305</v>
      </c>
      <c r="B73" s="2503">
        <v>274757.32</v>
      </c>
      <c r="D73" t="s">
        <v>2305</v>
      </c>
      <c r="E73">
        <v>0</v>
      </c>
    </row>
    <row r="74" spans="1:5" x14ac:dyDescent="0.25">
      <c r="A74" s="2502" t="s">
        <v>2306</v>
      </c>
      <c r="B74" s="2503">
        <v>0</v>
      </c>
      <c r="D74" t="s">
        <v>2306</v>
      </c>
      <c r="E74">
        <v>0</v>
      </c>
    </row>
    <row r="75" spans="1:5" x14ac:dyDescent="0.25">
      <c r="A75" s="2502" t="s">
        <v>2317</v>
      </c>
      <c r="B75" s="2503">
        <v>0</v>
      </c>
      <c r="D75" t="s">
        <v>2317</v>
      </c>
      <c r="E75">
        <v>0</v>
      </c>
    </row>
    <row r="76" spans="1:5" x14ac:dyDescent="0.25">
      <c r="A76" s="2502" t="s">
        <v>2312</v>
      </c>
      <c r="B76" s="2503">
        <v>4774373</v>
      </c>
      <c r="D76" t="s">
        <v>2312</v>
      </c>
      <c r="E76" s="2504">
        <v>90113</v>
      </c>
    </row>
    <row r="77" spans="1:5" x14ac:dyDescent="0.25">
      <c r="A77" s="2502" t="s">
        <v>2320</v>
      </c>
      <c r="B77" s="2503">
        <v>0</v>
      </c>
      <c r="D77" t="s">
        <v>2320</v>
      </c>
      <c r="E77">
        <v>0</v>
      </c>
    </row>
    <row r="78" spans="1:5" x14ac:dyDescent="0.25">
      <c r="A78" s="2502" t="s">
        <v>2321</v>
      </c>
      <c r="B78" s="2503">
        <v>0</v>
      </c>
      <c r="D78" t="s">
        <v>2321</v>
      </c>
      <c r="E78">
        <v>0</v>
      </c>
    </row>
    <row r="79" spans="1:5" x14ac:dyDescent="0.25">
      <c r="A79" s="2502" t="s">
        <v>2316</v>
      </c>
      <c r="B79" s="2503">
        <v>0</v>
      </c>
      <c r="D79" t="s">
        <v>2316</v>
      </c>
      <c r="E79">
        <v>0</v>
      </c>
    </row>
    <row r="80" spans="1:5" x14ac:dyDescent="0.25">
      <c r="A80" s="2502" t="s">
        <v>2322</v>
      </c>
      <c r="B80" s="2503">
        <v>586061.87943400245</v>
      </c>
      <c r="D80" t="s">
        <v>2322</v>
      </c>
      <c r="E80">
        <v>0</v>
      </c>
    </row>
    <row r="81" spans="1:5" x14ac:dyDescent="0.25">
      <c r="A81" s="2502" t="s">
        <v>3062</v>
      </c>
      <c r="B81" s="2503">
        <v>-669</v>
      </c>
      <c r="D81" t="s">
        <v>3062</v>
      </c>
      <c r="E81" s="2504">
        <v>-669</v>
      </c>
    </row>
    <row r="82" spans="1:5" x14ac:dyDescent="0.25">
      <c r="A82" s="2502" t="s">
        <v>2324</v>
      </c>
      <c r="B82" s="2503">
        <v>0</v>
      </c>
      <c r="D82" t="s">
        <v>2324</v>
      </c>
      <c r="E82">
        <v>0</v>
      </c>
    </row>
    <row r="83" spans="1:5" x14ac:dyDescent="0.25">
      <c r="A83" s="2502" t="s">
        <v>2325</v>
      </c>
      <c r="B83" s="2503">
        <v>0</v>
      </c>
      <c r="D83" t="s">
        <v>2325</v>
      </c>
      <c r="E83">
        <v>0</v>
      </c>
    </row>
    <row r="84" spans="1:5" x14ac:dyDescent="0.25">
      <c r="A84" s="2502" t="s">
        <v>2358</v>
      </c>
      <c r="B84" s="2503">
        <v>0</v>
      </c>
      <c r="D84" t="s">
        <v>2358</v>
      </c>
      <c r="E84">
        <v>0</v>
      </c>
    </row>
    <row r="85" spans="1:5" x14ac:dyDescent="0.25">
      <c r="A85" s="2502" t="s">
        <v>3065</v>
      </c>
      <c r="B85" s="2503">
        <v>0</v>
      </c>
      <c r="D85" t="s">
        <v>3065</v>
      </c>
      <c r="E85">
        <v>0</v>
      </c>
    </row>
    <row r="86" spans="1:5" x14ac:dyDescent="0.25">
      <c r="A86" s="2502" t="s">
        <v>2360</v>
      </c>
      <c r="B86" s="2503">
        <v>0</v>
      </c>
      <c r="D86" t="s">
        <v>2360</v>
      </c>
      <c r="E86">
        <v>0</v>
      </c>
    </row>
    <row r="87" spans="1:5" x14ac:dyDescent="0.25">
      <c r="A87" s="2502" t="s">
        <v>2361</v>
      </c>
      <c r="B87" s="2503">
        <v>316630</v>
      </c>
      <c r="D87" t="s">
        <v>2361</v>
      </c>
      <c r="E87">
        <v>0</v>
      </c>
    </row>
    <row r="88" spans="1:5" x14ac:dyDescent="0.25">
      <c r="A88" s="2502" t="s">
        <v>2334</v>
      </c>
      <c r="B88" s="2503">
        <v>-1055</v>
      </c>
      <c r="D88" t="s">
        <v>2334</v>
      </c>
      <c r="E88">
        <v>0</v>
      </c>
    </row>
    <row r="89" spans="1:5" x14ac:dyDescent="0.25">
      <c r="A89" s="2502" t="s">
        <v>3063</v>
      </c>
      <c r="B89" s="2503">
        <v>10197.790000000001</v>
      </c>
      <c r="D89" t="s">
        <v>3063</v>
      </c>
      <c r="E89" s="2504">
        <v>10197.790000000001</v>
      </c>
    </row>
    <row r="90" spans="1:5" x14ac:dyDescent="0.25">
      <c r="A90" s="2502" t="s">
        <v>2337</v>
      </c>
      <c r="B90" s="2503">
        <v>677690</v>
      </c>
      <c r="D90" t="s">
        <v>2337</v>
      </c>
      <c r="E90">
        <v>0</v>
      </c>
    </row>
    <row r="91" spans="1:5" x14ac:dyDescent="0.25">
      <c r="A91" s="2502" t="s">
        <v>2346</v>
      </c>
      <c r="B91" s="2503">
        <v>0</v>
      </c>
      <c r="D91" t="s">
        <v>2346</v>
      </c>
      <c r="E91">
        <v>0</v>
      </c>
    </row>
    <row r="92" spans="1:5" x14ac:dyDescent="0.25">
      <c r="A92" s="2502" t="s">
        <v>3064</v>
      </c>
      <c r="B92" s="2503">
        <v>0</v>
      </c>
      <c r="D92" t="s">
        <v>3064</v>
      </c>
      <c r="E92">
        <v>0</v>
      </c>
    </row>
    <row r="93" spans="1:5" x14ac:dyDescent="0.25">
      <c r="A93" s="2502" t="s">
        <v>2366</v>
      </c>
      <c r="B93" s="2503">
        <v>0</v>
      </c>
      <c r="D93" t="s">
        <v>2366</v>
      </c>
      <c r="E93">
        <v>0</v>
      </c>
    </row>
    <row r="94" spans="1:5" x14ac:dyDescent="0.25">
      <c r="A94" s="2502" t="s">
        <v>2367</v>
      </c>
      <c r="B94" s="2503">
        <v>0</v>
      </c>
      <c r="D94" t="s">
        <v>2367</v>
      </c>
      <c r="E94">
        <v>0</v>
      </c>
    </row>
    <row r="95" spans="1:5" x14ac:dyDescent="0.25">
      <c r="A95" s="2502" t="s">
        <v>3066</v>
      </c>
      <c r="B95" s="2503">
        <v>-675042.99</v>
      </c>
      <c r="D95" t="s">
        <v>3066</v>
      </c>
      <c r="E95" s="2504">
        <v>2647.0099999999984</v>
      </c>
    </row>
    <row r="96" spans="1:5" x14ac:dyDescent="0.25">
      <c r="A96" s="2502" t="s">
        <v>2368</v>
      </c>
      <c r="B96" s="2503">
        <v>39493.25</v>
      </c>
      <c r="D96" t="s">
        <v>2368</v>
      </c>
      <c r="E96" s="2504">
        <v>39493.25</v>
      </c>
    </row>
    <row r="97" spans="1:5" x14ac:dyDescent="0.25">
      <c r="A97" s="2502" t="s">
        <v>2343</v>
      </c>
      <c r="B97" s="2503">
        <v>0</v>
      </c>
      <c r="D97" t="s">
        <v>2343</v>
      </c>
      <c r="E97">
        <v>0</v>
      </c>
    </row>
    <row r="98" spans="1:5" x14ac:dyDescent="0.25">
      <c r="A98" s="2502" t="s">
        <v>2344</v>
      </c>
      <c r="B98" s="2503">
        <v>-11398</v>
      </c>
      <c r="D98" t="s">
        <v>2344</v>
      </c>
      <c r="E98" s="2504">
        <v>-11398</v>
      </c>
    </row>
    <row r="99" spans="1:5" x14ac:dyDescent="0.25">
      <c r="A99" s="2502" t="s">
        <v>3580</v>
      </c>
      <c r="B99" s="2503">
        <v>0</v>
      </c>
      <c r="D99" t="s">
        <v>3580</v>
      </c>
      <c r="E99">
        <v>0</v>
      </c>
    </row>
    <row r="100" spans="1:5" x14ac:dyDescent="0.25">
      <c r="A100" s="2502" t="s">
        <v>2382</v>
      </c>
      <c r="B100" s="2503">
        <v>-1980</v>
      </c>
      <c r="D100" t="s">
        <v>2382</v>
      </c>
      <c r="E100">
        <v>0</v>
      </c>
    </row>
    <row r="101" spans="1:5" x14ac:dyDescent="0.25">
      <c r="A101" s="2502" t="s">
        <v>2373</v>
      </c>
      <c r="B101" s="2503">
        <v>0</v>
      </c>
      <c r="D101" t="s">
        <v>2373</v>
      </c>
      <c r="E101">
        <v>0</v>
      </c>
    </row>
    <row r="102" spans="1:5" x14ac:dyDescent="0.25">
      <c r="A102" s="2502" t="s">
        <v>2379</v>
      </c>
      <c r="B102" s="2503">
        <v>0</v>
      </c>
      <c r="D102" t="s">
        <v>2379</v>
      </c>
      <c r="E102">
        <v>0</v>
      </c>
    </row>
    <row r="103" spans="1:5" x14ac:dyDescent="0.25">
      <c r="A103" s="2502" t="s">
        <v>2386</v>
      </c>
      <c r="B103" s="2503">
        <v>0</v>
      </c>
      <c r="D103" t="s">
        <v>2386</v>
      </c>
      <c r="E103">
        <v>0</v>
      </c>
    </row>
    <row r="104" spans="1:5" x14ac:dyDescent="0.25">
      <c r="A104" s="2502" t="s">
        <v>2391</v>
      </c>
      <c r="B104" s="2503">
        <v>708.5</v>
      </c>
      <c r="D104" t="s">
        <v>2391</v>
      </c>
      <c r="E104" s="2504">
        <v>-1056372.8400000001</v>
      </c>
    </row>
    <row r="105" spans="1:5" x14ac:dyDescent="0.25">
      <c r="A105" s="2502" t="s">
        <v>3581</v>
      </c>
      <c r="B105" s="2503">
        <v>4510526.8099999996</v>
      </c>
      <c r="D105" t="s">
        <v>3581</v>
      </c>
      <c r="E105" s="2504">
        <v>4559108.8099999996</v>
      </c>
    </row>
    <row r="106" spans="1:5" x14ac:dyDescent="0.25">
      <c r="A106" s="2502" t="s">
        <v>2395</v>
      </c>
      <c r="B106" s="2503">
        <v>0</v>
      </c>
      <c r="D106" t="s">
        <v>2395</v>
      </c>
      <c r="E106">
        <v>0</v>
      </c>
    </row>
    <row r="107" spans="1:5" x14ac:dyDescent="0.25">
      <c r="A107" s="2502" t="s">
        <v>3071</v>
      </c>
      <c r="B107" s="2503">
        <v>0</v>
      </c>
      <c r="D107" t="s">
        <v>3071</v>
      </c>
      <c r="E107">
        <v>0</v>
      </c>
    </row>
    <row r="108" spans="1:5" x14ac:dyDescent="0.25">
      <c r="A108" s="2502" t="s">
        <v>3072</v>
      </c>
      <c r="B108" s="2503">
        <v>0</v>
      </c>
      <c r="D108" t="s">
        <v>3072</v>
      </c>
      <c r="E108">
        <v>0</v>
      </c>
    </row>
    <row r="109" spans="1:5" x14ac:dyDescent="0.25">
      <c r="A109" s="2502" t="s">
        <v>2409</v>
      </c>
      <c r="B109" s="2503">
        <v>-734317.72</v>
      </c>
      <c r="D109" t="s">
        <v>2409</v>
      </c>
      <c r="E109" s="2504">
        <v>-734317.72000000009</v>
      </c>
    </row>
    <row r="110" spans="1:5" x14ac:dyDescent="0.25">
      <c r="A110" s="2502" t="s">
        <v>3073</v>
      </c>
      <c r="B110" s="2503">
        <v>0</v>
      </c>
      <c r="D110" t="s">
        <v>3073</v>
      </c>
      <c r="E110">
        <v>0</v>
      </c>
    </row>
    <row r="111" spans="1:5" x14ac:dyDescent="0.25">
      <c r="A111" s="2502" t="s">
        <v>3074</v>
      </c>
      <c r="B111" s="2503">
        <v>215210</v>
      </c>
      <c r="D111" t="s">
        <v>3074</v>
      </c>
      <c r="E111" s="2504">
        <v>215210</v>
      </c>
    </row>
    <row r="112" spans="1:5" x14ac:dyDescent="0.25">
      <c r="A112" s="2502" t="s">
        <v>2414</v>
      </c>
      <c r="B112" s="2503">
        <v>0</v>
      </c>
      <c r="D112" t="s">
        <v>2414</v>
      </c>
      <c r="E112">
        <v>0</v>
      </c>
    </row>
    <row r="113" spans="1:5" x14ac:dyDescent="0.25">
      <c r="A113" s="2502" t="s">
        <v>2415</v>
      </c>
      <c r="B113" s="2503">
        <v>0</v>
      </c>
      <c r="D113" t="s">
        <v>2415</v>
      </c>
      <c r="E113">
        <v>0</v>
      </c>
    </row>
    <row r="114" spans="1:5" x14ac:dyDescent="0.25">
      <c r="A114" s="2502" t="s">
        <v>2417</v>
      </c>
      <c r="B114" s="2503">
        <v>0</v>
      </c>
      <c r="D114" t="s">
        <v>2417</v>
      </c>
      <c r="E114">
        <v>0</v>
      </c>
    </row>
    <row r="115" spans="1:5" x14ac:dyDescent="0.25">
      <c r="A115" s="2502" t="s">
        <v>2397</v>
      </c>
      <c r="B115" s="2503">
        <v>0</v>
      </c>
      <c r="D115" t="s">
        <v>2397</v>
      </c>
      <c r="E115">
        <v>0</v>
      </c>
    </row>
    <row r="116" spans="1:5" x14ac:dyDescent="0.25">
      <c r="A116" s="2502" t="s">
        <v>234</v>
      </c>
      <c r="B116" s="2503">
        <v>0</v>
      </c>
      <c r="D116" t="s">
        <v>234</v>
      </c>
      <c r="E116">
        <v>0</v>
      </c>
    </row>
    <row r="117" spans="1:5" x14ac:dyDescent="0.25">
      <c r="A117" s="2502" t="s">
        <v>2418</v>
      </c>
      <c r="B117" s="2503">
        <v>40696.448767123249</v>
      </c>
      <c r="D117" t="s">
        <v>2418</v>
      </c>
      <c r="E117" s="2504">
        <v>-619.71561643834866</v>
      </c>
    </row>
    <row r="118" spans="1:5" x14ac:dyDescent="0.25">
      <c r="A118" s="2502" t="s">
        <v>2419</v>
      </c>
      <c r="B118" s="2503">
        <v>0</v>
      </c>
      <c r="D118" t="s">
        <v>2419</v>
      </c>
      <c r="E118">
        <v>0</v>
      </c>
    </row>
    <row r="119" spans="1:5" x14ac:dyDescent="0.25">
      <c r="A119" s="2502" t="s">
        <v>2420</v>
      </c>
      <c r="B119" s="2503">
        <v>-4600138</v>
      </c>
      <c r="D119" t="s">
        <v>2420</v>
      </c>
      <c r="E119" s="2504">
        <v>84122</v>
      </c>
    </row>
    <row r="120" spans="1:5" x14ac:dyDescent="0.25">
      <c r="A120" s="2502" t="s">
        <v>3075</v>
      </c>
      <c r="B120" s="2503">
        <v>0</v>
      </c>
      <c r="D120" t="s">
        <v>3075</v>
      </c>
      <c r="E120">
        <v>0</v>
      </c>
    </row>
    <row r="121" spans="1:5" x14ac:dyDescent="0.25">
      <c r="A121" s="2502" t="s">
        <v>2425</v>
      </c>
      <c r="B121" s="2503">
        <v>0</v>
      </c>
      <c r="D121" t="s">
        <v>2425</v>
      </c>
      <c r="E121">
        <v>0</v>
      </c>
    </row>
    <row r="122" spans="1:5" x14ac:dyDescent="0.25">
      <c r="A122" s="2502" t="s">
        <v>2426</v>
      </c>
      <c r="B122" s="2503">
        <v>0</v>
      </c>
      <c r="D122" t="s">
        <v>2426</v>
      </c>
      <c r="E122">
        <v>0</v>
      </c>
    </row>
    <row r="123" spans="1:5" x14ac:dyDescent="0.25">
      <c r="A123" s="2502" t="s">
        <v>3567</v>
      </c>
      <c r="B123" s="2503">
        <v>-118</v>
      </c>
      <c r="D123" t="s">
        <v>3567</v>
      </c>
      <c r="E123" s="2504">
        <v>-118</v>
      </c>
    </row>
    <row r="124" spans="1:5" x14ac:dyDescent="0.25">
      <c r="A124" s="2502" t="s">
        <v>3069</v>
      </c>
      <c r="B124" s="2503">
        <v>-6160</v>
      </c>
      <c r="D124" t="s">
        <v>3069</v>
      </c>
      <c r="E124" s="2504">
        <v>-6160</v>
      </c>
    </row>
    <row r="125" spans="1:5" x14ac:dyDescent="0.25">
      <c r="A125" s="2502" t="s">
        <v>2402</v>
      </c>
      <c r="B125" s="2503">
        <v>-427.5</v>
      </c>
      <c r="D125" t="s">
        <v>2402</v>
      </c>
      <c r="E125" s="2504">
        <v>-427.5</v>
      </c>
    </row>
    <row r="126" spans="1:5" x14ac:dyDescent="0.25">
      <c r="A126" s="2502" t="s">
        <v>2403</v>
      </c>
      <c r="B126" s="2503">
        <v>-30390.6</v>
      </c>
      <c r="D126" t="s">
        <v>2403</v>
      </c>
      <c r="E126" s="2504">
        <v>-30390.6</v>
      </c>
    </row>
    <row r="127" spans="1:5" x14ac:dyDescent="0.25">
      <c r="A127" s="2502" t="s">
        <v>3070</v>
      </c>
      <c r="B127" s="2503">
        <v>163914.12999999998</v>
      </c>
      <c r="D127" t="s">
        <v>3070</v>
      </c>
      <c r="E127" s="2504">
        <v>115332.13</v>
      </c>
    </row>
    <row r="128" spans="1:5" x14ac:dyDescent="0.25">
      <c r="A128" s="2502" t="s">
        <v>2440</v>
      </c>
      <c r="B128" s="2503">
        <v>0</v>
      </c>
      <c r="D128" t="s">
        <v>2440</v>
      </c>
      <c r="E128">
        <v>0</v>
      </c>
    </row>
    <row r="129" spans="1:5" x14ac:dyDescent="0.25">
      <c r="A129" s="2502" t="s">
        <v>2435</v>
      </c>
      <c r="B129" s="2503">
        <v>0</v>
      </c>
      <c r="D129" t="s">
        <v>2435</v>
      </c>
      <c r="E129">
        <v>0</v>
      </c>
    </row>
    <row r="130" spans="1:5" x14ac:dyDescent="0.25">
      <c r="A130" s="2502" t="s">
        <v>2450</v>
      </c>
      <c r="B130" s="2503">
        <v>0</v>
      </c>
      <c r="D130" t="s">
        <v>2450</v>
      </c>
      <c r="E130">
        <v>0</v>
      </c>
    </row>
    <row r="131" spans="1:5" x14ac:dyDescent="0.25">
      <c r="A131" s="2502" t="s">
        <v>2467</v>
      </c>
      <c r="B131" s="2503">
        <v>0</v>
      </c>
      <c r="D131" t="s">
        <v>2467</v>
      </c>
      <c r="E131">
        <v>0</v>
      </c>
    </row>
    <row r="132" spans="1:5" x14ac:dyDescent="0.25">
      <c r="A132" s="2502" t="s">
        <v>2458</v>
      </c>
      <c r="B132" s="2503">
        <v>33649</v>
      </c>
      <c r="D132" t="s">
        <v>2458</v>
      </c>
      <c r="E132" s="2504">
        <v>33649</v>
      </c>
    </row>
    <row r="133" spans="1:5" x14ac:dyDescent="0.25">
      <c r="A133" s="2502" t="s">
        <v>2471</v>
      </c>
      <c r="B133" s="2503">
        <v>0</v>
      </c>
      <c r="D133" t="s">
        <v>2471</v>
      </c>
      <c r="E133">
        <v>0</v>
      </c>
    </row>
    <row r="134" spans="1:5" x14ac:dyDescent="0.25">
      <c r="A134" s="2502" t="s">
        <v>3582</v>
      </c>
      <c r="B134" s="2503">
        <v>0</v>
      </c>
      <c r="D134" t="s">
        <v>3582</v>
      </c>
      <c r="E134">
        <v>0</v>
      </c>
    </row>
    <row r="135" spans="1:5" x14ac:dyDescent="0.25">
      <c r="A135" s="2502" t="s">
        <v>3583</v>
      </c>
      <c r="B135" s="2503">
        <v>0</v>
      </c>
      <c r="D135" t="s">
        <v>3583</v>
      </c>
      <c r="E135">
        <v>0</v>
      </c>
    </row>
    <row r="136" spans="1:5" x14ac:dyDescent="0.25">
      <c r="A136" s="2502" t="s">
        <v>3584</v>
      </c>
      <c r="B136" s="2503">
        <v>0</v>
      </c>
      <c r="D136" t="s">
        <v>3584</v>
      </c>
      <c r="E136">
        <v>0</v>
      </c>
    </row>
    <row r="137" spans="1:5" x14ac:dyDescent="0.25">
      <c r="A137" s="2502" t="s">
        <v>3077</v>
      </c>
      <c r="B137" s="2503">
        <v>0</v>
      </c>
      <c r="D137" t="s">
        <v>3077</v>
      </c>
      <c r="E137">
        <v>0</v>
      </c>
    </row>
    <row r="138" spans="1:5" x14ac:dyDescent="0.25">
      <c r="A138" s="2502" t="s">
        <v>3076</v>
      </c>
      <c r="B138" s="2503">
        <v>-25781</v>
      </c>
      <c r="D138" t="s">
        <v>3076</v>
      </c>
      <c r="E138" s="2504">
        <v>-25781</v>
      </c>
    </row>
    <row r="139" spans="1:5" x14ac:dyDescent="0.25">
      <c r="A139" s="2502" t="s">
        <v>3078</v>
      </c>
      <c r="B139" s="2503">
        <v>0</v>
      </c>
      <c r="D139" t="s">
        <v>3078</v>
      </c>
      <c r="E139">
        <v>0</v>
      </c>
    </row>
    <row r="140" spans="1:5" x14ac:dyDescent="0.25">
      <c r="A140" s="2502" t="s">
        <v>3585</v>
      </c>
      <c r="B140" s="2503">
        <v>0</v>
      </c>
      <c r="D140" t="s">
        <v>3585</v>
      </c>
      <c r="E140">
        <v>0</v>
      </c>
    </row>
    <row r="141" spans="1:5" x14ac:dyDescent="0.25">
      <c r="A141" s="2502" t="s">
        <v>3586</v>
      </c>
      <c r="B141" s="2503">
        <v>0</v>
      </c>
      <c r="D141" t="s">
        <v>3586</v>
      </c>
      <c r="E141">
        <v>0</v>
      </c>
    </row>
    <row r="142" spans="1:5" x14ac:dyDescent="0.25">
      <c r="A142" s="2502" t="s">
        <v>3080</v>
      </c>
      <c r="B142" s="2503">
        <v>0</v>
      </c>
      <c r="D142" t="s">
        <v>3080</v>
      </c>
      <c r="E142">
        <v>0</v>
      </c>
    </row>
    <row r="143" spans="1:5" x14ac:dyDescent="0.25">
      <c r="A143" s="2502" t="s">
        <v>3081</v>
      </c>
      <c r="B143" s="2503">
        <v>0</v>
      </c>
      <c r="D143" t="s">
        <v>3081</v>
      </c>
      <c r="E143">
        <v>0</v>
      </c>
    </row>
    <row r="144" spans="1:5" x14ac:dyDescent="0.25">
      <c r="A144" s="2502" t="s">
        <v>3082</v>
      </c>
      <c r="B144" s="2503">
        <v>0</v>
      </c>
      <c r="D144" t="s">
        <v>3082</v>
      </c>
      <c r="E144">
        <v>0</v>
      </c>
    </row>
    <row r="145" spans="1:5" x14ac:dyDescent="0.25">
      <c r="A145" s="2502" t="s">
        <v>2517</v>
      </c>
      <c r="B145" s="2503">
        <v>0</v>
      </c>
      <c r="D145" t="s">
        <v>2517</v>
      </c>
      <c r="E145">
        <v>0</v>
      </c>
    </row>
    <row r="146" spans="1:5" x14ac:dyDescent="0.25">
      <c r="A146" s="2502" t="s">
        <v>2518</v>
      </c>
      <c r="B146" s="2503">
        <v>0</v>
      </c>
      <c r="D146" t="s">
        <v>2518</v>
      </c>
      <c r="E146">
        <v>0</v>
      </c>
    </row>
    <row r="147" spans="1:5" x14ac:dyDescent="0.25">
      <c r="A147" s="2502" t="s">
        <v>2521</v>
      </c>
      <c r="B147" s="2503">
        <v>0</v>
      </c>
      <c r="D147" t="s">
        <v>2521</v>
      </c>
      <c r="E147" s="2504">
        <v>6929755.5199999996</v>
      </c>
    </row>
    <row r="148" spans="1:5" x14ac:dyDescent="0.25">
      <c r="A148" s="2502" t="s">
        <v>2523</v>
      </c>
      <c r="B148" s="2503">
        <v>0</v>
      </c>
      <c r="D148" t="s">
        <v>2523</v>
      </c>
      <c r="E148">
        <v>0</v>
      </c>
    </row>
    <row r="149" spans="1:5" x14ac:dyDescent="0.25">
      <c r="A149" s="2502" t="s">
        <v>2524</v>
      </c>
      <c r="B149" s="2503">
        <v>0</v>
      </c>
      <c r="D149" t="s">
        <v>2524</v>
      </c>
      <c r="E149">
        <v>0</v>
      </c>
    </row>
    <row r="150" spans="1:5" x14ac:dyDescent="0.25">
      <c r="A150" s="2502" t="s">
        <v>2522</v>
      </c>
      <c r="B150" s="2503">
        <v>222882.90000000002</v>
      </c>
      <c r="D150" t="s">
        <v>2522</v>
      </c>
      <c r="E150" s="2504">
        <v>310940.40000000002</v>
      </c>
    </row>
    <row r="151" spans="1:5" x14ac:dyDescent="0.25">
      <c r="A151" s="2502" t="s">
        <v>2500</v>
      </c>
      <c r="B151" s="2503">
        <v>0</v>
      </c>
      <c r="D151" t="s">
        <v>2500</v>
      </c>
      <c r="E151">
        <v>0</v>
      </c>
    </row>
    <row r="152" spans="1:5" x14ac:dyDescent="0.25">
      <c r="A152" s="2502" t="s">
        <v>2504</v>
      </c>
      <c r="B152" s="2503">
        <v>0</v>
      </c>
      <c r="D152" t="s">
        <v>2504</v>
      </c>
      <c r="E152">
        <v>0</v>
      </c>
    </row>
    <row r="153" spans="1:5" x14ac:dyDescent="0.25">
      <c r="A153" s="2502" t="s">
        <v>3084</v>
      </c>
      <c r="B153" s="2503">
        <v>0</v>
      </c>
      <c r="D153" t="s">
        <v>3084</v>
      </c>
      <c r="E153">
        <v>0</v>
      </c>
    </row>
    <row r="154" spans="1:5" x14ac:dyDescent="0.25">
      <c r="A154" s="2502" t="s">
        <v>2526</v>
      </c>
      <c r="B154" s="2503">
        <v>0</v>
      </c>
      <c r="D154" t="s">
        <v>2526</v>
      </c>
      <c r="E154">
        <v>0</v>
      </c>
    </row>
    <row r="155" spans="1:5" x14ac:dyDescent="0.25">
      <c r="A155" s="2502" t="s">
        <v>3085</v>
      </c>
      <c r="B155" s="2503">
        <v>301.85000000000002</v>
      </c>
      <c r="D155" t="s">
        <v>3085</v>
      </c>
      <c r="E155">
        <v>0</v>
      </c>
    </row>
    <row r="156" spans="1:5" x14ac:dyDescent="0.25">
      <c r="A156" s="2502" t="s">
        <v>2532</v>
      </c>
      <c r="B156" s="2503">
        <v>-525080.02283400297</v>
      </c>
      <c r="D156" t="s">
        <v>2532</v>
      </c>
      <c r="E156" s="2504">
        <v>-82976.064247979783</v>
      </c>
    </row>
    <row r="157" spans="1:5" x14ac:dyDescent="0.25">
      <c r="A157" s="2502" t="s">
        <v>2533</v>
      </c>
      <c r="B157" s="2503">
        <v>73074.153400000519</v>
      </c>
      <c r="D157" t="s">
        <v>2533</v>
      </c>
      <c r="E157" s="2504">
        <v>71971.76340000052</v>
      </c>
    </row>
    <row r="158" spans="1:5" x14ac:dyDescent="0.25">
      <c r="A158" s="2502" t="s">
        <v>2534</v>
      </c>
      <c r="B158" s="2503">
        <v>0</v>
      </c>
      <c r="D158" t="s">
        <v>2534</v>
      </c>
      <c r="E158">
        <v>0</v>
      </c>
    </row>
    <row r="159" spans="1:5" x14ac:dyDescent="0.25">
      <c r="A159" s="2502" t="s">
        <v>2535</v>
      </c>
      <c r="B159" s="2503">
        <v>0</v>
      </c>
      <c r="D159" t="s">
        <v>2535</v>
      </c>
      <c r="E159">
        <v>0</v>
      </c>
    </row>
    <row r="160" spans="1:5" x14ac:dyDescent="0.25">
      <c r="A160" s="2502" t="s">
        <v>2537</v>
      </c>
      <c r="B160" s="2503">
        <v>0</v>
      </c>
      <c r="D160" t="s">
        <v>2537</v>
      </c>
      <c r="E160">
        <v>0</v>
      </c>
    </row>
    <row r="161" spans="1:5" x14ac:dyDescent="0.25">
      <c r="A161" s="2502" t="s">
        <v>2538</v>
      </c>
      <c r="B161" s="2503">
        <v>0</v>
      </c>
      <c r="D161" t="s">
        <v>2538</v>
      </c>
      <c r="E161">
        <v>0</v>
      </c>
    </row>
    <row r="162" spans="1:5" x14ac:dyDescent="0.25">
      <c r="A162" s="2502" t="s">
        <v>3086</v>
      </c>
      <c r="B162" s="2503">
        <v>-466808.04</v>
      </c>
      <c r="D162" t="s">
        <v>3086</v>
      </c>
      <c r="E162" s="2504">
        <v>-219437.04</v>
      </c>
    </row>
    <row r="163" spans="1:5" x14ac:dyDescent="0.25">
      <c r="A163" s="2502" t="s">
        <v>2513</v>
      </c>
      <c r="B163" s="2503">
        <v>22750</v>
      </c>
      <c r="D163" t="s">
        <v>2513</v>
      </c>
      <c r="E163" s="2504">
        <v>22750</v>
      </c>
    </row>
    <row r="164" spans="1:5" x14ac:dyDescent="0.25">
      <c r="A164" s="2502" t="s">
        <v>2539</v>
      </c>
      <c r="B164" s="2503">
        <v>0</v>
      </c>
      <c r="D164" t="s">
        <v>2539</v>
      </c>
      <c r="E164">
        <v>0</v>
      </c>
    </row>
    <row r="165" spans="1:5" x14ac:dyDescent="0.25">
      <c r="A165" s="2502" t="s">
        <v>2515</v>
      </c>
      <c r="B165" s="2503">
        <v>0</v>
      </c>
      <c r="D165" t="s">
        <v>2515</v>
      </c>
      <c r="E165">
        <v>0</v>
      </c>
    </row>
    <row r="166" spans="1:5" x14ac:dyDescent="0.25">
      <c r="A166" s="2502" t="s">
        <v>2540</v>
      </c>
      <c r="B166" s="2503">
        <v>0</v>
      </c>
      <c r="D166" t="s">
        <v>2540</v>
      </c>
      <c r="E166">
        <v>0</v>
      </c>
    </row>
    <row r="167" spans="1:5" x14ac:dyDescent="0.25">
      <c r="A167" s="2502" t="s">
        <v>2542</v>
      </c>
      <c r="B167" s="2503">
        <v>0</v>
      </c>
      <c r="D167" t="s">
        <v>2542</v>
      </c>
      <c r="E167">
        <v>0</v>
      </c>
    </row>
    <row r="168" spans="1:5" x14ac:dyDescent="0.25">
      <c r="A168" s="2502" t="s">
        <v>2541</v>
      </c>
      <c r="B168" s="2503">
        <v>0</v>
      </c>
      <c r="D168" t="s">
        <v>2541</v>
      </c>
      <c r="E168">
        <v>0</v>
      </c>
    </row>
    <row r="169" spans="1:5" x14ac:dyDescent="0.25">
      <c r="A169" s="2502" t="s">
        <v>3587</v>
      </c>
      <c r="B169" s="2503">
        <v>31006</v>
      </c>
      <c r="D169" t="s">
        <v>3587</v>
      </c>
      <c r="E169" s="2504">
        <v>31006</v>
      </c>
    </row>
    <row r="170" spans="1:5" x14ac:dyDescent="0.25">
      <c r="A170" s="2502" t="s">
        <v>2554</v>
      </c>
      <c r="B170" s="2503">
        <v>-458193</v>
      </c>
      <c r="D170" t="s">
        <v>2554</v>
      </c>
      <c r="E170" s="2504">
        <v>-458193</v>
      </c>
    </row>
    <row r="171" spans="1:5" x14ac:dyDescent="0.25">
      <c r="A171" s="2502" t="s">
        <v>2560</v>
      </c>
      <c r="B171" s="2503">
        <v>0</v>
      </c>
      <c r="D171" t="s">
        <v>2560</v>
      </c>
      <c r="E171">
        <v>0</v>
      </c>
    </row>
    <row r="172" spans="1:5" x14ac:dyDescent="0.25">
      <c r="A172" s="2502" t="s">
        <v>3087</v>
      </c>
      <c r="B172" s="2503">
        <v>0</v>
      </c>
      <c r="D172" t="s">
        <v>3087</v>
      </c>
      <c r="E172">
        <v>0</v>
      </c>
    </row>
    <row r="173" spans="1:5" x14ac:dyDescent="0.25">
      <c r="A173" s="2502" t="s">
        <v>2565</v>
      </c>
      <c r="B173" s="2503">
        <v>0</v>
      </c>
      <c r="D173" t="s">
        <v>2565</v>
      </c>
      <c r="E173">
        <v>0</v>
      </c>
    </row>
    <row r="174" spans="1:5" x14ac:dyDescent="0.25">
      <c r="A174" s="2502" t="s">
        <v>2566</v>
      </c>
      <c r="B174" s="2503">
        <v>0</v>
      </c>
      <c r="D174" t="s">
        <v>2566</v>
      </c>
      <c r="E174">
        <v>0</v>
      </c>
    </row>
    <row r="175" spans="1:5" x14ac:dyDescent="0.25">
      <c r="A175" s="2502" t="s">
        <v>2564</v>
      </c>
      <c r="B175" s="2503">
        <v>0</v>
      </c>
      <c r="D175" t="s">
        <v>2564</v>
      </c>
      <c r="E175">
        <v>0</v>
      </c>
    </row>
    <row r="176" spans="1:5" x14ac:dyDescent="0.25">
      <c r="A176" s="2502" t="s">
        <v>3588</v>
      </c>
      <c r="B176" s="2503">
        <v>0</v>
      </c>
      <c r="D176" t="s">
        <v>3588</v>
      </c>
      <c r="E176">
        <v>0</v>
      </c>
    </row>
    <row r="177" spans="1:5" x14ac:dyDescent="0.25">
      <c r="A177" s="2502" t="s">
        <v>3589</v>
      </c>
      <c r="B177" s="2503">
        <v>0</v>
      </c>
      <c r="D177" t="s">
        <v>3589</v>
      </c>
      <c r="E177">
        <v>0</v>
      </c>
    </row>
    <row r="178" spans="1:5" x14ac:dyDescent="0.25">
      <c r="A178" s="2502" t="s">
        <v>2569</v>
      </c>
      <c r="B178" s="2503">
        <v>-150</v>
      </c>
      <c r="D178" t="s">
        <v>2569</v>
      </c>
      <c r="E178" s="2504">
        <v>-5000</v>
      </c>
    </row>
    <row r="179" spans="1:5" x14ac:dyDescent="0.25">
      <c r="A179" s="2502" t="s">
        <v>3564</v>
      </c>
      <c r="B179" s="2503">
        <v>-344.33</v>
      </c>
      <c r="D179" t="s">
        <v>3564</v>
      </c>
      <c r="E179" s="2504">
        <v>-344.33</v>
      </c>
    </row>
    <row r="180" spans="1:5" x14ac:dyDescent="0.25">
      <c r="A180" s="2502" t="s">
        <v>2572</v>
      </c>
      <c r="B180" s="2503">
        <v>0</v>
      </c>
      <c r="D180" t="s">
        <v>2572</v>
      </c>
      <c r="E180">
        <v>0</v>
      </c>
    </row>
    <row r="181" spans="1:5" x14ac:dyDescent="0.25">
      <c r="A181" s="2502" t="s">
        <v>1056</v>
      </c>
      <c r="B181" s="2503">
        <v>0</v>
      </c>
      <c r="D181" t="s">
        <v>1056</v>
      </c>
      <c r="E181">
        <v>0</v>
      </c>
    </row>
    <row r="182" spans="1:5" x14ac:dyDescent="0.25">
      <c r="A182" s="2502" t="s">
        <v>2577</v>
      </c>
      <c r="B182" s="2503">
        <v>0</v>
      </c>
      <c r="D182" t="s">
        <v>2577</v>
      </c>
      <c r="E182">
        <v>0</v>
      </c>
    </row>
    <row r="183" spans="1:5" x14ac:dyDescent="0.25">
      <c r="A183" s="2502" t="s">
        <v>3088</v>
      </c>
      <c r="B183" s="2503">
        <v>94655</v>
      </c>
      <c r="D183" t="s">
        <v>3088</v>
      </c>
      <c r="E183">
        <v>0</v>
      </c>
    </row>
    <row r="184" spans="1:5" x14ac:dyDescent="0.25">
      <c r="A184" s="2502" t="s">
        <v>3590</v>
      </c>
      <c r="B184" s="2503">
        <v>310400</v>
      </c>
      <c r="D184" t="s">
        <v>3590</v>
      </c>
      <c r="E184" s="2504">
        <v>310400</v>
      </c>
    </row>
    <row r="185" spans="1:5" x14ac:dyDescent="0.25">
      <c r="A185" s="2502" t="s">
        <v>2580</v>
      </c>
      <c r="B185" s="2503">
        <v>150</v>
      </c>
      <c r="D185" t="s">
        <v>2580</v>
      </c>
      <c r="E185">
        <v>0</v>
      </c>
    </row>
    <row r="186" spans="1:5" x14ac:dyDescent="0.25">
      <c r="A186" s="2502" t="s">
        <v>2581</v>
      </c>
      <c r="B186" s="2503">
        <v>0</v>
      </c>
      <c r="D186" t="s">
        <v>2581</v>
      </c>
      <c r="E186">
        <v>0</v>
      </c>
    </row>
    <row r="187" spans="1:5" x14ac:dyDescent="0.25">
      <c r="A187" s="2502" t="s">
        <v>3174</v>
      </c>
      <c r="B187" s="2503">
        <v>-82704</v>
      </c>
      <c r="D187" t="s">
        <v>3174</v>
      </c>
      <c r="E187" s="2504">
        <v>-82704</v>
      </c>
    </row>
    <row r="188" spans="1:5" x14ac:dyDescent="0.25">
      <c r="A188" s="2502" t="s">
        <v>2630</v>
      </c>
      <c r="B188" s="2503">
        <v>3600</v>
      </c>
      <c r="D188" t="s">
        <v>2630</v>
      </c>
      <c r="E188" s="2504">
        <v>3600</v>
      </c>
    </row>
    <row r="189" spans="1:5" x14ac:dyDescent="0.25">
      <c r="A189" s="2502" t="s">
        <v>2598</v>
      </c>
      <c r="B189" s="2503">
        <v>4157.8800000001211</v>
      </c>
      <c r="D189" t="s">
        <v>2598</v>
      </c>
      <c r="E189">
        <v>0</v>
      </c>
    </row>
    <row r="190" spans="1:5" x14ac:dyDescent="0.25">
      <c r="A190" s="2502" t="s">
        <v>2609</v>
      </c>
      <c r="B190" s="2503">
        <v>0</v>
      </c>
      <c r="D190" t="s">
        <v>2609</v>
      </c>
      <c r="E190">
        <v>0</v>
      </c>
    </row>
    <row r="191" spans="1:5" x14ac:dyDescent="0.25">
      <c r="A191" s="2502" t="s">
        <v>2638</v>
      </c>
      <c r="B191" s="2503">
        <v>-62932.92</v>
      </c>
      <c r="D191" t="s">
        <v>2638</v>
      </c>
      <c r="E191" s="2504">
        <v>-62932.92</v>
      </c>
    </row>
    <row r="192" spans="1:5" x14ac:dyDescent="0.25">
      <c r="A192" s="2502" t="s">
        <v>2640</v>
      </c>
      <c r="B192" s="2503">
        <v>-7794.2506849315105</v>
      </c>
      <c r="D192" t="s">
        <v>2640</v>
      </c>
      <c r="E192" s="2504">
        <v>-5127.2506849315105</v>
      </c>
    </row>
    <row r="193" spans="1:5" x14ac:dyDescent="0.25">
      <c r="A193" s="2502" t="s">
        <v>2641</v>
      </c>
      <c r="B193" s="2503">
        <v>-41316.164383561598</v>
      </c>
      <c r="D193" t="s">
        <v>2641</v>
      </c>
      <c r="E193">
        <v>0</v>
      </c>
    </row>
    <row r="194" spans="1:5" x14ac:dyDescent="0.25">
      <c r="A194" s="2502" t="s">
        <v>2642</v>
      </c>
      <c r="B194" s="2503">
        <v>619.71561643834866</v>
      </c>
      <c r="D194" t="s">
        <v>2642</v>
      </c>
      <c r="E194" s="2504">
        <v>619.71561643834866</v>
      </c>
    </row>
    <row r="195" spans="1:5" x14ac:dyDescent="0.25">
      <c r="A195" s="2502" t="s">
        <v>2636</v>
      </c>
      <c r="B195" s="2503">
        <v>2059.0171270718201</v>
      </c>
      <c r="D195" t="s">
        <v>2636</v>
      </c>
      <c r="E195" s="2504">
        <v>1430009.2034284417</v>
      </c>
    </row>
    <row r="196" spans="1:5" x14ac:dyDescent="0.25">
      <c r="A196" s="2502" t="s">
        <v>2644</v>
      </c>
      <c r="B196" s="2503">
        <v>0</v>
      </c>
      <c r="D196" t="s">
        <v>2644</v>
      </c>
      <c r="E196">
        <v>0</v>
      </c>
    </row>
    <row r="197" spans="1:5" x14ac:dyDescent="0.25">
      <c r="A197" s="2502" t="s">
        <v>2645</v>
      </c>
      <c r="B197" s="2503">
        <v>0</v>
      </c>
      <c r="D197" t="s">
        <v>2645</v>
      </c>
      <c r="E197">
        <v>0</v>
      </c>
    </row>
    <row r="198" spans="1:5" x14ac:dyDescent="0.25">
      <c r="A198" s="2502" t="s">
        <v>3591</v>
      </c>
      <c r="B198" s="2503">
        <v>0</v>
      </c>
      <c r="D198" t="s">
        <v>3591</v>
      </c>
      <c r="E198">
        <v>0</v>
      </c>
    </row>
    <row r="199" spans="1:5" x14ac:dyDescent="0.25">
      <c r="A199" s="2502" t="s">
        <v>3173</v>
      </c>
      <c r="B199" s="2503">
        <v>347437.36</v>
      </c>
      <c r="D199" t="s">
        <v>3173</v>
      </c>
      <c r="E199" s="2504">
        <v>693000</v>
      </c>
    </row>
    <row r="200" spans="1:5" x14ac:dyDescent="0.25">
      <c r="A200" s="2502" t="s">
        <v>2649</v>
      </c>
      <c r="B200" s="2503">
        <v>0</v>
      </c>
      <c r="D200" t="s">
        <v>2649</v>
      </c>
      <c r="E200">
        <v>0</v>
      </c>
    </row>
    <row r="201" spans="1:5" x14ac:dyDescent="0.25">
      <c r="A201" s="2502" t="s">
        <v>3592</v>
      </c>
      <c r="B201" s="2503">
        <v>0</v>
      </c>
      <c r="D201" t="s">
        <v>3592</v>
      </c>
      <c r="E201">
        <v>0</v>
      </c>
    </row>
    <row r="202" spans="1:5" x14ac:dyDescent="0.25">
      <c r="A202" s="2502" t="s">
        <v>2652</v>
      </c>
      <c r="B202" s="2503">
        <v>0</v>
      </c>
      <c r="D202" t="s">
        <v>2652</v>
      </c>
      <c r="E202">
        <v>0</v>
      </c>
    </row>
    <row r="203" spans="1:5" x14ac:dyDescent="0.25">
      <c r="A203" s="2502" t="s">
        <v>3090</v>
      </c>
      <c r="B203" s="2503">
        <v>27832</v>
      </c>
      <c r="D203" t="s">
        <v>3090</v>
      </c>
      <c r="E203" s="2504">
        <v>27832</v>
      </c>
    </row>
    <row r="204" spans="1:5" x14ac:dyDescent="0.25">
      <c r="A204" s="2502" t="s">
        <v>3089</v>
      </c>
      <c r="B204" s="2503">
        <v>0</v>
      </c>
      <c r="D204" t="s">
        <v>3089</v>
      </c>
      <c r="E204">
        <v>0</v>
      </c>
    </row>
    <row r="205" spans="1:5" x14ac:dyDescent="0.25">
      <c r="A205" s="2502" t="s">
        <v>2656</v>
      </c>
      <c r="B205" s="2503">
        <v>4600</v>
      </c>
      <c r="D205" t="s">
        <v>2656</v>
      </c>
      <c r="E205" s="2504">
        <v>5000</v>
      </c>
    </row>
    <row r="206" spans="1:5" x14ac:dyDescent="0.25">
      <c r="A206" s="2502" t="s">
        <v>2657</v>
      </c>
      <c r="B206" s="2503">
        <v>-432766</v>
      </c>
      <c r="D206" t="s">
        <v>2657</v>
      </c>
      <c r="E206" s="2504">
        <v>-175320</v>
      </c>
    </row>
    <row r="207" spans="1:5" x14ac:dyDescent="0.25">
      <c r="A207" s="2502" t="s">
        <v>2658</v>
      </c>
      <c r="B207" s="2503">
        <v>-24750</v>
      </c>
      <c r="D207" t="s">
        <v>2658</v>
      </c>
      <c r="E207" s="2504">
        <v>-277196</v>
      </c>
    </row>
    <row r="208" spans="1:5" x14ac:dyDescent="0.25">
      <c r="A208" s="2502" t="s">
        <v>733</v>
      </c>
      <c r="B208" s="2503">
        <v>0</v>
      </c>
      <c r="D208" t="s">
        <v>733</v>
      </c>
      <c r="E208">
        <v>0</v>
      </c>
    </row>
    <row r="209" spans="1:5" x14ac:dyDescent="0.25">
      <c r="A209" s="2502" t="s">
        <v>2661</v>
      </c>
      <c r="B209" s="2503">
        <v>-4157.8800000001211</v>
      </c>
      <c r="D209" t="s">
        <v>2661</v>
      </c>
      <c r="E209">
        <v>0</v>
      </c>
    </row>
    <row r="210" spans="1:5" x14ac:dyDescent="0.25">
      <c r="A210" s="2502" t="s">
        <v>3092</v>
      </c>
      <c r="B210" s="2503">
        <v>0</v>
      </c>
      <c r="D210" t="s">
        <v>3092</v>
      </c>
      <c r="E210">
        <v>0</v>
      </c>
    </row>
    <row r="211" spans="1:5" x14ac:dyDescent="0.25">
      <c r="A211" s="2502" t="s">
        <v>3091</v>
      </c>
      <c r="B211" s="2503">
        <v>0</v>
      </c>
      <c r="D211" t="s">
        <v>3091</v>
      </c>
      <c r="E211">
        <v>0</v>
      </c>
    </row>
    <row r="212" spans="1:5" x14ac:dyDescent="0.25">
      <c r="A212" s="2502" t="s">
        <v>3093</v>
      </c>
      <c r="B212" s="2503">
        <v>0</v>
      </c>
      <c r="D212" t="s">
        <v>3093</v>
      </c>
      <c r="E212">
        <v>0</v>
      </c>
    </row>
    <row r="213" spans="1:5" x14ac:dyDescent="0.25">
      <c r="A213" s="2502" t="s">
        <v>3171</v>
      </c>
      <c r="B213" s="2503">
        <v>91954.64</v>
      </c>
      <c r="D213" t="s">
        <v>3171</v>
      </c>
      <c r="E213" s="2504">
        <v>93823.010000000009</v>
      </c>
    </row>
    <row r="214" spans="1:5" x14ac:dyDescent="0.25">
      <c r="A214" s="2502" t="s">
        <v>3094</v>
      </c>
      <c r="B214" s="2503">
        <v>0</v>
      </c>
      <c r="D214" t="s">
        <v>3094</v>
      </c>
      <c r="E214" s="2504">
        <v>-253697.08000000002</v>
      </c>
    </row>
    <row r="215" spans="1:5" x14ac:dyDescent="0.25">
      <c r="A215" s="2502" t="s">
        <v>2667</v>
      </c>
      <c r="B215" s="2503">
        <v>6815666</v>
      </c>
      <c r="D215" t="s">
        <v>2667</v>
      </c>
      <c r="E215" s="2504">
        <v>6815666</v>
      </c>
    </row>
    <row r="216" spans="1:5" x14ac:dyDescent="0.25">
      <c r="A216" s="2502" t="s">
        <v>2668</v>
      </c>
      <c r="B216" s="2503">
        <v>736322.8</v>
      </c>
      <c r="D216" t="s">
        <v>2668</v>
      </c>
      <c r="E216" s="2504">
        <v>736322.8</v>
      </c>
    </row>
    <row r="217" spans="1:5" x14ac:dyDescent="0.25">
      <c r="A217" s="2502" t="s">
        <v>3095</v>
      </c>
      <c r="B217" s="2503">
        <v>0</v>
      </c>
      <c r="D217" t="s">
        <v>3095</v>
      </c>
      <c r="E217">
        <v>0</v>
      </c>
    </row>
    <row r="218" spans="1:5" x14ac:dyDescent="0.25">
      <c r="A218" s="2502" t="s">
        <v>2671</v>
      </c>
      <c r="B218" s="2503">
        <v>0</v>
      </c>
      <c r="D218" t="s">
        <v>2671</v>
      </c>
      <c r="E218">
        <v>0</v>
      </c>
    </row>
    <row r="219" spans="1:5" x14ac:dyDescent="0.25">
      <c r="A219" s="2502" t="s">
        <v>2676</v>
      </c>
      <c r="B219" s="2503">
        <v>0</v>
      </c>
      <c r="D219" t="s">
        <v>2676</v>
      </c>
      <c r="E219">
        <v>0</v>
      </c>
    </row>
    <row r="220" spans="1:5" x14ac:dyDescent="0.25">
      <c r="A220" s="2502" t="s">
        <v>2677</v>
      </c>
      <c r="B220" s="2503">
        <v>0</v>
      </c>
      <c r="D220" t="s">
        <v>2677</v>
      </c>
      <c r="E220">
        <v>0</v>
      </c>
    </row>
    <row r="221" spans="1:5" x14ac:dyDescent="0.25">
      <c r="A221" s="2502" t="s">
        <v>2678</v>
      </c>
      <c r="B221" s="2503">
        <v>0</v>
      </c>
      <c r="D221" t="s">
        <v>2678</v>
      </c>
      <c r="E221">
        <v>0</v>
      </c>
    </row>
    <row r="222" spans="1:5" x14ac:dyDescent="0.25">
      <c r="A222" s="2502" t="s">
        <v>2680</v>
      </c>
      <c r="B222" s="2503">
        <v>0</v>
      </c>
      <c r="D222" t="s">
        <v>2680</v>
      </c>
      <c r="E222">
        <v>0</v>
      </c>
    </row>
    <row r="223" spans="1:5" x14ac:dyDescent="0.25">
      <c r="A223" s="2502" t="s">
        <v>2681</v>
      </c>
      <c r="B223" s="2503">
        <v>0</v>
      </c>
      <c r="D223" t="s">
        <v>2681</v>
      </c>
      <c r="E223">
        <v>0</v>
      </c>
    </row>
    <row r="224" spans="1:5" x14ac:dyDescent="0.25">
      <c r="A224" s="2502" t="s">
        <v>2682</v>
      </c>
      <c r="B224" s="2503">
        <v>0</v>
      </c>
      <c r="D224" t="s">
        <v>2682</v>
      </c>
      <c r="E224">
        <v>0</v>
      </c>
    </row>
    <row r="225" spans="1:5" x14ac:dyDescent="0.25">
      <c r="A225" s="2502" t="s">
        <v>2683</v>
      </c>
      <c r="B225" s="2503">
        <v>0</v>
      </c>
      <c r="D225" t="s">
        <v>2683</v>
      </c>
      <c r="E225">
        <v>0</v>
      </c>
    </row>
    <row r="226" spans="1:5" x14ac:dyDescent="0.25">
      <c r="A226" s="2502" t="s">
        <v>2684</v>
      </c>
      <c r="B226" s="2503">
        <v>0</v>
      </c>
      <c r="D226" t="s">
        <v>2684</v>
      </c>
      <c r="E226">
        <v>0</v>
      </c>
    </row>
    <row r="227" spans="1:5" x14ac:dyDescent="0.25">
      <c r="A227" s="2502" t="s">
        <v>2685</v>
      </c>
      <c r="B227" s="2503">
        <v>0</v>
      </c>
      <c r="D227" t="s">
        <v>2685</v>
      </c>
      <c r="E227">
        <v>0</v>
      </c>
    </row>
    <row r="228" spans="1:5" x14ac:dyDescent="0.25">
      <c r="A228" s="2502" t="s">
        <v>2714</v>
      </c>
      <c r="B228" s="2503">
        <v>65244</v>
      </c>
      <c r="D228" t="s">
        <v>2714</v>
      </c>
      <c r="E228" s="2504">
        <v>65244</v>
      </c>
    </row>
    <row r="229" spans="1:5" x14ac:dyDescent="0.25">
      <c r="A229" s="2502" t="s">
        <v>2716</v>
      </c>
      <c r="B229" s="2503">
        <v>0</v>
      </c>
      <c r="D229" t="s">
        <v>2716</v>
      </c>
      <c r="E229">
        <v>0</v>
      </c>
    </row>
    <row r="230" spans="1:5" x14ac:dyDescent="0.25">
      <c r="A230" s="2502" t="s">
        <v>2718</v>
      </c>
      <c r="B230" s="2503">
        <v>0</v>
      </c>
      <c r="D230" t="s">
        <v>2718</v>
      </c>
      <c r="E230">
        <v>0</v>
      </c>
    </row>
    <row r="231" spans="1:5" x14ac:dyDescent="0.25">
      <c r="A231" s="2502" t="s">
        <v>2719</v>
      </c>
      <c r="B231" s="2503">
        <v>0</v>
      </c>
      <c r="D231" t="s">
        <v>2719</v>
      </c>
      <c r="E231">
        <v>0</v>
      </c>
    </row>
    <row r="232" spans="1:5" x14ac:dyDescent="0.25">
      <c r="A232" s="2502" t="s">
        <v>2723</v>
      </c>
      <c r="B232" s="2503">
        <v>0</v>
      </c>
      <c r="D232" t="s">
        <v>2723</v>
      </c>
      <c r="E232">
        <v>0</v>
      </c>
    </row>
    <row r="233" spans="1:5" x14ac:dyDescent="0.25">
      <c r="A233" s="2502" t="s">
        <v>2724</v>
      </c>
      <c r="B233" s="2503">
        <v>0</v>
      </c>
      <c r="D233" t="s">
        <v>2724</v>
      </c>
      <c r="E233">
        <v>0</v>
      </c>
    </row>
    <row r="234" spans="1:5" x14ac:dyDescent="0.25">
      <c r="A234" s="2502" t="s">
        <v>2728</v>
      </c>
      <c r="B234" s="2503">
        <v>0</v>
      </c>
      <c r="D234" t="s">
        <v>2728</v>
      </c>
      <c r="E234">
        <v>0</v>
      </c>
    </row>
    <row r="235" spans="1:5" x14ac:dyDescent="0.25">
      <c r="A235" s="2502" t="s">
        <v>2729</v>
      </c>
      <c r="B235" s="2503">
        <v>0</v>
      </c>
      <c r="D235" t="s">
        <v>2729</v>
      </c>
      <c r="E235">
        <v>0</v>
      </c>
    </row>
    <row r="236" spans="1:5" x14ac:dyDescent="0.25">
      <c r="A236" s="2502" t="s">
        <v>2731</v>
      </c>
      <c r="B236" s="2503">
        <v>-1427950.1863013699</v>
      </c>
      <c r="D236" t="s">
        <v>2731</v>
      </c>
      <c r="E236" s="2504">
        <v>-1427950.1863013699</v>
      </c>
    </row>
    <row r="237" spans="1:5" x14ac:dyDescent="0.25">
      <c r="A237" s="2502" t="s">
        <v>2732</v>
      </c>
      <c r="B237" s="2503">
        <v>-599733.76000000001</v>
      </c>
      <c r="D237" t="s">
        <v>2732</v>
      </c>
      <c r="E237" s="2504">
        <v>-599733.76000000001</v>
      </c>
    </row>
    <row r="238" spans="1:5" x14ac:dyDescent="0.25">
      <c r="A238" s="2502" t="s">
        <v>2733</v>
      </c>
      <c r="B238" s="2503">
        <v>-2059.0171270718201</v>
      </c>
      <c r="D238" t="s">
        <v>2733</v>
      </c>
      <c r="E238" s="2504">
        <v>-2059.0171270718201</v>
      </c>
    </row>
    <row r="239" spans="1:5" x14ac:dyDescent="0.25">
      <c r="A239" s="2502" t="s">
        <v>2734</v>
      </c>
      <c r="B239" s="2503">
        <v>0</v>
      </c>
      <c r="D239" t="s">
        <v>2734</v>
      </c>
      <c r="E239">
        <v>0</v>
      </c>
    </row>
    <row r="240" spans="1:5" x14ac:dyDescent="0.25">
      <c r="A240" s="2502" t="s">
        <v>2736</v>
      </c>
      <c r="B240" s="2503">
        <v>0</v>
      </c>
      <c r="D240" t="s">
        <v>2736</v>
      </c>
      <c r="E240">
        <v>0</v>
      </c>
    </row>
    <row r="241" spans="1:5" x14ac:dyDescent="0.25">
      <c r="A241" s="2502" t="s">
        <v>2737</v>
      </c>
      <c r="B241" s="2503">
        <v>0</v>
      </c>
      <c r="D241" t="s">
        <v>2737</v>
      </c>
      <c r="E241" s="2504">
        <v>316630</v>
      </c>
    </row>
    <row r="242" spans="1:5" x14ac:dyDescent="0.25">
      <c r="A242" s="2502" t="s">
        <v>2738</v>
      </c>
      <c r="B242" s="2503">
        <v>0</v>
      </c>
      <c r="D242" t="s">
        <v>2738</v>
      </c>
      <c r="E242">
        <v>0</v>
      </c>
    </row>
    <row r="243" spans="1:5" x14ac:dyDescent="0.25">
      <c r="A243" s="2502" t="s">
        <v>2739</v>
      </c>
      <c r="B243" s="2503">
        <v>0</v>
      </c>
      <c r="D243" t="s">
        <v>2739</v>
      </c>
      <c r="E243">
        <v>0</v>
      </c>
    </row>
    <row r="244" spans="1:5" x14ac:dyDescent="0.25">
      <c r="A244" s="2502" t="s">
        <v>2740</v>
      </c>
      <c r="B244" s="2503">
        <v>-798674.22</v>
      </c>
      <c r="D244" t="s">
        <v>2740</v>
      </c>
      <c r="E244">
        <v>0</v>
      </c>
    </row>
    <row r="245" spans="1:5" x14ac:dyDescent="0.25">
      <c r="A245" s="2502" t="s">
        <v>2741</v>
      </c>
      <c r="B245" s="2503">
        <v>0</v>
      </c>
      <c r="D245" t="s">
        <v>2741</v>
      </c>
      <c r="E245">
        <v>0</v>
      </c>
    </row>
    <row r="246" spans="1:5" x14ac:dyDescent="0.25">
      <c r="A246" s="2502" t="s">
        <v>2743</v>
      </c>
      <c r="B246" s="2503">
        <v>3522185.4320455571</v>
      </c>
      <c r="D246" t="s">
        <v>2743</v>
      </c>
      <c r="E246">
        <v>0</v>
      </c>
    </row>
    <row r="247" spans="1:5" x14ac:dyDescent="0.25">
      <c r="A247" s="2502" t="s">
        <v>2744</v>
      </c>
      <c r="B247" s="2503">
        <v>46312.86</v>
      </c>
      <c r="D247" t="s">
        <v>2744</v>
      </c>
      <c r="E247">
        <v>0</v>
      </c>
    </row>
    <row r="248" spans="1:5" x14ac:dyDescent="0.25">
      <c r="A248" s="2502" t="s">
        <v>2745</v>
      </c>
      <c r="B248" s="2503">
        <v>0</v>
      </c>
      <c r="D248" t="s">
        <v>2745</v>
      </c>
      <c r="E248">
        <v>0</v>
      </c>
    </row>
    <row r="249" spans="1:5" x14ac:dyDescent="0.25">
      <c r="A249" s="2502" t="s">
        <v>2705</v>
      </c>
      <c r="B249" s="2503">
        <v>0</v>
      </c>
      <c r="D249" t="s">
        <v>2705</v>
      </c>
      <c r="E249">
        <v>0</v>
      </c>
    </row>
    <row r="250" spans="1:5" x14ac:dyDescent="0.25">
      <c r="A250" s="2502" t="s">
        <v>2749</v>
      </c>
      <c r="B250" s="2503">
        <v>-560</v>
      </c>
      <c r="D250" t="s">
        <v>2749</v>
      </c>
      <c r="E250" s="2504">
        <v>-560</v>
      </c>
    </row>
    <row r="251" spans="1:5" x14ac:dyDescent="0.25">
      <c r="A251" s="2502" t="s">
        <v>2750</v>
      </c>
      <c r="B251" s="2503">
        <v>0</v>
      </c>
      <c r="D251" t="s">
        <v>2750</v>
      </c>
      <c r="E251">
        <v>0</v>
      </c>
    </row>
    <row r="252" spans="1:5" x14ac:dyDescent="0.25">
      <c r="A252" s="2502" t="s">
        <v>2751</v>
      </c>
      <c r="B252" s="2503">
        <v>62688</v>
      </c>
      <c r="D252" t="s">
        <v>2751</v>
      </c>
      <c r="E252">
        <v>0</v>
      </c>
    </row>
    <row r="253" spans="1:5" x14ac:dyDescent="0.25">
      <c r="A253" s="2502" t="s">
        <v>758</v>
      </c>
      <c r="B253" s="2503">
        <v>76325.333333333256</v>
      </c>
      <c r="D253" t="s">
        <v>758</v>
      </c>
      <c r="E253" s="2504">
        <v>88362.333333333256</v>
      </c>
    </row>
    <row r="254" spans="1:5" x14ac:dyDescent="0.25">
      <c r="A254" s="2502" t="s">
        <v>2754</v>
      </c>
      <c r="B254" s="2503">
        <v>0</v>
      </c>
      <c r="D254" t="s">
        <v>2754</v>
      </c>
      <c r="E254">
        <v>0</v>
      </c>
    </row>
    <row r="255" spans="1:5" x14ac:dyDescent="0.25">
      <c r="A255" s="2502" t="s">
        <v>2753</v>
      </c>
      <c r="B255" s="2503">
        <v>0</v>
      </c>
      <c r="D255" t="s">
        <v>2753</v>
      </c>
      <c r="E255">
        <v>0</v>
      </c>
    </row>
    <row r="256" spans="1:5" x14ac:dyDescent="0.25">
      <c r="A256" s="2502" t="s">
        <v>2706</v>
      </c>
      <c r="B256" s="2503">
        <v>0</v>
      </c>
      <c r="D256" t="s">
        <v>2706</v>
      </c>
      <c r="E256">
        <v>0</v>
      </c>
    </row>
    <row r="257" spans="1:5" x14ac:dyDescent="0.25">
      <c r="A257" s="2502" t="s">
        <v>3096</v>
      </c>
      <c r="B257" s="2503">
        <v>0</v>
      </c>
      <c r="D257" t="s">
        <v>3096</v>
      </c>
      <c r="E257">
        <v>0</v>
      </c>
    </row>
    <row r="258" spans="1:5" x14ac:dyDescent="0.25">
      <c r="A258" s="2502" t="s">
        <v>2708</v>
      </c>
      <c r="B258" s="2503">
        <v>0</v>
      </c>
      <c r="D258" t="s">
        <v>2708</v>
      </c>
      <c r="E258">
        <v>0</v>
      </c>
    </row>
    <row r="259" spans="1:5" x14ac:dyDescent="0.25">
      <c r="A259" s="2502" t="s">
        <v>3097</v>
      </c>
      <c r="B259" s="2503">
        <v>0</v>
      </c>
      <c r="D259" t="s">
        <v>3097</v>
      </c>
      <c r="E259">
        <v>0</v>
      </c>
    </row>
    <row r="260" spans="1:5" x14ac:dyDescent="0.25">
      <c r="A260" s="2502" t="s">
        <v>2757</v>
      </c>
      <c r="B260" s="2503">
        <v>0</v>
      </c>
      <c r="D260" t="s">
        <v>2757</v>
      </c>
      <c r="E260">
        <v>0</v>
      </c>
    </row>
    <row r="261" spans="1:5" x14ac:dyDescent="0.25">
      <c r="A261" s="2502" t="s">
        <v>3148</v>
      </c>
      <c r="B261" s="2503">
        <v>0</v>
      </c>
      <c r="D261" t="s">
        <v>3148</v>
      </c>
      <c r="E261">
        <v>0</v>
      </c>
    </row>
    <row r="262" spans="1:5" x14ac:dyDescent="0.25">
      <c r="A262" s="2502" t="s">
        <v>3101</v>
      </c>
      <c r="B262" s="2503">
        <v>0</v>
      </c>
      <c r="D262" t="s">
        <v>3101</v>
      </c>
      <c r="E262">
        <v>0</v>
      </c>
    </row>
    <row r="263" spans="1:5" x14ac:dyDescent="0.25">
      <c r="A263" s="2502" t="s">
        <v>2836</v>
      </c>
      <c r="B263" s="2503">
        <v>0</v>
      </c>
      <c r="D263" t="s">
        <v>2836</v>
      </c>
      <c r="E263">
        <v>0</v>
      </c>
    </row>
    <row r="264" spans="1:5" x14ac:dyDescent="0.25">
      <c r="A264" s="2502" t="s">
        <v>2838</v>
      </c>
      <c r="B264" s="2503">
        <v>0</v>
      </c>
      <c r="D264" t="s">
        <v>2838</v>
      </c>
      <c r="E264">
        <v>0</v>
      </c>
    </row>
    <row r="265" spans="1:5" x14ac:dyDescent="0.25">
      <c r="A265" s="2502" t="s">
        <v>2839</v>
      </c>
      <c r="B265" s="2503">
        <v>593188.43000000005</v>
      </c>
      <c r="D265" t="s">
        <v>2839</v>
      </c>
      <c r="E265">
        <v>0</v>
      </c>
    </row>
    <row r="266" spans="1:5" x14ac:dyDescent="0.25">
      <c r="A266" s="2502" t="s">
        <v>2841</v>
      </c>
      <c r="B266" s="2503">
        <v>-5872674.1799999997</v>
      </c>
      <c r="D266" t="s">
        <v>2841</v>
      </c>
      <c r="E266" s="2504">
        <v>-5872674.1799999997</v>
      </c>
    </row>
    <row r="267" spans="1:5" x14ac:dyDescent="0.25">
      <c r="A267" s="2502" t="s">
        <v>2842</v>
      </c>
      <c r="B267" s="2503">
        <v>15804108</v>
      </c>
      <c r="D267" t="s">
        <v>2842</v>
      </c>
      <c r="E267">
        <v>0</v>
      </c>
    </row>
    <row r="268" spans="1:5" x14ac:dyDescent="0.25">
      <c r="A268" s="2502" t="s">
        <v>2843</v>
      </c>
      <c r="B268" s="2503">
        <v>0</v>
      </c>
      <c r="D268" t="s">
        <v>2843</v>
      </c>
      <c r="E268">
        <v>0</v>
      </c>
    </row>
    <row r="269" spans="1:5" x14ac:dyDescent="0.25">
      <c r="A269" s="2502" t="s">
        <v>3594</v>
      </c>
      <c r="B269" s="2503">
        <v>0</v>
      </c>
      <c r="D269" t="s">
        <v>3594</v>
      </c>
      <c r="E269">
        <v>0</v>
      </c>
    </row>
    <row r="270" spans="1:5" x14ac:dyDescent="0.25">
      <c r="A270" s="2502" t="s">
        <v>3593</v>
      </c>
      <c r="B270" s="2503">
        <v>0</v>
      </c>
      <c r="D270" t="s">
        <v>3593</v>
      </c>
      <c r="E270">
        <v>0</v>
      </c>
    </row>
    <row r="271" spans="1:5" x14ac:dyDescent="0.25">
      <c r="A271" s="2502" t="s">
        <v>3595</v>
      </c>
      <c r="B271" s="2503">
        <v>0</v>
      </c>
      <c r="D271" t="s">
        <v>3595</v>
      </c>
      <c r="E271">
        <v>0</v>
      </c>
    </row>
    <row r="272" spans="1:5" x14ac:dyDescent="0.25">
      <c r="A272" s="2502" t="s">
        <v>2769</v>
      </c>
      <c r="B272" s="2503">
        <v>0</v>
      </c>
      <c r="D272" t="s">
        <v>2769</v>
      </c>
      <c r="E272">
        <v>0</v>
      </c>
    </row>
    <row r="273" spans="1:5" x14ac:dyDescent="0.25">
      <c r="A273" s="2502" t="s">
        <v>2778</v>
      </c>
      <c r="B273" s="2503">
        <v>104272</v>
      </c>
      <c r="D273" t="s">
        <v>2778</v>
      </c>
      <c r="E273" s="2504">
        <v>104272</v>
      </c>
    </row>
    <row r="274" spans="1:5" x14ac:dyDescent="0.25">
      <c r="A274" s="2502" t="s">
        <v>2851</v>
      </c>
      <c r="B274" s="2503">
        <v>0</v>
      </c>
      <c r="D274" t="s">
        <v>2851</v>
      </c>
      <c r="E274">
        <v>0</v>
      </c>
    </row>
    <row r="275" spans="1:5" x14ac:dyDescent="0.25">
      <c r="A275" s="2502" t="s">
        <v>2852</v>
      </c>
      <c r="B275" s="2503">
        <v>0</v>
      </c>
      <c r="D275" t="s">
        <v>2852</v>
      </c>
      <c r="E275">
        <v>0</v>
      </c>
    </row>
    <row r="276" spans="1:5" x14ac:dyDescent="0.25">
      <c r="A276" s="2502" t="s">
        <v>2853</v>
      </c>
      <c r="B276" s="2503">
        <v>0</v>
      </c>
      <c r="D276" t="s">
        <v>2853</v>
      </c>
      <c r="E276">
        <v>0</v>
      </c>
    </row>
    <row r="277" spans="1:5" x14ac:dyDescent="0.25">
      <c r="A277" s="2502" t="s">
        <v>3568</v>
      </c>
      <c r="B277" s="2503">
        <v>-115</v>
      </c>
      <c r="D277" t="s">
        <v>3568</v>
      </c>
      <c r="E277" s="2504">
        <v>-115</v>
      </c>
    </row>
    <row r="278" spans="1:5" x14ac:dyDescent="0.25">
      <c r="A278" s="2502" t="s">
        <v>2859</v>
      </c>
      <c r="B278" s="2503">
        <v>0</v>
      </c>
      <c r="D278" t="s">
        <v>2859</v>
      </c>
      <c r="E278">
        <v>0</v>
      </c>
    </row>
    <row r="279" spans="1:5" x14ac:dyDescent="0.25">
      <c r="A279" s="2502" t="s">
        <v>2782</v>
      </c>
      <c r="B279" s="2503">
        <v>0</v>
      </c>
      <c r="D279" t="s">
        <v>2782</v>
      </c>
      <c r="E279">
        <v>0</v>
      </c>
    </row>
    <row r="280" spans="1:5" x14ac:dyDescent="0.25">
      <c r="A280" s="2502" t="s">
        <v>2785</v>
      </c>
      <c r="B280" s="2503">
        <v>0</v>
      </c>
      <c r="D280" t="s">
        <v>2785</v>
      </c>
      <c r="E280">
        <v>0</v>
      </c>
    </row>
    <row r="281" spans="1:5" x14ac:dyDescent="0.25">
      <c r="A281" s="2502" t="s">
        <v>2786</v>
      </c>
      <c r="B281" s="2503">
        <v>109691.02</v>
      </c>
      <c r="D281" t="s">
        <v>2786</v>
      </c>
      <c r="E281">
        <v>0</v>
      </c>
    </row>
    <row r="282" spans="1:5" x14ac:dyDescent="0.25">
      <c r="A282" s="2502" t="s">
        <v>3098</v>
      </c>
      <c r="B282" s="2503">
        <v>2068.85</v>
      </c>
      <c r="D282" t="s">
        <v>3098</v>
      </c>
      <c r="E282" s="2504">
        <v>2068.85</v>
      </c>
    </row>
    <row r="283" spans="1:5" x14ac:dyDescent="0.25">
      <c r="A283" s="2502" t="s">
        <v>2798</v>
      </c>
      <c r="B283" s="2503">
        <v>-58.11</v>
      </c>
      <c r="D283" t="s">
        <v>2798</v>
      </c>
      <c r="E283" s="2504">
        <v>-58.11</v>
      </c>
    </row>
    <row r="284" spans="1:5" x14ac:dyDescent="0.25">
      <c r="A284" s="2502" t="s">
        <v>3596</v>
      </c>
      <c r="B284" s="2503">
        <v>812196.02000000014</v>
      </c>
      <c r="D284" t="s">
        <v>3596</v>
      </c>
      <c r="E284" s="2504">
        <v>812196.02000000014</v>
      </c>
    </row>
    <row r="285" spans="1:5" x14ac:dyDescent="0.25">
      <c r="A285" s="2502" t="s">
        <v>2864</v>
      </c>
      <c r="B285" s="2503">
        <v>0</v>
      </c>
      <c r="D285" t="s">
        <v>2864</v>
      </c>
      <c r="E285">
        <v>0</v>
      </c>
    </row>
    <row r="286" spans="1:5" x14ac:dyDescent="0.25">
      <c r="A286" s="2502" t="s">
        <v>2807</v>
      </c>
      <c r="B286" s="2503">
        <v>0</v>
      </c>
      <c r="D286" t="s">
        <v>2807</v>
      </c>
      <c r="E286">
        <v>0</v>
      </c>
    </row>
    <row r="287" spans="1:5" x14ac:dyDescent="0.25">
      <c r="A287" s="2502" t="s">
        <v>2809</v>
      </c>
      <c r="B287" s="2503">
        <v>0</v>
      </c>
      <c r="D287" t="s">
        <v>2809</v>
      </c>
      <c r="E287">
        <v>0</v>
      </c>
    </row>
    <row r="288" spans="1:5" x14ac:dyDescent="0.25">
      <c r="A288" s="2502" t="s">
        <v>2868</v>
      </c>
      <c r="B288" s="2503">
        <v>7794.2506849315105</v>
      </c>
      <c r="D288" t="s">
        <v>2868</v>
      </c>
      <c r="E288" s="2504">
        <v>7794.2506849315105</v>
      </c>
    </row>
    <row r="289" spans="1:5" x14ac:dyDescent="0.25">
      <c r="A289" s="2502" t="s">
        <v>2870</v>
      </c>
      <c r="B289" s="2503">
        <v>0</v>
      </c>
      <c r="D289" t="s">
        <v>2870</v>
      </c>
      <c r="E289">
        <v>0</v>
      </c>
    </row>
    <row r="290" spans="1:5" x14ac:dyDescent="0.25">
      <c r="A290" s="2502" t="s">
        <v>2874</v>
      </c>
      <c r="B290" s="2503">
        <v>0</v>
      </c>
      <c r="D290" t="s">
        <v>2874</v>
      </c>
      <c r="E290">
        <v>0</v>
      </c>
    </row>
    <row r="291" spans="1:5" x14ac:dyDescent="0.25">
      <c r="A291" s="2502" t="s">
        <v>2878</v>
      </c>
      <c r="B291" s="2503">
        <v>0</v>
      </c>
      <c r="D291" t="s">
        <v>2878</v>
      </c>
      <c r="E291">
        <v>0</v>
      </c>
    </row>
    <row r="292" spans="1:5" x14ac:dyDescent="0.25">
      <c r="A292" s="2502" t="s">
        <v>2881</v>
      </c>
      <c r="B292" s="2503">
        <v>0</v>
      </c>
      <c r="D292" t="s">
        <v>2881</v>
      </c>
      <c r="E292">
        <v>0</v>
      </c>
    </row>
    <row r="293" spans="1:5" x14ac:dyDescent="0.25">
      <c r="A293" s="2502" t="s">
        <v>2832</v>
      </c>
      <c r="B293" s="2503">
        <v>107844</v>
      </c>
      <c r="D293" t="s">
        <v>2832</v>
      </c>
      <c r="E293" s="2504">
        <v>107844</v>
      </c>
    </row>
    <row r="294" spans="1:5" x14ac:dyDescent="0.25">
      <c r="A294" s="2502" t="s">
        <v>3153</v>
      </c>
      <c r="B294" s="2503">
        <v>0</v>
      </c>
      <c r="D294" t="s">
        <v>3153</v>
      </c>
      <c r="E294" s="2504">
        <v>-117</v>
      </c>
    </row>
    <row r="295" spans="1:5" x14ac:dyDescent="0.25">
      <c r="A295" s="2502" t="s">
        <v>3599</v>
      </c>
      <c r="B295" s="2503">
        <v>-130.33000000000001</v>
      </c>
      <c r="D295" t="s">
        <v>3599</v>
      </c>
      <c r="E295" s="2504">
        <v>-130</v>
      </c>
    </row>
    <row r="296" spans="1:5" x14ac:dyDescent="0.25">
      <c r="A296" s="2502" t="s">
        <v>2890</v>
      </c>
      <c r="B296" s="2503">
        <v>0</v>
      </c>
      <c r="D296" t="s">
        <v>2890</v>
      </c>
      <c r="E296">
        <v>0</v>
      </c>
    </row>
    <row r="297" spans="1:5" x14ac:dyDescent="0.25">
      <c r="A297" s="2502" t="s">
        <v>2893</v>
      </c>
      <c r="B297" s="2503">
        <v>0</v>
      </c>
      <c r="D297" t="s">
        <v>2893</v>
      </c>
      <c r="E297">
        <v>0</v>
      </c>
    </row>
    <row r="298" spans="1:5" x14ac:dyDescent="0.25">
      <c r="A298" s="2502" t="s">
        <v>2897</v>
      </c>
      <c r="B298" s="2503">
        <v>0</v>
      </c>
      <c r="D298" t="s">
        <v>2897</v>
      </c>
      <c r="E298">
        <v>0</v>
      </c>
    </row>
    <row r="299" spans="1:5" x14ac:dyDescent="0.25">
      <c r="A299" s="2502" t="s">
        <v>2898</v>
      </c>
      <c r="B299" s="2503">
        <v>5152</v>
      </c>
      <c r="D299" t="s">
        <v>2898</v>
      </c>
      <c r="E299" s="2504">
        <v>5152</v>
      </c>
    </row>
    <row r="300" spans="1:5" x14ac:dyDescent="0.25">
      <c r="A300" s="2502" t="s">
        <v>2899</v>
      </c>
      <c r="B300" s="2503">
        <v>-90</v>
      </c>
      <c r="D300" t="s">
        <v>2899</v>
      </c>
      <c r="E300" s="2504">
        <v>-90</v>
      </c>
    </row>
    <row r="301" spans="1:5" x14ac:dyDescent="0.25">
      <c r="A301" s="2502" t="s">
        <v>2937</v>
      </c>
      <c r="B301" s="2503">
        <v>0</v>
      </c>
      <c r="D301" t="s">
        <v>2937</v>
      </c>
      <c r="E301">
        <v>0</v>
      </c>
    </row>
    <row r="302" spans="1:5" x14ac:dyDescent="0.25">
      <c r="A302" s="2502" t="s">
        <v>2938</v>
      </c>
      <c r="B302" s="2503">
        <v>0</v>
      </c>
      <c r="D302" t="s">
        <v>2938</v>
      </c>
      <c r="E302">
        <v>0</v>
      </c>
    </row>
    <row r="303" spans="1:5" x14ac:dyDescent="0.25">
      <c r="A303" s="2502" t="s">
        <v>2904</v>
      </c>
      <c r="B303" s="2503">
        <v>0</v>
      </c>
      <c r="D303" t="s">
        <v>2904</v>
      </c>
      <c r="E303">
        <v>0</v>
      </c>
    </row>
    <row r="304" spans="1:5" x14ac:dyDescent="0.25">
      <c r="A304" s="2502" t="s">
        <v>2905</v>
      </c>
      <c r="B304" s="2503">
        <v>-830.13</v>
      </c>
      <c r="D304" t="s">
        <v>2905</v>
      </c>
      <c r="E304" s="2504">
        <v>-830.13</v>
      </c>
    </row>
    <row r="305" spans="1:5" x14ac:dyDescent="0.25">
      <c r="A305" s="2502" t="s">
        <v>2906</v>
      </c>
      <c r="B305" s="2503">
        <v>0</v>
      </c>
      <c r="D305" t="s">
        <v>2906</v>
      </c>
      <c r="E305">
        <v>0</v>
      </c>
    </row>
    <row r="306" spans="1:5" x14ac:dyDescent="0.25">
      <c r="A306" s="2502" t="s">
        <v>2913</v>
      </c>
      <c r="B306" s="2503">
        <v>0</v>
      </c>
      <c r="D306" t="s">
        <v>2913</v>
      </c>
      <c r="E306">
        <v>0</v>
      </c>
    </row>
    <row r="307" spans="1:5" x14ac:dyDescent="0.25">
      <c r="A307" s="2502" t="s">
        <v>2914</v>
      </c>
      <c r="B307" s="2503">
        <v>0</v>
      </c>
      <c r="D307" t="s">
        <v>2914</v>
      </c>
      <c r="E307">
        <v>0</v>
      </c>
    </row>
    <row r="308" spans="1:5" x14ac:dyDescent="0.25">
      <c r="A308" s="2502" t="s">
        <v>2915</v>
      </c>
      <c r="B308" s="2503">
        <v>-179937</v>
      </c>
      <c r="D308" t="s">
        <v>2915</v>
      </c>
      <c r="E308" s="2504">
        <v>-179937</v>
      </c>
    </row>
    <row r="309" spans="1:5" x14ac:dyDescent="0.25">
      <c r="A309" s="2502" t="s">
        <v>2940</v>
      </c>
      <c r="B309" s="2503">
        <v>0</v>
      </c>
      <c r="D309" t="s">
        <v>2940</v>
      </c>
      <c r="E309">
        <v>0</v>
      </c>
    </row>
    <row r="310" spans="1:5" x14ac:dyDescent="0.25">
      <c r="A310" s="2502" t="s">
        <v>2941</v>
      </c>
      <c r="B310" s="2503">
        <v>0</v>
      </c>
      <c r="D310" t="s">
        <v>2941</v>
      </c>
      <c r="E310">
        <v>0</v>
      </c>
    </row>
    <row r="311" spans="1:5" x14ac:dyDescent="0.25">
      <c r="A311" s="2502" t="s">
        <v>2944</v>
      </c>
      <c r="B311" s="2503">
        <v>0</v>
      </c>
      <c r="D311" t="s">
        <v>2944</v>
      </c>
      <c r="E311">
        <v>0</v>
      </c>
    </row>
    <row r="312" spans="1:5" x14ac:dyDescent="0.25">
      <c r="A312" s="2502" t="s">
        <v>3102</v>
      </c>
      <c r="B312" s="2503">
        <v>0</v>
      </c>
      <c r="D312" t="s">
        <v>3102</v>
      </c>
      <c r="E312" s="2504">
        <v>117</v>
      </c>
    </row>
    <row r="313" spans="1:5" x14ac:dyDescent="0.25">
      <c r="A313" s="2502" t="s">
        <v>2921</v>
      </c>
      <c r="B313" s="2503">
        <v>0</v>
      </c>
      <c r="D313" t="s">
        <v>2921</v>
      </c>
      <c r="E313">
        <v>0</v>
      </c>
    </row>
    <row r="314" spans="1:5" x14ac:dyDescent="0.25">
      <c r="A314" s="2502" t="s">
        <v>3103</v>
      </c>
      <c r="B314" s="2503">
        <v>0</v>
      </c>
      <c r="D314" t="s">
        <v>3103</v>
      </c>
      <c r="E314">
        <v>0</v>
      </c>
    </row>
    <row r="315" spans="1:5" x14ac:dyDescent="0.25">
      <c r="A315" s="2502" t="s">
        <v>3104</v>
      </c>
      <c r="B315" s="2503">
        <v>0</v>
      </c>
      <c r="D315" t="s">
        <v>3104</v>
      </c>
      <c r="E315">
        <v>0</v>
      </c>
    </row>
    <row r="316" spans="1:5" x14ac:dyDescent="0.25">
      <c r="A316" s="2502" t="s">
        <v>2945</v>
      </c>
      <c r="B316" s="2503">
        <v>0</v>
      </c>
      <c r="D316" t="s">
        <v>2945</v>
      </c>
      <c r="E316">
        <v>0</v>
      </c>
    </row>
    <row r="317" spans="1:5" x14ac:dyDescent="0.25">
      <c r="A317" s="2502" t="s">
        <v>2946</v>
      </c>
      <c r="B317" s="2503">
        <v>0</v>
      </c>
      <c r="D317" t="s">
        <v>2946</v>
      </c>
      <c r="E317">
        <v>0</v>
      </c>
    </row>
    <row r="318" spans="1:5" x14ac:dyDescent="0.25">
      <c r="A318" s="2502" t="s">
        <v>2947</v>
      </c>
      <c r="B318" s="2503">
        <v>0</v>
      </c>
      <c r="D318" t="s">
        <v>2947</v>
      </c>
      <c r="E318">
        <v>0</v>
      </c>
    </row>
    <row r="319" spans="1:5" x14ac:dyDescent="0.25">
      <c r="A319" s="2502" t="s">
        <v>2948</v>
      </c>
      <c r="B319" s="2503">
        <v>0</v>
      </c>
      <c r="D319" t="s">
        <v>2948</v>
      </c>
      <c r="E319">
        <v>0</v>
      </c>
    </row>
    <row r="320" spans="1:5" x14ac:dyDescent="0.25">
      <c r="A320" s="2502" t="s">
        <v>2949</v>
      </c>
      <c r="B320" s="2503">
        <v>0</v>
      </c>
      <c r="D320" t="s">
        <v>2949</v>
      </c>
      <c r="E320">
        <v>0</v>
      </c>
    </row>
    <row r="321" spans="1:5" x14ac:dyDescent="0.25">
      <c r="A321" s="2502" t="s">
        <v>2950</v>
      </c>
      <c r="B321" s="2503">
        <v>0</v>
      </c>
      <c r="D321" t="s">
        <v>2950</v>
      </c>
      <c r="E321">
        <v>0</v>
      </c>
    </row>
    <row r="322" spans="1:5" x14ac:dyDescent="0.25">
      <c r="A322" s="2502" t="s">
        <v>3109</v>
      </c>
      <c r="B322" s="2503">
        <v>-7855.9966666666623</v>
      </c>
      <c r="D322" t="s">
        <v>3109</v>
      </c>
      <c r="E322" s="2504">
        <v>-7855.9966666666623</v>
      </c>
    </row>
    <row r="323" spans="1:5" x14ac:dyDescent="0.25">
      <c r="A323" s="2502" t="s">
        <v>2951</v>
      </c>
      <c r="B323" s="2503">
        <v>0</v>
      </c>
      <c r="D323" t="s">
        <v>2951</v>
      </c>
      <c r="E323">
        <v>0</v>
      </c>
    </row>
    <row r="324" spans="1:5" x14ac:dyDescent="0.25">
      <c r="A324" s="2502" t="s">
        <v>2955</v>
      </c>
      <c r="B324" s="2503">
        <v>0</v>
      </c>
      <c r="D324" t="s">
        <v>2955</v>
      </c>
      <c r="E324">
        <v>0</v>
      </c>
    </row>
    <row r="325" spans="1:5" x14ac:dyDescent="0.25">
      <c r="A325" s="2502" t="s">
        <v>3597</v>
      </c>
      <c r="B325" s="2503">
        <v>0</v>
      </c>
      <c r="D325" t="s">
        <v>3597</v>
      </c>
      <c r="E325">
        <v>0</v>
      </c>
    </row>
    <row r="326" spans="1:5" x14ac:dyDescent="0.25">
      <c r="A326" s="2502" t="s">
        <v>2958</v>
      </c>
      <c r="B326" s="2503">
        <v>0</v>
      </c>
      <c r="D326" t="s">
        <v>2958</v>
      </c>
      <c r="E326">
        <v>0</v>
      </c>
    </row>
    <row r="327" spans="1:5" x14ac:dyDescent="0.25">
      <c r="A327" s="2502" t="s">
        <v>2959</v>
      </c>
      <c r="B327" s="2503">
        <v>0</v>
      </c>
      <c r="D327" t="s">
        <v>2959</v>
      </c>
      <c r="E327">
        <v>0</v>
      </c>
    </row>
    <row r="328" spans="1:5" x14ac:dyDescent="0.25">
      <c r="A328" s="2502" t="s">
        <v>2960</v>
      </c>
      <c r="B328" s="2503">
        <v>0</v>
      </c>
      <c r="D328" t="s">
        <v>2960</v>
      </c>
      <c r="E328">
        <v>0</v>
      </c>
    </row>
    <row r="329" spans="1:5" x14ac:dyDescent="0.25">
      <c r="A329" s="2502" t="s">
        <v>3106</v>
      </c>
      <c r="B329" s="2503">
        <v>0</v>
      </c>
      <c r="D329" t="s">
        <v>3106</v>
      </c>
      <c r="E329">
        <v>0</v>
      </c>
    </row>
    <row r="330" spans="1:5" x14ac:dyDescent="0.25">
      <c r="A330" s="2502" t="s">
        <v>2908</v>
      </c>
      <c r="B330" s="2503">
        <v>0</v>
      </c>
      <c r="D330" t="s">
        <v>2908</v>
      </c>
      <c r="E330">
        <v>0</v>
      </c>
    </row>
    <row r="331" spans="1:5" x14ac:dyDescent="0.25">
      <c r="A331" s="2502" t="s">
        <v>2909</v>
      </c>
      <c r="B331" s="2503">
        <v>0</v>
      </c>
      <c r="D331" t="s">
        <v>2909</v>
      </c>
      <c r="E331">
        <v>0</v>
      </c>
    </row>
    <row r="332" spans="1:5" x14ac:dyDescent="0.25">
      <c r="A332" s="2502" t="s">
        <v>2910</v>
      </c>
      <c r="B332" s="2503">
        <v>-6614033.96</v>
      </c>
      <c r="D332" t="s">
        <v>2910</v>
      </c>
      <c r="E332" s="2504">
        <v>-6614033.96</v>
      </c>
    </row>
    <row r="333" spans="1:5" x14ac:dyDescent="0.25">
      <c r="A333" s="2502" t="s">
        <v>2912</v>
      </c>
      <c r="B333" s="2503">
        <v>213.71</v>
      </c>
      <c r="D333" t="s">
        <v>2912</v>
      </c>
      <c r="E333" s="2504">
        <v>213.71</v>
      </c>
    </row>
    <row r="334" spans="1:5" x14ac:dyDescent="0.25">
      <c r="A334" s="2502" t="s">
        <v>3108</v>
      </c>
      <c r="B334" s="2503">
        <v>-2261944.4099999997</v>
      </c>
      <c r="D334" t="s">
        <v>3108</v>
      </c>
      <c r="E334" s="2504">
        <v>-745162.02</v>
      </c>
    </row>
    <row r="335" spans="1:5" x14ac:dyDescent="0.25">
      <c r="A335" s="2502" t="s">
        <v>2922</v>
      </c>
      <c r="B335" s="2503">
        <v>-2218.79</v>
      </c>
      <c r="D335" t="s">
        <v>2922</v>
      </c>
      <c r="E335" s="2504">
        <v>-2218.79</v>
      </c>
    </row>
    <row r="336" spans="1:5" x14ac:dyDescent="0.25">
      <c r="A336" s="2502" t="s">
        <v>3111</v>
      </c>
      <c r="B336" s="2503">
        <v>0</v>
      </c>
      <c r="D336" t="s">
        <v>3111</v>
      </c>
      <c r="E336">
        <v>0</v>
      </c>
    </row>
    <row r="337" spans="1:5" x14ac:dyDescent="0.25">
      <c r="A337" s="2502" t="s">
        <v>3112</v>
      </c>
      <c r="B337" s="2503">
        <v>0</v>
      </c>
      <c r="D337" t="s">
        <v>3112</v>
      </c>
      <c r="E337">
        <v>0</v>
      </c>
    </row>
    <row r="338" spans="1:5" x14ac:dyDescent="0.25">
      <c r="A338" s="2502" t="s">
        <v>2961</v>
      </c>
      <c r="B338" s="2503">
        <v>0</v>
      </c>
      <c r="D338" t="s">
        <v>2961</v>
      </c>
      <c r="E338">
        <v>0</v>
      </c>
    </row>
    <row r="339" spans="1:5" x14ac:dyDescent="0.25">
      <c r="A339" s="2502" t="s">
        <v>2962</v>
      </c>
      <c r="B339" s="2503">
        <v>0</v>
      </c>
      <c r="D339" t="s">
        <v>2962</v>
      </c>
      <c r="E339">
        <v>0</v>
      </c>
    </row>
    <row r="340" spans="1:5" x14ac:dyDescent="0.25">
      <c r="A340" s="2502" t="s">
        <v>2967</v>
      </c>
      <c r="B340" s="2503">
        <v>0</v>
      </c>
      <c r="D340" t="s">
        <v>2967</v>
      </c>
      <c r="E340">
        <v>0</v>
      </c>
    </row>
    <row r="341" spans="1:5" x14ac:dyDescent="0.25">
      <c r="A341" s="2502" t="s">
        <v>2968</v>
      </c>
      <c r="B341" s="2503">
        <v>0</v>
      </c>
      <c r="D341" t="s">
        <v>2968</v>
      </c>
      <c r="E341">
        <v>0</v>
      </c>
    </row>
    <row r="342" spans="1:5" x14ac:dyDescent="0.25">
      <c r="A342" s="2502" t="s">
        <v>2970</v>
      </c>
      <c r="B342" s="2503">
        <v>0</v>
      </c>
      <c r="D342" t="s">
        <v>2970</v>
      </c>
      <c r="E342">
        <v>0</v>
      </c>
    </row>
    <row r="343" spans="1:5" x14ac:dyDescent="0.25">
      <c r="A343" s="2502" t="s">
        <v>2971</v>
      </c>
      <c r="B343" s="2503">
        <v>0</v>
      </c>
      <c r="D343" t="s">
        <v>2971</v>
      </c>
      <c r="E343">
        <v>0</v>
      </c>
    </row>
    <row r="344" spans="1:5" x14ac:dyDescent="0.25">
      <c r="A344" s="2502" t="s">
        <v>2974</v>
      </c>
      <c r="B344" s="2503">
        <v>0</v>
      </c>
      <c r="D344" t="s">
        <v>2974</v>
      </c>
      <c r="E344">
        <v>0</v>
      </c>
    </row>
    <row r="345" spans="1:5" x14ac:dyDescent="0.25">
      <c r="A345" s="2502" t="s">
        <v>2976</v>
      </c>
      <c r="B345" s="2503">
        <v>0</v>
      </c>
      <c r="D345" t="s">
        <v>2976</v>
      </c>
      <c r="E345">
        <v>0</v>
      </c>
    </row>
    <row r="346" spans="1:5" x14ac:dyDescent="0.25">
      <c r="A346" s="2502" t="s">
        <v>3287</v>
      </c>
      <c r="B346" s="2503">
        <v>0</v>
      </c>
      <c r="D346" t="s">
        <v>3287</v>
      </c>
      <c r="E346" s="2504">
        <v>135744.30084797926</v>
      </c>
    </row>
    <row r="347" spans="1:5" x14ac:dyDescent="0.25">
      <c r="A347" s="2502" t="s">
        <v>3113</v>
      </c>
      <c r="B347" s="2503">
        <v>-605978.1</v>
      </c>
      <c r="D347" t="s">
        <v>3113</v>
      </c>
      <c r="E347">
        <v>0</v>
      </c>
    </row>
    <row r="348" spans="1:5" x14ac:dyDescent="0.25">
      <c r="A348" s="2502" t="s">
        <v>2985</v>
      </c>
      <c r="B348" s="2503">
        <v>0</v>
      </c>
      <c r="D348" t="s">
        <v>2985</v>
      </c>
      <c r="E348">
        <v>0</v>
      </c>
    </row>
    <row r="349" spans="1:5" x14ac:dyDescent="0.25">
      <c r="A349" s="2502" t="s">
        <v>3023</v>
      </c>
      <c r="B349" s="2503">
        <v>0</v>
      </c>
      <c r="D349" t="s">
        <v>3023</v>
      </c>
      <c r="E349">
        <v>0</v>
      </c>
    </row>
    <row r="350" spans="1:5" x14ac:dyDescent="0.25">
      <c r="A350" s="2502" t="s">
        <v>3005</v>
      </c>
      <c r="B350" s="2503">
        <v>0</v>
      </c>
      <c r="D350" t="s">
        <v>3005</v>
      </c>
      <c r="E350">
        <v>0</v>
      </c>
    </row>
    <row r="351" spans="1:5" x14ac:dyDescent="0.25">
      <c r="A351" s="2502" t="s">
        <v>3024</v>
      </c>
      <c r="B351" s="2503">
        <v>8915</v>
      </c>
      <c r="D351" t="s">
        <v>3024</v>
      </c>
      <c r="E351" s="2504">
        <v>8915</v>
      </c>
    </row>
    <row r="352" spans="1:5" x14ac:dyDescent="0.25">
      <c r="A352" s="2502" t="s">
        <v>3114</v>
      </c>
      <c r="B352" s="2503">
        <v>0</v>
      </c>
      <c r="D352" t="s">
        <v>3114</v>
      </c>
      <c r="E352">
        <v>0</v>
      </c>
    </row>
    <row r="353" spans="1:5" x14ac:dyDescent="0.25">
      <c r="A353" s="2502" t="s">
        <v>3029</v>
      </c>
      <c r="B353" s="2503">
        <v>0</v>
      </c>
      <c r="D353" t="s">
        <v>3029</v>
      </c>
      <c r="E353">
        <v>0</v>
      </c>
    </row>
    <row r="354" spans="1:5" x14ac:dyDescent="0.25">
      <c r="A354" s="2502" t="s">
        <v>3033</v>
      </c>
      <c r="B354" s="2503">
        <v>0</v>
      </c>
      <c r="D354" t="s">
        <v>3032</v>
      </c>
      <c r="E354" s="2504">
        <v>-2667</v>
      </c>
    </row>
    <row r="355" spans="1:5" x14ac:dyDescent="0.25">
      <c r="A355" s="2502" t="s">
        <v>3627</v>
      </c>
      <c r="B355" s="2503">
        <v>0</v>
      </c>
      <c r="D355" t="s">
        <v>3033</v>
      </c>
      <c r="E355">
        <v>0</v>
      </c>
    </row>
    <row r="356" spans="1:5" x14ac:dyDescent="0.25">
      <c r="A356" s="2502" t="s">
        <v>3698</v>
      </c>
      <c r="B356" s="2503">
        <v>-2667</v>
      </c>
      <c r="D356" t="s">
        <v>3602</v>
      </c>
      <c r="E356" s="2504">
        <v>-661347.13333333237</v>
      </c>
    </row>
    <row r="357" spans="1:5" x14ac:dyDescent="0.25">
      <c r="A357" s="2502" t="s">
        <v>3602</v>
      </c>
      <c r="B357" s="2503">
        <v>16989481.987942856</v>
      </c>
    </row>
  </sheetData>
  <autoFilter ref="D3:E35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R7225"/>
  <sheetViews>
    <sheetView showGridLines="0" zoomScale="80" zoomScaleNormal="80" workbookViewId="0"/>
  </sheetViews>
  <sheetFormatPr defaultColWidth="8.85546875" defaultRowHeight="16.5" x14ac:dyDescent="0.3"/>
  <cols>
    <col min="1" max="1" width="3.7109375" style="1" customWidth="1"/>
    <col min="2" max="2" width="26.85546875" style="1" bestFit="1" customWidth="1"/>
    <col min="3" max="3" width="36.42578125" style="1" bestFit="1" customWidth="1"/>
    <col min="4" max="4" width="62.28515625" style="1" bestFit="1" customWidth="1"/>
    <col min="5" max="5" width="23.7109375" style="1" bestFit="1" customWidth="1"/>
    <col min="6" max="6" width="22.85546875" style="1" bestFit="1" customWidth="1"/>
    <col min="7" max="7" width="28.5703125" style="1" bestFit="1" customWidth="1"/>
    <col min="8" max="8" width="106.28515625" style="1" bestFit="1" customWidth="1"/>
    <col min="9" max="10" width="16" style="1" bestFit="1" customWidth="1"/>
    <col min="11" max="11" width="32.7109375" style="1" customWidth="1"/>
    <col min="12" max="12" width="33" style="1" bestFit="1" customWidth="1"/>
    <col min="13" max="13" width="62.42578125" style="1" bestFit="1" customWidth="1"/>
    <col min="14" max="15" width="25" style="1" customWidth="1"/>
    <col min="16" max="16" width="30.28515625" style="1" bestFit="1" customWidth="1"/>
    <col min="17" max="17" width="107.7109375" style="1" bestFit="1" customWidth="1"/>
    <col min="18" max="18" width="24.5703125" style="1" bestFit="1" customWidth="1"/>
    <col min="19" max="16384" width="8.85546875" style="1"/>
  </cols>
  <sheetData>
    <row r="1" spans="1:18" s="344" customFormat="1" x14ac:dyDescent="0.3">
      <c r="A1" s="344" t="s">
        <v>3528</v>
      </c>
    </row>
    <row r="2" spans="1:18" s="344" customFormat="1" x14ac:dyDescent="0.3"/>
    <row r="3" spans="1:18" s="344" customFormat="1" x14ac:dyDescent="0.3"/>
    <row r="4" spans="1:18" s="344" customFormat="1" x14ac:dyDescent="0.3"/>
    <row r="5" spans="1:18" s="344" customFormat="1" x14ac:dyDescent="0.3"/>
    <row r="6" spans="1:18" s="344" customFormat="1" x14ac:dyDescent="0.3">
      <c r="B6" s="347"/>
      <c r="F6" s="348"/>
    </row>
    <row r="7" spans="1:18" x14ac:dyDescent="0.3">
      <c r="B7" s="4"/>
      <c r="F7" s="349"/>
    </row>
    <row r="8" spans="1:18" x14ac:dyDescent="0.3">
      <c r="B8" s="390" t="s">
        <v>1129</v>
      </c>
      <c r="C8" s="303">
        <v>2526469.36</v>
      </c>
      <c r="D8" s="182" t="s">
        <v>1070</v>
      </c>
      <c r="E8" s="302">
        <f>SUM(Final_TB[[#Data],[#Totals],[Opening Balance]])+C8</f>
        <v>2.0954757928848267E-8</v>
      </c>
      <c r="F8" s="302">
        <f>SUM(Final_TB[[#Data],[#Totals],[Closing Balance]])+C8</f>
        <v>80874158.280000076</v>
      </c>
      <c r="G8" s="935">
        <v>32601654.859999999</v>
      </c>
      <c r="K8" s="390" t="s">
        <v>1129</v>
      </c>
      <c r="L8" s="303">
        <v>15285979.710000001</v>
      </c>
      <c r="M8" s="182" t="s">
        <v>1070</v>
      </c>
      <c r="N8" s="349">
        <f>+SUM(N11:N416)+L8</f>
        <v>0</v>
      </c>
      <c r="O8" s="349">
        <f>+L8</f>
        <v>15285979.710000001</v>
      </c>
    </row>
    <row r="9" spans="1:18" x14ac:dyDescent="0.3">
      <c r="D9" s="182" t="s">
        <v>1071</v>
      </c>
      <c r="E9" s="302">
        <f>SUBTOTAL(9,Final_TB[[#Data],[#Totals],[Opening Balance]])+C8</f>
        <v>2.0954757928848267E-8</v>
      </c>
      <c r="F9" s="302">
        <f>SUBTOTAL(9,Final_TB[[#Data],[#Totals],[Closing Balance]])+C8*0</f>
        <v>78347688.920000076</v>
      </c>
      <c r="G9" s="349"/>
      <c r="M9" s="182" t="s">
        <v>1071</v>
      </c>
      <c r="N9" s="349">
        <f>SUBTOTAL(9,PYTBGrouping[Opening Balance])+L8</f>
        <v>0</v>
      </c>
      <c r="O9" s="349">
        <f>SUBTOTAL(9,PYTBGrouping[Closing Balance])+L8</f>
        <v>-20934336.889999971</v>
      </c>
      <c r="R9" s="349"/>
    </row>
    <row r="10" spans="1:18" x14ac:dyDescent="0.3">
      <c r="B10" s="350" t="s">
        <v>1121</v>
      </c>
      <c r="C10" s="350" t="s">
        <v>1122</v>
      </c>
      <c r="D10" s="350" t="s">
        <v>1123</v>
      </c>
      <c r="E10" s="350" t="s">
        <v>1124</v>
      </c>
      <c r="F10" s="350" t="s">
        <v>1008</v>
      </c>
      <c r="G10" s="350" t="s">
        <v>1001</v>
      </c>
      <c r="H10" s="350" t="s">
        <v>729</v>
      </c>
      <c r="I10" s="350" t="s">
        <v>1010</v>
      </c>
      <c r="J10" s="350" t="s">
        <v>1986</v>
      </c>
      <c r="K10" s="1773" t="s">
        <v>1121</v>
      </c>
      <c r="L10" s="1773" t="s">
        <v>1122</v>
      </c>
      <c r="M10" s="1773" t="s">
        <v>1123</v>
      </c>
      <c r="N10" s="1773" t="s">
        <v>1124</v>
      </c>
      <c r="O10" s="1773" t="s">
        <v>1008</v>
      </c>
      <c r="P10" s="1773" t="s">
        <v>1001</v>
      </c>
      <c r="Q10" s="1773" t="s">
        <v>729</v>
      </c>
      <c r="R10" s="1773" t="s">
        <v>1010</v>
      </c>
    </row>
    <row r="11" spans="1:18" x14ac:dyDescent="0.3">
      <c r="B11" s="1" t="s">
        <v>2080</v>
      </c>
      <c r="C11" s="1" t="s">
        <v>2080</v>
      </c>
      <c r="D11" s="1" t="s">
        <v>3929</v>
      </c>
      <c r="E11" s="302">
        <v>0</v>
      </c>
      <c r="F11" s="1805">
        <v>0</v>
      </c>
      <c r="G11" s="1" t="s">
        <v>743</v>
      </c>
      <c r="H11" s="1" t="s">
        <v>1513</v>
      </c>
      <c r="J11" s="29"/>
      <c r="K11" s="303" t="s">
        <v>953</v>
      </c>
      <c r="L11" s="303" t="s">
        <v>2112</v>
      </c>
      <c r="M11" s="2348" t="s">
        <v>2113</v>
      </c>
      <c r="N11" s="303">
        <v>0</v>
      </c>
      <c r="O11" s="303">
        <v>-6919</v>
      </c>
      <c r="P11" s="303" t="s">
        <v>508</v>
      </c>
      <c r="Q11" s="303" t="s">
        <v>1303</v>
      </c>
      <c r="R11" s="303"/>
    </row>
    <row r="12" spans="1:18" x14ac:dyDescent="0.3">
      <c r="B12" s="1" t="s">
        <v>2128</v>
      </c>
      <c r="C12" s="1" t="s">
        <v>2214</v>
      </c>
      <c r="D12" s="1" t="s">
        <v>3032</v>
      </c>
      <c r="E12" s="302">
        <v>2667</v>
      </c>
      <c r="F12" s="1805">
        <v>0</v>
      </c>
      <c r="G12" s="1" t="s">
        <v>1812</v>
      </c>
      <c r="H12" s="1" t="s">
        <v>1887</v>
      </c>
      <c r="J12" s="29"/>
      <c r="K12" s="303" t="s">
        <v>953</v>
      </c>
      <c r="L12" s="303" t="s">
        <v>2064</v>
      </c>
      <c r="M12" s="2348" t="s">
        <v>2117</v>
      </c>
      <c r="N12" s="303">
        <v>-99999.96</v>
      </c>
      <c r="O12" s="303">
        <v>-180000</v>
      </c>
      <c r="P12" s="303" t="s">
        <v>799</v>
      </c>
      <c r="Q12" s="303" t="s">
        <v>1292</v>
      </c>
      <c r="R12" s="303"/>
    </row>
    <row r="13" spans="1:18" x14ac:dyDescent="0.3">
      <c r="B13" s="1" t="s">
        <v>2128</v>
      </c>
      <c r="C13" s="1" t="s">
        <v>2131</v>
      </c>
      <c r="D13" s="1" t="s">
        <v>3029</v>
      </c>
      <c r="E13" s="302">
        <v>0</v>
      </c>
      <c r="F13" s="1805">
        <v>0</v>
      </c>
      <c r="G13" s="1" t="s">
        <v>1812</v>
      </c>
      <c r="H13" s="1" t="s">
        <v>1887</v>
      </c>
      <c r="J13" s="29"/>
      <c r="K13" s="303" t="s">
        <v>100</v>
      </c>
      <c r="L13" s="303" t="s">
        <v>100</v>
      </c>
      <c r="M13" s="303" t="s">
        <v>2119</v>
      </c>
      <c r="N13" s="303">
        <v>600304</v>
      </c>
      <c r="O13" s="303">
        <v>1483740</v>
      </c>
      <c r="P13" s="303" t="s">
        <v>747</v>
      </c>
      <c r="Q13" s="303" t="s">
        <v>1541</v>
      </c>
      <c r="R13" s="303"/>
    </row>
    <row r="14" spans="1:18" x14ac:dyDescent="0.3">
      <c r="B14" s="1" t="s">
        <v>953</v>
      </c>
      <c r="C14" s="1" t="s">
        <v>2112</v>
      </c>
      <c r="D14" s="1" t="s">
        <v>3114</v>
      </c>
      <c r="E14" s="533">
        <v>0</v>
      </c>
      <c r="F14" s="533">
        <v>-8334</v>
      </c>
      <c r="G14" s="1" t="s">
        <v>508</v>
      </c>
      <c r="H14" s="1" t="s">
        <v>1303</v>
      </c>
      <c r="J14" s="29"/>
      <c r="K14" s="303" t="s">
        <v>2120</v>
      </c>
      <c r="L14" s="303" t="s">
        <v>2120</v>
      </c>
      <c r="M14" s="303" t="s">
        <v>2121</v>
      </c>
      <c r="N14" s="303">
        <f>65736</f>
        <v>65736</v>
      </c>
      <c r="O14" s="303">
        <v>0</v>
      </c>
      <c r="P14" s="303" t="s">
        <v>363</v>
      </c>
      <c r="Q14" s="303" t="s">
        <v>2023</v>
      </c>
      <c r="R14" s="303"/>
    </row>
    <row r="15" spans="1:18" x14ac:dyDescent="0.3">
      <c r="B15" s="1" t="s">
        <v>953</v>
      </c>
      <c r="C15" s="1" t="s">
        <v>2112</v>
      </c>
      <c r="D15" s="1" t="s">
        <v>3024</v>
      </c>
      <c r="E15" s="302">
        <v>-1783</v>
      </c>
      <c r="F15" s="302">
        <v>0</v>
      </c>
      <c r="G15" s="1" t="s">
        <v>508</v>
      </c>
      <c r="H15" s="1" t="s">
        <v>1303</v>
      </c>
      <c r="J15" s="29"/>
      <c r="K15" s="303" t="s">
        <v>2120</v>
      </c>
      <c r="L15" s="303" t="s">
        <v>2120</v>
      </c>
      <c r="M15" s="303" t="s">
        <v>2125</v>
      </c>
      <c r="N15" s="303">
        <v>29125</v>
      </c>
      <c r="O15" s="303">
        <v>29125</v>
      </c>
      <c r="P15" s="303" t="s">
        <v>363</v>
      </c>
      <c r="Q15" s="303" t="s">
        <v>2023</v>
      </c>
      <c r="R15" s="303"/>
    </row>
    <row r="16" spans="1:18" x14ac:dyDescent="0.3">
      <c r="B16" s="1" t="s">
        <v>2080</v>
      </c>
      <c r="C16" s="1" t="s">
        <v>2080</v>
      </c>
      <c r="D16" s="1" t="s">
        <v>3930</v>
      </c>
      <c r="E16" s="302">
        <v>0</v>
      </c>
      <c r="F16" s="1805">
        <v>0</v>
      </c>
      <c r="G16" s="1" t="s">
        <v>743</v>
      </c>
      <c r="H16" s="1" t="s">
        <v>1513</v>
      </c>
      <c r="J16" s="29"/>
      <c r="K16" s="303" t="s">
        <v>2128</v>
      </c>
      <c r="L16" s="303" t="s">
        <v>2129</v>
      </c>
      <c r="M16" s="303" t="s">
        <v>2130</v>
      </c>
      <c r="N16" s="303">
        <v>16645.330000000002</v>
      </c>
      <c r="O16" s="303">
        <v>0</v>
      </c>
      <c r="P16" s="303" t="s">
        <v>1812</v>
      </c>
      <c r="Q16" s="303" t="s">
        <v>1887</v>
      </c>
      <c r="R16" s="303"/>
    </row>
    <row r="17" spans="2:18" x14ac:dyDescent="0.3">
      <c r="B17" s="1" t="s">
        <v>2261</v>
      </c>
      <c r="C17" s="1" t="s">
        <v>2261</v>
      </c>
      <c r="D17" s="1" t="s">
        <v>3023</v>
      </c>
      <c r="E17" s="302">
        <v>0</v>
      </c>
      <c r="F17" s="302">
        <v>0</v>
      </c>
      <c r="G17" s="1" t="s">
        <v>363</v>
      </c>
      <c r="H17" s="1" t="s">
        <v>2018</v>
      </c>
      <c r="J17" s="29"/>
      <c r="K17" s="303" t="s">
        <v>2128</v>
      </c>
      <c r="L17" s="303" t="s">
        <v>2131</v>
      </c>
      <c r="M17" s="303" t="s">
        <v>2132</v>
      </c>
      <c r="N17" s="303">
        <v>1445</v>
      </c>
      <c r="O17" s="303">
        <v>792</v>
      </c>
      <c r="P17" s="303" t="s">
        <v>1812</v>
      </c>
      <c r="Q17" s="303" t="s">
        <v>1887</v>
      </c>
      <c r="R17" s="303"/>
    </row>
    <row r="18" spans="2:18" x14ac:dyDescent="0.3">
      <c r="B18" s="1" t="s">
        <v>2066</v>
      </c>
      <c r="C18" s="1" t="s">
        <v>2066</v>
      </c>
      <c r="D18" s="1" t="s">
        <v>2985</v>
      </c>
      <c r="E18" s="302">
        <v>0</v>
      </c>
      <c r="F18" s="1805">
        <v>49703</v>
      </c>
      <c r="G18" s="1" t="s">
        <v>763</v>
      </c>
      <c r="H18" s="1" t="s">
        <v>3512</v>
      </c>
      <c r="J18" s="29"/>
      <c r="K18" s="303" t="s">
        <v>2128</v>
      </c>
      <c r="L18" s="303" t="s">
        <v>2131</v>
      </c>
      <c r="M18" s="303" t="s">
        <v>2133</v>
      </c>
      <c r="N18" s="303">
        <v>9653.94</v>
      </c>
      <c r="O18" s="303">
        <v>5302.94</v>
      </c>
      <c r="P18" s="303" t="s">
        <v>1812</v>
      </c>
      <c r="Q18" s="303" t="s">
        <v>1887</v>
      </c>
      <c r="R18" s="303"/>
    </row>
    <row r="19" spans="2:18" x14ac:dyDescent="0.3">
      <c r="B19" s="1804" t="s">
        <v>1013</v>
      </c>
      <c r="C19" s="1804" t="s">
        <v>1013</v>
      </c>
      <c r="D19" s="1804" t="s">
        <v>3618</v>
      </c>
      <c r="E19" s="2552">
        <v>0</v>
      </c>
      <c r="F19" s="2552">
        <v>-2673863.65</v>
      </c>
      <c r="G19" s="1804" t="s">
        <v>508</v>
      </c>
      <c r="H19" s="1804" t="s">
        <v>3618</v>
      </c>
      <c r="I19" s="1804"/>
      <c r="J19" s="29"/>
      <c r="K19" s="303" t="s">
        <v>2066</v>
      </c>
      <c r="L19" s="303" t="s">
        <v>2066</v>
      </c>
      <c r="M19" s="303" t="s">
        <v>2135</v>
      </c>
      <c r="N19" s="303">
        <v>0</v>
      </c>
      <c r="O19" s="303">
        <v>1403529.96</v>
      </c>
      <c r="P19" s="303" t="s">
        <v>763</v>
      </c>
      <c r="Q19" s="303" t="s">
        <v>987</v>
      </c>
      <c r="R19" s="303"/>
    </row>
    <row r="20" spans="2:18" x14ac:dyDescent="0.3">
      <c r="B20" s="1" t="s">
        <v>2066</v>
      </c>
      <c r="C20" s="1" t="s">
        <v>2066</v>
      </c>
      <c r="D20" s="1" t="s">
        <v>2976</v>
      </c>
      <c r="E20" s="302">
        <v>0</v>
      </c>
      <c r="F20" s="1805">
        <v>125583.6</v>
      </c>
      <c r="G20" s="1" t="s">
        <v>763</v>
      </c>
      <c r="H20" s="1" t="s">
        <v>766</v>
      </c>
      <c r="J20" s="29"/>
      <c r="K20" s="303" t="s">
        <v>2080</v>
      </c>
      <c r="L20" s="303" t="s">
        <v>2080</v>
      </c>
      <c r="M20" s="303" t="s">
        <v>2151</v>
      </c>
      <c r="N20" s="303">
        <v>306800</v>
      </c>
      <c r="O20" s="303">
        <v>0</v>
      </c>
      <c r="P20" s="303" t="s">
        <v>743</v>
      </c>
      <c r="Q20" s="303" t="s">
        <v>1513</v>
      </c>
      <c r="R20" s="303"/>
    </row>
    <row r="21" spans="2:18" x14ac:dyDescent="0.3">
      <c r="B21" s="1" t="s">
        <v>2080</v>
      </c>
      <c r="C21" s="1" t="s">
        <v>2080</v>
      </c>
      <c r="D21" s="1" t="s">
        <v>3931</v>
      </c>
      <c r="E21" s="302">
        <v>15089.84</v>
      </c>
      <c r="F21" s="1805">
        <v>0</v>
      </c>
      <c r="G21" s="1" t="s">
        <v>743</v>
      </c>
      <c r="H21" s="1" t="s">
        <v>1513</v>
      </c>
      <c r="J21" s="29"/>
      <c r="K21" s="303" t="s">
        <v>2080</v>
      </c>
      <c r="L21" s="303" t="s">
        <v>2080</v>
      </c>
      <c r="M21" s="303" t="s">
        <v>2152</v>
      </c>
      <c r="N21" s="303">
        <v>1327500</v>
      </c>
      <c r="O21" s="303">
        <v>0</v>
      </c>
      <c r="P21" s="303" t="s">
        <v>743</v>
      </c>
      <c r="Q21" s="303" t="s">
        <v>1513</v>
      </c>
      <c r="R21" s="303"/>
    </row>
    <row r="22" spans="2:18" x14ac:dyDescent="0.3">
      <c r="B22" s="1" t="s">
        <v>2066</v>
      </c>
      <c r="C22" s="1" t="s">
        <v>2066</v>
      </c>
      <c r="D22" s="1" t="s">
        <v>2971</v>
      </c>
      <c r="E22" s="302">
        <v>0</v>
      </c>
      <c r="F22" s="1805">
        <v>41386.51</v>
      </c>
      <c r="G22" s="1" t="s">
        <v>763</v>
      </c>
      <c r="H22" s="1" t="s">
        <v>772</v>
      </c>
      <c r="J22" s="29"/>
      <c r="K22" s="303" t="s">
        <v>2066</v>
      </c>
      <c r="L22" s="303" t="s">
        <v>2066</v>
      </c>
      <c r="M22" s="303" t="s">
        <v>2168</v>
      </c>
      <c r="N22" s="303">
        <v>0</v>
      </c>
      <c r="O22" s="303">
        <f>113836.74</f>
        <v>113836.74</v>
      </c>
      <c r="P22" s="303" t="s">
        <v>763</v>
      </c>
      <c r="Q22" s="303" t="s">
        <v>3517</v>
      </c>
      <c r="R22" s="303"/>
    </row>
    <row r="23" spans="2:18" x14ac:dyDescent="0.3">
      <c r="B23" s="1" t="s">
        <v>2080</v>
      </c>
      <c r="C23" s="1" t="s">
        <v>2080</v>
      </c>
      <c r="D23" s="1" t="s">
        <v>3932</v>
      </c>
      <c r="E23" s="302">
        <v>0</v>
      </c>
      <c r="F23" s="1805">
        <v>0</v>
      </c>
      <c r="G23" s="1" t="s">
        <v>743</v>
      </c>
      <c r="H23" s="1" t="s">
        <v>1513</v>
      </c>
      <c r="J23" s="29"/>
      <c r="K23" s="303" t="s">
        <v>2169</v>
      </c>
      <c r="L23" s="303" t="s">
        <v>2169</v>
      </c>
      <c r="M23" s="303" t="s">
        <v>2170</v>
      </c>
      <c r="N23" s="303">
        <v>0</v>
      </c>
      <c r="O23" s="303">
        <v>-5754298.4000000004</v>
      </c>
      <c r="P23" s="303" t="s">
        <v>752</v>
      </c>
      <c r="Q23" s="303" t="s">
        <v>3500</v>
      </c>
      <c r="R23" s="303"/>
    </row>
    <row r="24" spans="2:18" x14ac:dyDescent="0.3">
      <c r="B24" s="1" t="s">
        <v>2066</v>
      </c>
      <c r="C24" s="1" t="s">
        <v>2066</v>
      </c>
      <c r="D24" s="1" t="s">
        <v>2968</v>
      </c>
      <c r="E24" s="302">
        <v>0</v>
      </c>
      <c r="F24" s="1805">
        <v>46444.26</v>
      </c>
      <c r="G24" s="1" t="s">
        <v>763</v>
      </c>
      <c r="H24" s="1" t="s">
        <v>765</v>
      </c>
      <c r="J24" s="29"/>
      <c r="K24" s="303" t="s">
        <v>2066</v>
      </c>
      <c r="L24" s="303" t="s">
        <v>2066</v>
      </c>
      <c r="M24" s="303" t="s">
        <v>2172</v>
      </c>
      <c r="N24" s="303">
        <v>0</v>
      </c>
      <c r="O24" s="303">
        <v>177580.5</v>
      </c>
      <c r="P24" s="303" t="s">
        <v>763</v>
      </c>
      <c r="Q24" s="303" t="s">
        <v>2172</v>
      </c>
      <c r="R24" s="303"/>
    </row>
    <row r="25" spans="2:18" x14ac:dyDescent="0.3">
      <c r="B25" s="1" t="s">
        <v>2066</v>
      </c>
      <c r="C25" s="1" t="s">
        <v>2066</v>
      </c>
      <c r="D25" s="1" t="s">
        <v>2967</v>
      </c>
      <c r="E25" s="302">
        <v>0</v>
      </c>
      <c r="F25" s="1805">
        <v>19697.98</v>
      </c>
      <c r="G25" s="1" t="s">
        <v>763</v>
      </c>
      <c r="H25" s="1" t="s">
        <v>765</v>
      </c>
      <c r="J25" s="29"/>
      <c r="K25" s="303" t="s">
        <v>1012</v>
      </c>
      <c r="L25" s="303" t="s">
        <v>1012</v>
      </c>
      <c r="M25" s="303" t="s">
        <v>2174</v>
      </c>
      <c r="N25" s="303">
        <v>-242874</v>
      </c>
      <c r="O25" s="303">
        <v>-106443.94</v>
      </c>
      <c r="P25" s="303" t="s">
        <v>799</v>
      </c>
      <c r="Q25" s="303" t="s">
        <v>1292</v>
      </c>
      <c r="R25" s="303"/>
    </row>
    <row r="26" spans="2:18" x14ac:dyDescent="0.3">
      <c r="B26" s="1" t="s">
        <v>1012</v>
      </c>
      <c r="C26" s="1" t="s">
        <v>1012</v>
      </c>
      <c r="D26" s="1" t="s">
        <v>3933</v>
      </c>
      <c r="E26" s="302">
        <v>0</v>
      </c>
      <c r="F26" s="1805">
        <v>0</v>
      </c>
      <c r="G26" s="1" t="s">
        <v>799</v>
      </c>
      <c r="H26" s="1" t="s">
        <v>1292</v>
      </c>
      <c r="J26" s="29"/>
      <c r="K26" s="303" t="s">
        <v>1012</v>
      </c>
      <c r="L26" s="303" t="s">
        <v>1012</v>
      </c>
      <c r="M26" s="303" t="s">
        <v>2175</v>
      </c>
      <c r="N26" s="303">
        <v>-1440</v>
      </c>
      <c r="O26" s="303">
        <v>-638661.64</v>
      </c>
      <c r="P26" s="303" t="s">
        <v>799</v>
      </c>
      <c r="Q26" s="303" t="s">
        <v>1292</v>
      </c>
      <c r="R26" s="303"/>
    </row>
    <row r="27" spans="2:18" x14ac:dyDescent="0.3">
      <c r="B27" s="1" t="s">
        <v>2080</v>
      </c>
      <c r="C27" s="1" t="s">
        <v>2080</v>
      </c>
      <c r="D27" s="1" t="s">
        <v>3934</v>
      </c>
      <c r="E27" s="302">
        <v>3564166.98</v>
      </c>
      <c r="F27" s="1805">
        <v>0</v>
      </c>
      <c r="G27" s="1" t="s">
        <v>743</v>
      </c>
      <c r="H27" s="1" t="s">
        <v>1513</v>
      </c>
      <c r="J27" s="29"/>
      <c r="K27" s="303" t="s">
        <v>1012</v>
      </c>
      <c r="L27" s="303" t="s">
        <v>1012</v>
      </c>
      <c r="M27" s="303" t="s">
        <v>2176</v>
      </c>
      <c r="N27" s="303">
        <v>-17532.599999999999</v>
      </c>
      <c r="O27" s="303">
        <v>-106443.94</v>
      </c>
      <c r="P27" s="303" t="s">
        <v>799</v>
      </c>
      <c r="Q27" s="303" t="s">
        <v>1292</v>
      </c>
      <c r="R27" s="303"/>
    </row>
    <row r="28" spans="2:18" x14ac:dyDescent="0.3">
      <c r="B28" s="1" t="s">
        <v>1012</v>
      </c>
      <c r="C28" s="1" t="s">
        <v>1012</v>
      </c>
      <c r="D28" s="1" t="s">
        <v>3935</v>
      </c>
      <c r="E28" s="302">
        <v>-493835.8</v>
      </c>
      <c r="F28" s="1805">
        <v>-0.45</v>
      </c>
      <c r="G28" s="1" t="s">
        <v>799</v>
      </c>
      <c r="H28" s="1" t="s">
        <v>1292</v>
      </c>
      <c r="J28" s="29"/>
      <c r="K28" s="303" t="s">
        <v>2066</v>
      </c>
      <c r="L28" s="303" t="s">
        <v>2066</v>
      </c>
      <c r="M28" s="303" t="s">
        <v>2181</v>
      </c>
      <c r="N28" s="303">
        <v>0</v>
      </c>
      <c r="O28" s="303">
        <v>424000</v>
      </c>
      <c r="P28" s="303" t="s">
        <v>763</v>
      </c>
      <c r="Q28" s="303" t="s">
        <v>771</v>
      </c>
      <c r="R28" s="303"/>
    </row>
    <row r="29" spans="2:18" x14ac:dyDescent="0.3">
      <c r="B29" s="1" t="s">
        <v>1012</v>
      </c>
      <c r="C29" s="1" t="s">
        <v>1012</v>
      </c>
      <c r="D29" s="1" t="s">
        <v>3936</v>
      </c>
      <c r="E29" s="533">
        <v>0</v>
      </c>
      <c r="F29" s="2552">
        <v>-4753251.7</v>
      </c>
      <c r="G29" s="1" t="s">
        <v>799</v>
      </c>
      <c r="H29" s="1" t="s">
        <v>1292</v>
      </c>
      <c r="J29" s="29"/>
      <c r="K29" s="303" t="s">
        <v>2080</v>
      </c>
      <c r="L29" s="303" t="s">
        <v>2080</v>
      </c>
      <c r="M29" s="303" t="s">
        <v>2182</v>
      </c>
      <c r="N29" s="303">
        <v>934201.24</v>
      </c>
      <c r="O29" s="303">
        <v>0</v>
      </c>
      <c r="P29" s="303" t="s">
        <v>743</v>
      </c>
      <c r="Q29" s="303" t="s">
        <v>1513</v>
      </c>
      <c r="R29" s="303"/>
    </row>
    <row r="30" spans="2:18" x14ac:dyDescent="0.3">
      <c r="B30" s="1" t="s">
        <v>2045</v>
      </c>
      <c r="C30" s="1" t="s">
        <v>3740</v>
      </c>
      <c r="D30" s="1" t="s">
        <v>3111</v>
      </c>
      <c r="E30" s="533">
        <v>0</v>
      </c>
      <c r="F30" s="2552">
        <v>-1781311</v>
      </c>
      <c r="G30" s="1" t="s">
        <v>508</v>
      </c>
      <c r="H30" s="1" t="s">
        <v>1303</v>
      </c>
      <c r="J30" s="29"/>
      <c r="K30" s="303" t="s">
        <v>2045</v>
      </c>
      <c r="L30" s="303" t="s">
        <v>2187</v>
      </c>
      <c r="M30" s="303" t="s">
        <v>2193</v>
      </c>
      <c r="N30" s="303">
        <v>0</v>
      </c>
      <c r="O30" s="303">
        <v>735958.65</v>
      </c>
      <c r="P30" s="303" t="s">
        <v>363</v>
      </c>
      <c r="Q30" s="303" t="s">
        <v>2018</v>
      </c>
      <c r="R30" s="303"/>
    </row>
    <row r="31" spans="2:18" x14ac:dyDescent="0.3">
      <c r="B31" s="1" t="s">
        <v>1013</v>
      </c>
      <c r="C31" s="1" t="s">
        <v>2911</v>
      </c>
      <c r="D31" s="1" t="s">
        <v>2922</v>
      </c>
      <c r="E31" s="302">
        <v>13137.79</v>
      </c>
      <c r="F31" s="302">
        <v>0</v>
      </c>
      <c r="G31" s="1" t="s">
        <v>363</v>
      </c>
      <c r="H31" s="1" t="s">
        <v>2018</v>
      </c>
      <c r="J31" s="29"/>
      <c r="K31" s="303" t="s">
        <v>2080</v>
      </c>
      <c r="L31" s="303" t="s">
        <v>2080</v>
      </c>
      <c r="M31" s="303" t="s">
        <v>2197</v>
      </c>
      <c r="N31" s="303">
        <v>0</v>
      </c>
      <c r="O31" s="303">
        <v>466556.32</v>
      </c>
      <c r="P31" s="303" t="s">
        <v>743</v>
      </c>
      <c r="Q31" s="303" t="s">
        <v>1513</v>
      </c>
      <c r="R31" s="303"/>
    </row>
    <row r="32" spans="2:18" x14ac:dyDescent="0.3">
      <c r="B32" s="1" t="s">
        <v>1013</v>
      </c>
      <c r="C32" s="1" t="s">
        <v>3107</v>
      </c>
      <c r="D32" s="1" t="s">
        <v>3108</v>
      </c>
      <c r="E32" s="302">
        <v>0</v>
      </c>
      <c r="F32" s="1805">
        <v>17.16</v>
      </c>
      <c r="G32" s="1" t="s">
        <v>363</v>
      </c>
      <c r="H32" s="1" t="s">
        <v>2018</v>
      </c>
      <c r="J32" s="29"/>
      <c r="K32" s="303" t="s">
        <v>1012</v>
      </c>
      <c r="L32" s="303" t="s">
        <v>1012</v>
      </c>
      <c r="M32" s="303" t="s">
        <v>2203</v>
      </c>
      <c r="N32" s="303">
        <v>0</v>
      </c>
      <c r="O32" s="303">
        <v>-792</v>
      </c>
      <c r="P32" s="303" t="s">
        <v>799</v>
      </c>
      <c r="Q32" s="303" t="s">
        <v>1292</v>
      </c>
      <c r="R32" s="303"/>
    </row>
    <row r="33" spans="2:18" x14ac:dyDescent="0.3">
      <c r="B33" s="1" t="s">
        <v>1013</v>
      </c>
      <c r="C33" s="1" t="s">
        <v>3107</v>
      </c>
      <c r="D33" s="1" t="s">
        <v>3154</v>
      </c>
      <c r="E33" s="533">
        <v>0</v>
      </c>
      <c r="F33" s="2552">
        <f>2322128.04+264829.94+293.18</f>
        <v>2587251.16</v>
      </c>
      <c r="G33" s="1" t="s">
        <v>363</v>
      </c>
      <c r="H33" s="1" t="s">
        <v>2018</v>
      </c>
      <c r="J33" s="29"/>
      <c r="K33" s="303" t="s">
        <v>2045</v>
      </c>
      <c r="L33" s="303" t="s">
        <v>2045</v>
      </c>
      <c r="M33" s="2348" t="s">
        <v>2205</v>
      </c>
      <c r="N33" s="303">
        <v>48056.14</v>
      </c>
      <c r="O33" s="303">
        <v>0</v>
      </c>
      <c r="P33" s="303" t="s">
        <v>363</v>
      </c>
      <c r="Q33" s="303" t="s">
        <v>2018</v>
      </c>
      <c r="R33" s="303"/>
    </row>
    <row r="34" spans="2:18" x14ac:dyDescent="0.3">
      <c r="B34" s="1" t="s">
        <v>1013</v>
      </c>
      <c r="C34" s="1" t="s">
        <v>2911</v>
      </c>
      <c r="D34" s="1" t="s">
        <v>2912</v>
      </c>
      <c r="E34" s="302">
        <v>1723824.09</v>
      </c>
      <c r="F34" s="302">
        <v>0</v>
      </c>
      <c r="G34" s="1" t="s">
        <v>363</v>
      </c>
      <c r="H34" s="1" t="s">
        <v>2018</v>
      </c>
      <c r="J34" s="29"/>
      <c r="K34" s="303" t="s">
        <v>2080</v>
      </c>
      <c r="L34" s="303" t="s">
        <v>2080</v>
      </c>
      <c r="M34" s="303" t="s">
        <v>2206</v>
      </c>
      <c r="N34" s="303">
        <v>303357.96000000002</v>
      </c>
      <c r="O34" s="303">
        <v>0</v>
      </c>
      <c r="P34" s="303" t="s">
        <v>743</v>
      </c>
      <c r="Q34" s="303" t="s">
        <v>1513</v>
      </c>
      <c r="R34" s="303"/>
    </row>
    <row r="35" spans="2:18" x14ac:dyDescent="0.3">
      <c r="B35" s="1" t="s">
        <v>1013</v>
      </c>
      <c r="C35" s="1" t="s">
        <v>2894</v>
      </c>
      <c r="D35" s="1" t="s">
        <v>2910</v>
      </c>
      <c r="E35" s="302">
        <v>6614033.96</v>
      </c>
      <c r="F35" s="302">
        <v>0</v>
      </c>
      <c r="G35" s="1" t="s">
        <v>363</v>
      </c>
      <c r="H35" s="1" t="s">
        <v>2018</v>
      </c>
      <c r="J35" s="29"/>
      <c r="K35" s="303" t="s">
        <v>2066</v>
      </c>
      <c r="L35" s="303" t="s">
        <v>2066</v>
      </c>
      <c r="M35" s="303" t="s">
        <v>2209</v>
      </c>
      <c r="N35" s="303">
        <v>0</v>
      </c>
      <c r="O35" s="303">
        <v>18483692.120000001</v>
      </c>
      <c r="P35" s="303" t="s">
        <v>997</v>
      </c>
      <c r="Q35" s="303" t="s">
        <v>761</v>
      </c>
      <c r="R35" s="303"/>
    </row>
    <row r="36" spans="2:18" x14ac:dyDescent="0.3">
      <c r="B36" s="1" t="s">
        <v>1013</v>
      </c>
      <c r="C36" s="1" t="s">
        <v>2892</v>
      </c>
      <c r="D36" s="1" t="s">
        <v>2909</v>
      </c>
      <c r="E36" s="302">
        <v>0</v>
      </c>
      <c r="F36" s="302">
        <v>0</v>
      </c>
      <c r="G36" s="1" t="s">
        <v>363</v>
      </c>
      <c r="H36" s="1" t="s">
        <v>2018</v>
      </c>
      <c r="J36" s="29"/>
      <c r="K36" s="303" t="s">
        <v>953</v>
      </c>
      <c r="L36" s="303" t="s">
        <v>2064</v>
      </c>
      <c r="M36" s="2348" t="s">
        <v>2210</v>
      </c>
      <c r="N36" s="303">
        <v>-125301.34</v>
      </c>
      <c r="O36" s="303">
        <v>-277059.64</v>
      </c>
      <c r="P36" s="303" t="s">
        <v>508</v>
      </c>
      <c r="Q36" s="303" t="s">
        <v>1647</v>
      </c>
      <c r="R36" s="303"/>
    </row>
    <row r="37" spans="2:18" x14ac:dyDescent="0.3">
      <c r="B37" s="1" t="s">
        <v>1013</v>
      </c>
      <c r="C37" s="1" t="s">
        <v>2896</v>
      </c>
      <c r="D37" s="1" t="s">
        <v>2908</v>
      </c>
      <c r="E37" s="302">
        <v>0</v>
      </c>
      <c r="F37" s="302">
        <v>0</v>
      </c>
      <c r="G37" s="1" t="s">
        <v>363</v>
      </c>
      <c r="H37" s="1" t="s">
        <v>2018</v>
      </c>
      <c r="J37" s="29"/>
      <c r="K37" s="303" t="s">
        <v>2066</v>
      </c>
      <c r="L37" s="303" t="s">
        <v>2066</v>
      </c>
      <c r="M37" s="303" t="s">
        <v>2211</v>
      </c>
      <c r="N37" s="303">
        <v>0</v>
      </c>
      <c r="O37" s="303">
        <v>3444511.3</v>
      </c>
      <c r="P37" s="303" t="s">
        <v>997</v>
      </c>
      <c r="Q37" s="303" t="s">
        <v>761</v>
      </c>
      <c r="R37" s="303"/>
    </row>
    <row r="38" spans="2:18" x14ac:dyDescent="0.3">
      <c r="B38" s="1" t="s">
        <v>2045</v>
      </c>
      <c r="C38" s="1" t="s">
        <v>3740</v>
      </c>
      <c r="D38" s="1" t="s">
        <v>3106</v>
      </c>
      <c r="E38" s="533">
        <v>0</v>
      </c>
      <c r="F38" s="2552">
        <v>-72925</v>
      </c>
      <c r="G38" s="1" t="s">
        <v>508</v>
      </c>
      <c r="H38" s="1" t="s">
        <v>1303</v>
      </c>
      <c r="J38" s="29"/>
      <c r="K38" s="303" t="s">
        <v>2128</v>
      </c>
      <c r="L38" s="303" t="s">
        <v>2214</v>
      </c>
      <c r="M38" s="303" t="s">
        <v>2215</v>
      </c>
      <c r="N38" s="303">
        <v>8844.35</v>
      </c>
      <c r="O38" s="303">
        <v>8844.35</v>
      </c>
      <c r="P38" s="303" t="s">
        <v>363</v>
      </c>
      <c r="Q38" s="303"/>
      <c r="R38" s="303"/>
    </row>
    <row r="39" spans="2:18" x14ac:dyDescent="0.3">
      <c r="B39" s="1" t="s">
        <v>2045</v>
      </c>
      <c r="C39" s="1" t="s">
        <v>2920</v>
      </c>
      <c r="D39" s="1" t="s">
        <v>2960</v>
      </c>
      <c r="E39" s="302">
        <v>691936.21</v>
      </c>
      <c r="F39" s="1805">
        <v>691936.21</v>
      </c>
      <c r="G39" s="1" t="s">
        <v>508</v>
      </c>
      <c r="H39" s="1" t="s">
        <v>1303</v>
      </c>
      <c r="J39" s="29"/>
      <c r="K39" s="303" t="s">
        <v>1012</v>
      </c>
      <c r="L39" s="303" t="s">
        <v>2216</v>
      </c>
      <c r="M39" s="303" t="s">
        <v>2217</v>
      </c>
      <c r="N39" s="303">
        <v>0</v>
      </c>
      <c r="O39" s="303">
        <v>-690521.39</v>
      </c>
      <c r="P39" s="303" t="s">
        <v>799</v>
      </c>
      <c r="Q39" s="303" t="s">
        <v>1292</v>
      </c>
      <c r="R39" s="303"/>
    </row>
    <row r="40" spans="2:18" x14ac:dyDescent="0.3">
      <c r="B40" s="1" t="s">
        <v>2045</v>
      </c>
      <c r="C40" s="1" t="s">
        <v>2918</v>
      </c>
      <c r="D40" s="1" t="s">
        <v>2959</v>
      </c>
      <c r="E40" s="302">
        <v>171634.59</v>
      </c>
      <c r="F40" s="1805">
        <v>171634.59</v>
      </c>
      <c r="G40" s="1" t="s">
        <v>508</v>
      </c>
      <c r="H40" s="1" t="s">
        <v>1303</v>
      </c>
      <c r="J40" s="29"/>
      <c r="K40" s="303" t="s">
        <v>1012</v>
      </c>
      <c r="L40" s="303" t="s">
        <v>2218</v>
      </c>
      <c r="M40" s="303" t="s">
        <v>2219</v>
      </c>
      <c r="N40" s="303">
        <v>0</v>
      </c>
      <c r="O40" s="303">
        <v>-109946.8</v>
      </c>
      <c r="P40" s="303" t="s">
        <v>799</v>
      </c>
      <c r="Q40" s="303" t="s">
        <v>1292</v>
      </c>
      <c r="R40" s="303"/>
    </row>
    <row r="41" spans="2:18" x14ac:dyDescent="0.3">
      <c r="B41" s="1" t="s">
        <v>2045</v>
      </c>
      <c r="C41" s="1" t="s">
        <v>2916</v>
      </c>
      <c r="D41" s="1" t="s">
        <v>2958</v>
      </c>
      <c r="E41" s="302">
        <v>3.22</v>
      </c>
      <c r="F41" s="1805">
        <v>3.22</v>
      </c>
      <c r="G41" s="1" t="s">
        <v>508</v>
      </c>
      <c r="H41" s="1" t="s">
        <v>1303</v>
      </c>
      <c r="J41" s="29"/>
      <c r="K41" s="303" t="s">
        <v>953</v>
      </c>
      <c r="L41" s="303" t="s">
        <v>1012</v>
      </c>
      <c r="M41" s="2348" t="s">
        <v>2222</v>
      </c>
      <c r="N41" s="303">
        <v>-4227.04</v>
      </c>
      <c r="O41" s="303">
        <v>-4227.04</v>
      </c>
      <c r="P41" s="303" t="s">
        <v>799</v>
      </c>
      <c r="Q41" s="303" t="s">
        <v>1292</v>
      </c>
      <c r="R41" s="303"/>
    </row>
    <row r="42" spans="2:18" x14ac:dyDescent="0.3">
      <c r="B42" s="1" t="s">
        <v>2045</v>
      </c>
      <c r="C42" s="1" t="s">
        <v>3740</v>
      </c>
      <c r="D42" s="1" t="s">
        <v>3597</v>
      </c>
      <c r="E42" s="302">
        <v>0</v>
      </c>
      <c r="F42" s="1805">
        <v>-81710.7</v>
      </c>
      <c r="G42" s="1" t="s">
        <v>508</v>
      </c>
      <c r="H42" s="1" t="s">
        <v>1303</v>
      </c>
      <c r="J42" s="29"/>
      <c r="K42" s="303" t="s">
        <v>2066</v>
      </c>
      <c r="L42" s="303" t="s">
        <v>2066</v>
      </c>
      <c r="M42" s="303" t="s">
        <v>2223</v>
      </c>
      <c r="N42" s="303">
        <v>0</v>
      </c>
      <c r="O42" s="303">
        <v>418124</v>
      </c>
      <c r="P42" s="303" t="s">
        <v>763</v>
      </c>
      <c r="Q42" s="303" t="s">
        <v>2569</v>
      </c>
      <c r="R42" s="303"/>
    </row>
    <row r="43" spans="2:18" x14ac:dyDescent="0.3">
      <c r="B43" s="1" t="s">
        <v>2045</v>
      </c>
      <c r="C43" s="1" t="s">
        <v>2920</v>
      </c>
      <c r="D43" s="1" t="s">
        <v>2955</v>
      </c>
      <c r="E43" s="302">
        <v>-76866</v>
      </c>
      <c r="F43" s="1805">
        <v>-944</v>
      </c>
      <c r="G43" s="1" t="s">
        <v>508</v>
      </c>
      <c r="H43" s="1" t="s">
        <v>1303</v>
      </c>
      <c r="J43" s="29"/>
      <c r="K43" s="303" t="s">
        <v>2128</v>
      </c>
      <c r="L43" s="303" t="s">
        <v>2131</v>
      </c>
      <c r="M43" s="303" t="s">
        <v>2239</v>
      </c>
      <c r="N43" s="303">
        <v>539</v>
      </c>
      <c r="O43" s="303">
        <v>300</v>
      </c>
      <c r="P43" s="303" t="s">
        <v>1812</v>
      </c>
      <c r="Q43" s="303" t="s">
        <v>1887</v>
      </c>
      <c r="R43" s="303"/>
    </row>
    <row r="44" spans="2:18" ht="33" x14ac:dyDescent="0.3">
      <c r="B44" s="1" t="s">
        <v>2045</v>
      </c>
      <c r="C44" s="1" t="s">
        <v>2939</v>
      </c>
      <c r="D44" s="1" t="s">
        <v>2951</v>
      </c>
      <c r="E44" s="302">
        <v>0.5</v>
      </c>
      <c r="F44" s="1805">
        <v>0.5</v>
      </c>
      <c r="G44" s="1" t="s">
        <v>508</v>
      </c>
      <c r="H44" s="1" t="s">
        <v>1303</v>
      </c>
      <c r="J44" s="29"/>
      <c r="K44" s="303" t="s">
        <v>1013</v>
      </c>
      <c r="L44" s="303" t="s">
        <v>1013</v>
      </c>
      <c r="M44" s="2704" t="s">
        <v>3922</v>
      </c>
      <c r="N44" s="303">
        <v>37880</v>
      </c>
      <c r="O44" s="303">
        <v>35941</v>
      </c>
      <c r="P44" s="303" t="s">
        <v>747</v>
      </c>
      <c r="Q44" s="303"/>
      <c r="R44" s="303"/>
    </row>
    <row r="45" spans="2:18" x14ac:dyDescent="0.3">
      <c r="B45" s="1" t="s">
        <v>2045</v>
      </c>
      <c r="C45" s="1" t="s">
        <v>3740</v>
      </c>
      <c r="D45" s="1" t="s">
        <v>3109</v>
      </c>
      <c r="E45" s="302">
        <v>0</v>
      </c>
      <c r="F45" s="1805">
        <v>-3497.61</v>
      </c>
      <c r="G45" s="1" t="s">
        <v>508</v>
      </c>
      <c r="H45" s="1" t="s">
        <v>1303</v>
      </c>
      <c r="J45" s="29"/>
      <c r="K45" s="303" t="s">
        <v>2066</v>
      </c>
      <c r="L45" s="303" t="s">
        <v>2066</v>
      </c>
      <c r="M45" s="303" t="s">
        <v>2254</v>
      </c>
      <c r="N45" s="303">
        <v>0</v>
      </c>
      <c r="O45" s="303">
        <v>1939</v>
      </c>
      <c r="P45" s="303"/>
      <c r="Q45" s="303"/>
      <c r="R45" s="303"/>
    </row>
    <row r="46" spans="2:18" x14ac:dyDescent="0.3">
      <c r="B46" s="1" t="s">
        <v>2045</v>
      </c>
      <c r="C46" s="1" t="s">
        <v>2920</v>
      </c>
      <c r="D46" s="1" t="s">
        <v>2950</v>
      </c>
      <c r="E46" s="302">
        <v>-276945.56</v>
      </c>
      <c r="F46" s="1805">
        <v>21113.439999999999</v>
      </c>
      <c r="G46" s="1" t="s">
        <v>508</v>
      </c>
      <c r="H46" s="1" t="s">
        <v>1303</v>
      </c>
      <c r="J46" s="29"/>
      <c r="K46" s="303" t="s">
        <v>2128</v>
      </c>
      <c r="L46" s="303" t="s">
        <v>2257</v>
      </c>
      <c r="M46" s="303" t="s">
        <v>2258</v>
      </c>
      <c r="N46" s="303">
        <v>29445</v>
      </c>
      <c r="O46" s="303">
        <v>10848</v>
      </c>
      <c r="P46" s="303" t="s">
        <v>1812</v>
      </c>
      <c r="Q46" s="303" t="s">
        <v>1887</v>
      </c>
      <c r="R46" s="303"/>
    </row>
    <row r="47" spans="2:18" x14ac:dyDescent="0.3">
      <c r="B47" s="29" t="s">
        <v>2045</v>
      </c>
      <c r="C47" s="29" t="s">
        <v>2918</v>
      </c>
      <c r="D47" s="29" t="s">
        <v>2949</v>
      </c>
      <c r="E47" s="303">
        <v>212</v>
      </c>
      <c r="F47" s="1807">
        <v>212</v>
      </c>
      <c r="G47" s="29" t="s">
        <v>508</v>
      </c>
      <c r="H47" s="29" t="s">
        <v>1303</v>
      </c>
      <c r="I47" s="29"/>
      <c r="J47" s="29"/>
      <c r="K47" s="303" t="s">
        <v>2128</v>
      </c>
      <c r="L47" s="303" t="s">
        <v>2131</v>
      </c>
      <c r="M47" s="303" t="s">
        <v>2259</v>
      </c>
      <c r="N47" s="303">
        <v>608</v>
      </c>
      <c r="O47" s="303">
        <v>334</v>
      </c>
      <c r="P47" s="303" t="s">
        <v>1812</v>
      </c>
      <c r="Q47" s="303" t="s">
        <v>1887</v>
      </c>
      <c r="R47" s="303"/>
    </row>
    <row r="48" spans="2:18" x14ac:dyDescent="0.3">
      <c r="B48" s="29" t="s">
        <v>2045</v>
      </c>
      <c r="C48" s="29" t="s">
        <v>2916</v>
      </c>
      <c r="D48" s="29" t="s">
        <v>2948</v>
      </c>
      <c r="E48" s="303">
        <v>-11569</v>
      </c>
      <c r="F48" s="1807">
        <v>-11569</v>
      </c>
      <c r="G48" s="29" t="s">
        <v>508</v>
      </c>
      <c r="H48" s="29" t="s">
        <v>1303</v>
      </c>
      <c r="I48" s="29"/>
      <c r="J48" s="29"/>
      <c r="K48" s="303" t="s">
        <v>2128</v>
      </c>
      <c r="L48" s="303" t="s">
        <v>2129</v>
      </c>
      <c r="M48" s="303" t="s">
        <v>2260</v>
      </c>
      <c r="N48" s="303">
        <v>15000</v>
      </c>
      <c r="O48" s="303">
        <v>15000</v>
      </c>
      <c r="P48" s="303" t="s">
        <v>1812</v>
      </c>
      <c r="Q48" s="303" t="s">
        <v>1887</v>
      </c>
      <c r="R48" s="303"/>
    </row>
    <row r="49" spans="2:18" x14ac:dyDescent="0.3">
      <c r="B49" s="1" t="s">
        <v>2045</v>
      </c>
      <c r="C49" s="1" t="s">
        <v>2934</v>
      </c>
      <c r="D49" s="1" t="s">
        <v>2947</v>
      </c>
      <c r="E49" s="302">
        <v>158.5</v>
      </c>
      <c r="F49" s="1805">
        <v>158.5</v>
      </c>
      <c r="G49" s="1" t="s">
        <v>508</v>
      </c>
      <c r="H49" s="1" t="s">
        <v>1303</v>
      </c>
      <c r="J49" s="29"/>
      <c r="K49" s="303" t="s">
        <v>2261</v>
      </c>
      <c r="L49" s="303" t="s">
        <v>2261</v>
      </c>
      <c r="M49" s="303" t="s">
        <v>2262</v>
      </c>
      <c r="N49" s="303">
        <v>1064000</v>
      </c>
      <c r="O49" s="303">
        <v>1064000</v>
      </c>
      <c r="P49" s="303" t="s">
        <v>1643</v>
      </c>
      <c r="Q49" s="303" t="s">
        <v>1466</v>
      </c>
      <c r="R49" s="303"/>
    </row>
    <row r="50" spans="2:18" x14ac:dyDescent="0.3">
      <c r="B50" s="1" t="s">
        <v>2045</v>
      </c>
      <c r="C50" s="1" t="s">
        <v>2939</v>
      </c>
      <c r="D50" s="1" t="s">
        <v>2946</v>
      </c>
      <c r="E50" s="302">
        <v>4423.93</v>
      </c>
      <c r="F50" s="1805">
        <v>4423.93</v>
      </c>
      <c r="G50" s="1" t="s">
        <v>508</v>
      </c>
      <c r="H50" s="1" t="s">
        <v>1303</v>
      </c>
      <c r="J50" s="29"/>
      <c r="K50" s="303" t="s">
        <v>2261</v>
      </c>
      <c r="L50" s="303" t="s">
        <v>2261</v>
      </c>
      <c r="M50" s="303" t="s">
        <v>2263</v>
      </c>
      <c r="N50" s="303">
        <v>600000</v>
      </c>
      <c r="O50" s="303">
        <v>600000</v>
      </c>
      <c r="P50" s="303" t="s">
        <v>1643</v>
      </c>
      <c r="Q50" s="303" t="s">
        <v>1466</v>
      </c>
      <c r="R50" s="303"/>
    </row>
    <row r="51" spans="2:18" x14ac:dyDescent="0.3">
      <c r="B51" s="1" t="s">
        <v>2045</v>
      </c>
      <c r="C51" s="1" t="s">
        <v>2939</v>
      </c>
      <c r="D51" s="1" t="s">
        <v>2945</v>
      </c>
      <c r="E51" s="302">
        <v>1909</v>
      </c>
      <c r="F51" s="1805">
        <v>1909</v>
      </c>
      <c r="G51" s="1" t="s">
        <v>508</v>
      </c>
      <c r="H51" s="1" t="s">
        <v>1303</v>
      </c>
      <c r="J51" s="29"/>
      <c r="K51" s="303" t="s">
        <v>2066</v>
      </c>
      <c r="L51" s="303" t="s">
        <v>2066</v>
      </c>
      <c r="M51" s="303" t="s">
        <v>2264</v>
      </c>
      <c r="N51" s="303">
        <v>0</v>
      </c>
      <c r="O51" s="303">
        <v>50772</v>
      </c>
      <c r="P51" s="303" t="s">
        <v>1812</v>
      </c>
      <c r="Q51" s="303" t="s">
        <v>1887</v>
      </c>
      <c r="R51" s="303"/>
    </row>
    <row r="52" spans="2:18" x14ac:dyDescent="0.3">
      <c r="B52" s="1" t="s">
        <v>2045</v>
      </c>
      <c r="C52" s="1" t="s">
        <v>3740</v>
      </c>
      <c r="D52" s="1" t="s">
        <v>3104</v>
      </c>
      <c r="E52" s="302">
        <v>0</v>
      </c>
      <c r="F52" s="1805">
        <v>-0.15</v>
      </c>
      <c r="G52" s="1" t="s">
        <v>508</v>
      </c>
      <c r="H52" s="1" t="s">
        <v>1303</v>
      </c>
      <c r="J52" s="29"/>
      <c r="K52" s="303" t="s">
        <v>1012</v>
      </c>
      <c r="L52" s="303" t="s">
        <v>1012</v>
      </c>
      <c r="M52" s="303" t="s">
        <v>2265</v>
      </c>
      <c r="N52" s="303">
        <v>0</v>
      </c>
      <c r="O52" s="303">
        <v>-10856</v>
      </c>
      <c r="P52" s="303" t="s">
        <v>799</v>
      </c>
      <c r="Q52" s="303" t="s">
        <v>1292</v>
      </c>
      <c r="R52" s="303"/>
    </row>
    <row r="53" spans="2:18" x14ac:dyDescent="0.3">
      <c r="B53" s="1" t="s">
        <v>2045</v>
      </c>
      <c r="C53" s="1" t="s">
        <v>3740</v>
      </c>
      <c r="D53" s="1" t="s">
        <v>3103</v>
      </c>
      <c r="E53" s="302">
        <v>0</v>
      </c>
      <c r="F53" s="1805">
        <v>-26237.97</v>
      </c>
      <c r="G53" s="1" t="s">
        <v>508</v>
      </c>
      <c r="H53" s="1" t="s">
        <v>1303</v>
      </c>
      <c r="J53" s="29"/>
      <c r="K53" s="303" t="s">
        <v>1960</v>
      </c>
      <c r="L53" s="303" t="s">
        <v>1960</v>
      </c>
      <c r="M53" s="303" t="s">
        <v>2291</v>
      </c>
      <c r="N53" s="303">
        <v>-15000000</v>
      </c>
      <c r="O53" s="303">
        <v>-15000000</v>
      </c>
      <c r="P53" s="303"/>
      <c r="Q53" s="303"/>
      <c r="R53" s="303"/>
    </row>
    <row r="54" spans="2:18" x14ac:dyDescent="0.3">
      <c r="B54" s="1" t="s">
        <v>2045</v>
      </c>
      <c r="C54" s="1" t="s">
        <v>2920</v>
      </c>
      <c r="D54" s="1" t="s">
        <v>2921</v>
      </c>
      <c r="E54" s="302">
        <v>-3549</v>
      </c>
      <c r="F54" s="302">
        <v>0</v>
      </c>
      <c r="G54" s="1" t="s">
        <v>508</v>
      </c>
      <c r="H54" s="1" t="s">
        <v>1303</v>
      </c>
      <c r="J54" s="29"/>
      <c r="K54" s="1807" t="s">
        <v>953</v>
      </c>
      <c r="L54" s="1807" t="s">
        <v>953</v>
      </c>
      <c r="M54" s="1807" t="s">
        <v>2293</v>
      </c>
      <c r="N54" s="1807">
        <v>-6422930</v>
      </c>
      <c r="O54" s="1807">
        <v>-4765580</v>
      </c>
      <c r="P54" s="1807" t="s">
        <v>508</v>
      </c>
      <c r="Q54" s="1807" t="s">
        <v>1303</v>
      </c>
      <c r="R54" s="303"/>
    </row>
    <row r="55" spans="2:18" x14ac:dyDescent="0.3">
      <c r="B55" s="1" t="s">
        <v>2045</v>
      </c>
      <c r="C55" s="1" t="s">
        <v>3740</v>
      </c>
      <c r="D55" s="1" t="s">
        <v>3102</v>
      </c>
      <c r="E55" s="302">
        <v>0</v>
      </c>
      <c r="F55" s="1805">
        <v>-3742.84</v>
      </c>
      <c r="G55" s="1" t="s">
        <v>508</v>
      </c>
      <c r="H55" s="1" t="s">
        <v>1303</v>
      </c>
      <c r="J55" s="29"/>
      <c r="K55" s="1807" t="s">
        <v>2080</v>
      </c>
      <c r="L55" s="1807" t="s">
        <v>2273</v>
      </c>
      <c r="M55" s="1807" t="s">
        <v>2294</v>
      </c>
      <c r="N55" s="1807">
        <v>-4265099.8600000003</v>
      </c>
      <c r="O55" s="1807">
        <v>-6947999.1699999999</v>
      </c>
      <c r="P55" s="1807" t="s">
        <v>743</v>
      </c>
      <c r="Q55" s="1807" t="s">
        <v>1513</v>
      </c>
      <c r="R55" s="1807"/>
    </row>
    <row r="56" spans="2:18" x14ac:dyDescent="0.3">
      <c r="B56" s="1" t="s">
        <v>2045</v>
      </c>
      <c r="C56" s="1" t="s">
        <v>2920</v>
      </c>
      <c r="D56" s="1" t="s">
        <v>2944</v>
      </c>
      <c r="E56" s="302">
        <v>-2642</v>
      </c>
      <c r="F56" s="1805">
        <v>-1098</v>
      </c>
      <c r="G56" s="1" t="s">
        <v>508</v>
      </c>
      <c r="H56" s="1" t="s">
        <v>1303</v>
      </c>
      <c r="J56" s="29"/>
      <c r="K56" s="303" t="s">
        <v>1012</v>
      </c>
      <c r="L56" s="303" t="s">
        <v>1012</v>
      </c>
      <c r="M56" s="303" t="s">
        <v>2295</v>
      </c>
      <c r="N56" s="303">
        <v>-64749.24</v>
      </c>
      <c r="O56" s="303">
        <v>-72883.039999999994</v>
      </c>
      <c r="P56" s="303" t="s">
        <v>799</v>
      </c>
      <c r="Q56" s="303" t="s">
        <v>1292</v>
      </c>
      <c r="R56" s="303"/>
    </row>
    <row r="57" spans="2:18" x14ac:dyDescent="0.3">
      <c r="B57" s="1" t="s">
        <v>2045</v>
      </c>
      <c r="C57" s="1" t="s">
        <v>2934</v>
      </c>
      <c r="D57" s="1" t="s">
        <v>2941</v>
      </c>
      <c r="E57" s="302">
        <v>7.0000000000000007E-2</v>
      </c>
      <c r="F57" s="1805">
        <v>7.0000000000000007E-2</v>
      </c>
      <c r="G57" s="1" t="s">
        <v>508</v>
      </c>
      <c r="H57" s="1" t="s">
        <v>1303</v>
      </c>
      <c r="J57" s="29"/>
      <c r="K57" s="303" t="s">
        <v>2298</v>
      </c>
      <c r="L57" s="303" t="s">
        <v>2300</v>
      </c>
      <c r="M57" s="2348" t="s">
        <v>2301</v>
      </c>
      <c r="N57" s="303">
        <v>0</v>
      </c>
      <c r="O57" s="303">
        <v>-16148163.1</v>
      </c>
      <c r="P57" s="303" t="s">
        <v>748</v>
      </c>
      <c r="Q57" s="303" t="s">
        <v>1003</v>
      </c>
      <c r="R57" s="303"/>
    </row>
    <row r="58" spans="2:18" x14ac:dyDescent="0.3">
      <c r="B58" s="1" t="s">
        <v>2045</v>
      </c>
      <c r="C58" s="1" t="s">
        <v>2939</v>
      </c>
      <c r="D58" s="1" t="s">
        <v>2940</v>
      </c>
      <c r="E58" s="302">
        <v>-423.62</v>
      </c>
      <c r="F58" s="1805">
        <v>-423.62</v>
      </c>
      <c r="G58" s="1" t="s">
        <v>508</v>
      </c>
      <c r="H58" s="1" t="s">
        <v>1303</v>
      </c>
      <c r="J58" s="29"/>
      <c r="K58" s="303" t="s">
        <v>2298</v>
      </c>
      <c r="L58" s="303" t="s">
        <v>2302</v>
      </c>
      <c r="M58" s="2348" t="s">
        <v>2303</v>
      </c>
      <c r="N58" s="303">
        <v>0</v>
      </c>
      <c r="O58" s="303">
        <v>-6885080.8799999999</v>
      </c>
      <c r="P58" s="303" t="s">
        <v>748</v>
      </c>
      <c r="Q58" s="303" t="s">
        <v>749</v>
      </c>
      <c r="R58" s="303"/>
    </row>
    <row r="59" spans="2:18" x14ac:dyDescent="0.3">
      <c r="B59" s="1" t="s">
        <v>1013</v>
      </c>
      <c r="C59" s="1" t="s">
        <v>2894</v>
      </c>
      <c r="D59" s="1" t="s">
        <v>2915</v>
      </c>
      <c r="E59" s="302">
        <v>179937</v>
      </c>
      <c r="F59" s="302">
        <v>0</v>
      </c>
      <c r="G59" s="1" t="s">
        <v>363</v>
      </c>
      <c r="H59" s="1" t="s">
        <v>2018</v>
      </c>
      <c r="J59" s="29"/>
      <c r="K59" s="303" t="s">
        <v>2298</v>
      </c>
      <c r="L59" s="303" t="s">
        <v>2300</v>
      </c>
      <c r="M59" s="2348" t="s">
        <v>2304</v>
      </c>
      <c r="N59" s="303">
        <v>0</v>
      </c>
      <c r="O59" s="303">
        <v>-15844868.300000001</v>
      </c>
      <c r="P59" s="303" t="s">
        <v>748</v>
      </c>
      <c r="Q59" s="303" t="s">
        <v>1003</v>
      </c>
      <c r="R59" s="303"/>
    </row>
    <row r="60" spans="2:18" x14ac:dyDescent="0.3">
      <c r="B60" s="1" t="s">
        <v>1013</v>
      </c>
      <c r="C60" s="1" t="s">
        <v>2892</v>
      </c>
      <c r="D60" s="1" t="s">
        <v>2914</v>
      </c>
      <c r="E60" s="302">
        <v>0</v>
      </c>
      <c r="F60" s="302">
        <v>0</v>
      </c>
      <c r="G60" s="1" t="s">
        <v>363</v>
      </c>
      <c r="H60" s="1" t="s">
        <v>2018</v>
      </c>
      <c r="J60" s="29"/>
      <c r="K60" s="303" t="s">
        <v>2298</v>
      </c>
      <c r="L60" s="303" t="s">
        <v>2302</v>
      </c>
      <c r="M60" s="2348" t="s">
        <v>2305</v>
      </c>
      <c r="N60" s="303">
        <v>0</v>
      </c>
      <c r="O60" s="303">
        <v>-8524291.5199999996</v>
      </c>
      <c r="P60" s="303" t="s">
        <v>748</v>
      </c>
      <c r="Q60" s="303" t="s">
        <v>749</v>
      </c>
      <c r="R60" s="303"/>
    </row>
    <row r="61" spans="2:18" x14ac:dyDescent="0.3">
      <c r="B61" s="1" t="s">
        <v>1013</v>
      </c>
      <c r="C61" s="1" t="s">
        <v>2896</v>
      </c>
      <c r="D61" s="1" t="s">
        <v>2913</v>
      </c>
      <c r="E61" s="302">
        <v>0</v>
      </c>
      <c r="F61" s="302">
        <v>0</v>
      </c>
      <c r="G61" s="1" t="s">
        <v>363</v>
      </c>
      <c r="H61" s="1" t="s">
        <v>2018</v>
      </c>
      <c r="J61" s="29"/>
      <c r="K61" s="303" t="s">
        <v>2298</v>
      </c>
      <c r="L61" s="303" t="s">
        <v>2302</v>
      </c>
      <c r="M61" s="2348" t="s">
        <v>2306</v>
      </c>
      <c r="N61" s="303">
        <v>0</v>
      </c>
      <c r="O61" s="303">
        <v>-289463.55</v>
      </c>
      <c r="P61" s="303" t="s">
        <v>748</v>
      </c>
      <c r="Q61" s="303" t="s">
        <v>1004</v>
      </c>
      <c r="R61" s="303"/>
    </row>
    <row r="62" spans="2:18" x14ac:dyDescent="0.3">
      <c r="B62" s="1" t="s">
        <v>2066</v>
      </c>
      <c r="C62" s="1" t="s">
        <v>2066</v>
      </c>
      <c r="D62" s="1" t="s">
        <v>2906</v>
      </c>
      <c r="E62" s="302">
        <v>0</v>
      </c>
      <c r="F62" s="1805">
        <v>3101</v>
      </c>
      <c r="G62" s="1" t="s">
        <v>763</v>
      </c>
      <c r="H62" s="1" t="s">
        <v>235</v>
      </c>
      <c r="J62" s="29"/>
      <c r="K62" s="303" t="s">
        <v>2066</v>
      </c>
      <c r="L62" s="303" t="s">
        <v>2066</v>
      </c>
      <c r="M62" s="303" t="s">
        <v>2310</v>
      </c>
      <c r="N62" s="303">
        <v>0</v>
      </c>
      <c r="O62" s="303">
        <f>29293.91</f>
        <v>29293.91</v>
      </c>
      <c r="P62" s="303" t="s">
        <v>763</v>
      </c>
      <c r="Q62" s="303" t="s">
        <v>3517</v>
      </c>
      <c r="R62" s="303"/>
    </row>
    <row r="63" spans="2:18" x14ac:dyDescent="0.3">
      <c r="B63" s="1" t="s">
        <v>1013</v>
      </c>
      <c r="C63" s="1" t="s">
        <v>2894</v>
      </c>
      <c r="D63" s="1" t="s">
        <v>2905</v>
      </c>
      <c r="E63" s="302">
        <v>7548.13</v>
      </c>
      <c r="F63" s="302">
        <v>0</v>
      </c>
      <c r="G63" s="1" t="s">
        <v>363</v>
      </c>
      <c r="H63" s="1" t="s">
        <v>2018</v>
      </c>
      <c r="J63" s="29"/>
      <c r="K63" s="303" t="s">
        <v>100</v>
      </c>
      <c r="L63" s="303" t="s">
        <v>100</v>
      </c>
      <c r="M63" s="303" t="s">
        <v>2312</v>
      </c>
      <c r="N63" s="303">
        <v>61590000</v>
      </c>
      <c r="O63" s="303">
        <v>93458728</v>
      </c>
      <c r="P63" s="303" t="s">
        <v>1520</v>
      </c>
      <c r="Q63" s="303" t="s">
        <v>1523</v>
      </c>
      <c r="R63" s="303"/>
    </row>
    <row r="64" spans="2:18" x14ac:dyDescent="0.3">
      <c r="B64" s="1" t="s">
        <v>1013</v>
      </c>
      <c r="C64" s="1" t="s">
        <v>2892</v>
      </c>
      <c r="D64" s="1" t="s">
        <v>2904</v>
      </c>
      <c r="E64" s="302">
        <v>0</v>
      </c>
      <c r="F64" s="302">
        <v>0</v>
      </c>
      <c r="G64" s="1" t="s">
        <v>363</v>
      </c>
      <c r="H64" s="1" t="s">
        <v>2018</v>
      </c>
      <c r="J64" s="29"/>
      <c r="K64" s="303" t="s">
        <v>2080</v>
      </c>
      <c r="L64" s="303" t="s">
        <v>2080</v>
      </c>
      <c r="M64" s="303" t="s">
        <v>2316</v>
      </c>
      <c r="N64" s="303">
        <v>-85258.559999999998</v>
      </c>
      <c r="O64" s="303">
        <v>0</v>
      </c>
      <c r="P64" s="303" t="s">
        <v>743</v>
      </c>
      <c r="Q64" s="303" t="s">
        <v>1513</v>
      </c>
      <c r="R64" s="303"/>
    </row>
    <row r="65" spans="2:18" x14ac:dyDescent="0.3">
      <c r="B65" s="1" t="s">
        <v>2045</v>
      </c>
      <c r="C65" s="1" t="s">
        <v>2920</v>
      </c>
      <c r="D65" s="1" t="s">
        <v>2938</v>
      </c>
      <c r="E65" s="302">
        <v>-1163483</v>
      </c>
      <c r="F65" s="1805">
        <v>149494</v>
      </c>
      <c r="G65" s="1" t="s">
        <v>508</v>
      </c>
      <c r="H65" s="1" t="s">
        <v>1303</v>
      </c>
      <c r="J65" s="29"/>
      <c r="K65" s="303" t="s">
        <v>1012</v>
      </c>
      <c r="L65" s="303" t="s">
        <v>1012</v>
      </c>
      <c r="M65" s="303" t="s">
        <v>2317</v>
      </c>
      <c r="N65" s="303">
        <v>0</v>
      </c>
      <c r="O65" s="303">
        <v>0.1</v>
      </c>
      <c r="P65" s="303" t="s">
        <v>363</v>
      </c>
      <c r="Q65" s="303" t="s">
        <v>2023</v>
      </c>
      <c r="R65" s="303"/>
    </row>
    <row r="66" spans="2:18" x14ac:dyDescent="0.3">
      <c r="B66" s="1" t="s">
        <v>2045</v>
      </c>
      <c r="C66" s="1" t="s">
        <v>2918</v>
      </c>
      <c r="D66" s="1" t="s">
        <v>2937</v>
      </c>
      <c r="E66" s="302">
        <v>0</v>
      </c>
      <c r="F66" s="302">
        <v>0</v>
      </c>
      <c r="G66" s="1" t="s">
        <v>508</v>
      </c>
      <c r="H66" s="1" t="s">
        <v>1303</v>
      </c>
      <c r="J66" s="29"/>
      <c r="K66" s="303" t="s">
        <v>2128</v>
      </c>
      <c r="L66" s="303" t="s">
        <v>2214</v>
      </c>
      <c r="M66" s="303" t="s">
        <v>2321</v>
      </c>
      <c r="N66" s="303">
        <v>2129.59</v>
      </c>
      <c r="O66" s="303">
        <v>0</v>
      </c>
      <c r="P66" s="303" t="s">
        <v>363</v>
      </c>
      <c r="Q66" s="303" t="s">
        <v>2015</v>
      </c>
      <c r="R66" s="303"/>
    </row>
    <row r="67" spans="2:18" x14ac:dyDescent="0.3">
      <c r="B67" s="1" t="s">
        <v>2045</v>
      </c>
      <c r="C67" s="1" t="s">
        <v>2889</v>
      </c>
      <c r="D67" s="1" t="s">
        <v>2899</v>
      </c>
      <c r="E67" s="302">
        <v>90</v>
      </c>
      <c r="F67" s="302">
        <v>0</v>
      </c>
      <c r="G67" s="1" t="s">
        <v>508</v>
      </c>
      <c r="H67" s="1" t="s">
        <v>1303</v>
      </c>
      <c r="J67" s="29"/>
      <c r="K67" s="303" t="s">
        <v>2066</v>
      </c>
      <c r="L67" s="303" t="s">
        <v>2066</v>
      </c>
      <c r="M67" s="303" t="s">
        <v>2322</v>
      </c>
      <c r="N67" s="303">
        <v>0</v>
      </c>
      <c r="O67" s="303">
        <v>4754079.5199999996</v>
      </c>
      <c r="P67" s="303" t="s">
        <v>763</v>
      </c>
      <c r="Q67" s="303" t="s">
        <v>2322</v>
      </c>
      <c r="R67" s="303"/>
    </row>
    <row r="68" spans="2:18" x14ac:dyDescent="0.3">
      <c r="B68" s="1" t="s">
        <v>2045</v>
      </c>
      <c r="C68" s="1" t="s">
        <v>2885</v>
      </c>
      <c r="D68" s="1" t="s">
        <v>2898</v>
      </c>
      <c r="E68" s="302">
        <v>-5152</v>
      </c>
      <c r="F68" s="302">
        <v>0</v>
      </c>
      <c r="G68" s="1" t="s">
        <v>508</v>
      </c>
      <c r="H68" s="1" t="s">
        <v>1303</v>
      </c>
      <c r="J68" s="29"/>
      <c r="K68" s="303" t="s">
        <v>2323</v>
      </c>
      <c r="L68" s="303" t="s">
        <v>2323</v>
      </c>
      <c r="M68" s="303" t="s">
        <v>2324</v>
      </c>
      <c r="N68" s="303">
        <v>0</v>
      </c>
      <c r="O68" s="303">
        <v>28804.48</v>
      </c>
      <c r="P68" s="303" t="s">
        <v>763</v>
      </c>
      <c r="Q68" s="303" t="s">
        <v>795</v>
      </c>
      <c r="R68" s="303"/>
    </row>
    <row r="69" spans="2:18" x14ac:dyDescent="0.3">
      <c r="B69" s="1" t="s">
        <v>1013</v>
      </c>
      <c r="C69" s="1" t="s">
        <v>2896</v>
      </c>
      <c r="D69" s="1" t="s">
        <v>2897</v>
      </c>
      <c r="E69" s="302">
        <v>0</v>
      </c>
      <c r="F69" s="302">
        <v>0</v>
      </c>
      <c r="G69" s="1" t="s">
        <v>363</v>
      </c>
      <c r="H69" s="1" t="s">
        <v>2018</v>
      </c>
      <c r="J69" s="29"/>
      <c r="K69" s="303" t="s">
        <v>2323</v>
      </c>
      <c r="L69" s="303" t="s">
        <v>2323</v>
      </c>
      <c r="M69" s="303" t="s">
        <v>2325</v>
      </c>
      <c r="N69" s="303">
        <v>0</v>
      </c>
      <c r="O69" s="303">
        <v>47243.96</v>
      </c>
      <c r="P69" s="303" t="s">
        <v>763</v>
      </c>
      <c r="Q69" s="303" t="s">
        <v>795</v>
      </c>
      <c r="R69" s="303"/>
    </row>
    <row r="70" spans="2:18" x14ac:dyDescent="0.3">
      <c r="B70" s="1" t="s">
        <v>1013</v>
      </c>
      <c r="C70" s="1" t="s">
        <v>2892</v>
      </c>
      <c r="D70" s="1" t="s">
        <v>2893</v>
      </c>
      <c r="E70" s="302">
        <v>0</v>
      </c>
      <c r="F70" s="302">
        <v>0</v>
      </c>
      <c r="G70" s="1" t="s">
        <v>363</v>
      </c>
      <c r="H70" s="1" t="s">
        <v>2018</v>
      </c>
      <c r="J70" s="29"/>
      <c r="K70" s="303" t="s">
        <v>2080</v>
      </c>
      <c r="L70" s="303" t="s">
        <v>2080</v>
      </c>
      <c r="M70" s="303" t="s">
        <v>2334</v>
      </c>
      <c r="N70" s="303">
        <v>2633479.64</v>
      </c>
      <c r="O70" s="303">
        <v>1871535</v>
      </c>
      <c r="P70" s="303" t="s">
        <v>743</v>
      </c>
      <c r="Q70" s="303" t="s">
        <v>1513</v>
      </c>
      <c r="R70" s="303"/>
    </row>
    <row r="71" spans="2:18" x14ac:dyDescent="0.3">
      <c r="B71" s="1" t="s">
        <v>2045</v>
      </c>
      <c r="C71" s="1" t="s">
        <v>2889</v>
      </c>
      <c r="D71" s="1" t="s">
        <v>2890</v>
      </c>
      <c r="E71" s="302">
        <v>0</v>
      </c>
      <c r="F71" s="302">
        <v>0</v>
      </c>
      <c r="G71" s="1" t="s">
        <v>508</v>
      </c>
      <c r="H71" s="1" t="s">
        <v>1303</v>
      </c>
      <c r="J71" s="29"/>
      <c r="K71" s="303" t="s">
        <v>2066</v>
      </c>
      <c r="L71" s="303" t="s">
        <v>2066</v>
      </c>
      <c r="M71" s="303" t="s">
        <v>2337</v>
      </c>
      <c r="N71" s="303">
        <v>0</v>
      </c>
      <c r="O71" s="303">
        <v>5356.67</v>
      </c>
      <c r="P71" s="303" t="s">
        <v>763</v>
      </c>
      <c r="Q71" s="303" t="s">
        <v>235</v>
      </c>
      <c r="R71" s="303"/>
    </row>
    <row r="72" spans="2:18" x14ac:dyDescent="0.3">
      <c r="B72" s="1" t="s">
        <v>2045</v>
      </c>
      <c r="C72" s="1" t="s">
        <v>2885</v>
      </c>
      <c r="D72" s="1" t="s">
        <v>2887</v>
      </c>
      <c r="E72" s="302">
        <v>130.33000000000001</v>
      </c>
      <c r="F72" s="302">
        <v>0</v>
      </c>
      <c r="G72" s="1" t="s">
        <v>508</v>
      </c>
      <c r="H72" s="1" t="s">
        <v>1513</v>
      </c>
      <c r="J72" s="29"/>
      <c r="K72" s="303" t="s">
        <v>2045</v>
      </c>
      <c r="L72" s="303" t="s">
        <v>2341</v>
      </c>
      <c r="M72" s="303" t="s">
        <v>2343</v>
      </c>
      <c r="N72" s="303">
        <v>8481847.0399999991</v>
      </c>
      <c r="O72" s="303">
        <v>0</v>
      </c>
      <c r="P72" s="303" t="s">
        <v>363</v>
      </c>
      <c r="Q72" s="303" t="s">
        <v>2018</v>
      </c>
      <c r="R72" s="303"/>
    </row>
    <row r="73" spans="2:18" x14ac:dyDescent="0.3">
      <c r="B73" s="1" t="s">
        <v>1012</v>
      </c>
      <c r="C73" s="1" t="s">
        <v>1012</v>
      </c>
      <c r="D73" s="1" t="s">
        <v>3939</v>
      </c>
      <c r="E73" s="302">
        <v>0</v>
      </c>
      <c r="F73" s="1805">
        <v>-117</v>
      </c>
      <c r="G73" s="1" t="s">
        <v>799</v>
      </c>
      <c r="H73" s="1" t="s">
        <v>1292</v>
      </c>
      <c r="J73" s="29"/>
      <c r="K73" s="303" t="s">
        <v>2045</v>
      </c>
      <c r="L73" s="303" t="s">
        <v>2187</v>
      </c>
      <c r="M73" s="303" t="s">
        <v>2344</v>
      </c>
      <c r="N73" s="303">
        <v>0</v>
      </c>
      <c r="O73" s="303">
        <v>11398</v>
      </c>
      <c r="P73" s="303" t="s">
        <v>363</v>
      </c>
      <c r="Q73" s="303" t="s">
        <v>2018</v>
      </c>
      <c r="R73" s="303"/>
    </row>
    <row r="74" spans="2:18" x14ac:dyDescent="0.3">
      <c r="B74" s="1" t="s">
        <v>953</v>
      </c>
      <c r="C74" s="1" t="s">
        <v>2112</v>
      </c>
      <c r="D74" s="1" t="s">
        <v>2832</v>
      </c>
      <c r="E74" s="302">
        <v>-9804</v>
      </c>
      <c r="F74" s="302">
        <v>0</v>
      </c>
      <c r="G74" s="1" t="s">
        <v>508</v>
      </c>
      <c r="H74" s="1" t="s">
        <v>1303</v>
      </c>
      <c r="J74" s="29"/>
      <c r="K74" s="303" t="s">
        <v>2045</v>
      </c>
      <c r="L74" s="303" t="s">
        <v>2058</v>
      </c>
      <c r="M74" s="2348" t="s">
        <v>2346</v>
      </c>
      <c r="N74" s="303">
        <v>13005.56</v>
      </c>
      <c r="O74" s="303">
        <v>0</v>
      </c>
      <c r="P74" s="303" t="s">
        <v>363</v>
      </c>
      <c r="Q74" s="303" t="s">
        <v>2018</v>
      </c>
      <c r="R74" s="303"/>
    </row>
    <row r="75" spans="2:18" x14ac:dyDescent="0.3">
      <c r="B75" s="1" t="s">
        <v>2066</v>
      </c>
      <c r="C75" s="1" t="s">
        <v>2066</v>
      </c>
      <c r="D75" s="1" t="s">
        <v>2881</v>
      </c>
      <c r="E75" s="302">
        <v>0</v>
      </c>
      <c r="F75" s="1805">
        <v>2500</v>
      </c>
      <c r="G75" s="1" t="s">
        <v>763</v>
      </c>
      <c r="H75" s="1" t="s">
        <v>2172</v>
      </c>
      <c r="J75" s="29"/>
      <c r="K75" s="303" t="s">
        <v>2080</v>
      </c>
      <c r="L75" s="303" t="s">
        <v>2080</v>
      </c>
      <c r="M75" s="303" t="s">
        <v>2358</v>
      </c>
      <c r="N75" s="303">
        <v>26002.5</v>
      </c>
      <c r="O75" s="303">
        <v>27840</v>
      </c>
      <c r="P75" s="303" t="s">
        <v>743</v>
      </c>
      <c r="Q75" s="303" t="s">
        <v>1513</v>
      </c>
      <c r="R75" s="303"/>
    </row>
    <row r="76" spans="2:18" x14ac:dyDescent="0.3">
      <c r="B76" s="1" t="s">
        <v>1012</v>
      </c>
      <c r="C76" s="1" t="s">
        <v>1012</v>
      </c>
      <c r="D76" s="1" t="s">
        <v>3937</v>
      </c>
      <c r="E76" s="302">
        <v>0</v>
      </c>
      <c r="F76" s="1805">
        <v>0</v>
      </c>
      <c r="G76" s="1" t="s">
        <v>799</v>
      </c>
      <c r="H76" s="1" t="s">
        <v>1292</v>
      </c>
      <c r="J76" s="29"/>
      <c r="K76" s="303" t="s">
        <v>2080</v>
      </c>
      <c r="L76" s="303" t="s">
        <v>2080</v>
      </c>
      <c r="M76" s="303" t="s">
        <v>2360</v>
      </c>
      <c r="N76" s="303">
        <v>0</v>
      </c>
      <c r="O76" s="303">
        <v>210866</v>
      </c>
      <c r="P76" s="303" t="s">
        <v>743</v>
      </c>
      <c r="Q76" s="303" t="s">
        <v>1513</v>
      </c>
      <c r="R76" s="303"/>
    </row>
    <row r="77" spans="2:18" x14ac:dyDescent="0.3">
      <c r="B77" s="1" t="s">
        <v>2066</v>
      </c>
      <c r="C77" s="1" t="s">
        <v>2066</v>
      </c>
      <c r="D77" s="1" t="s">
        <v>2874</v>
      </c>
      <c r="E77" s="302">
        <v>0</v>
      </c>
      <c r="F77" s="302">
        <v>0</v>
      </c>
      <c r="G77" s="1" t="s">
        <v>997</v>
      </c>
      <c r="H77" s="1" t="s">
        <v>762</v>
      </c>
      <c r="J77" s="29"/>
      <c r="K77" s="303" t="s">
        <v>2066</v>
      </c>
      <c r="L77" s="303" t="s">
        <v>2066</v>
      </c>
      <c r="M77" s="303" t="s">
        <v>2361</v>
      </c>
      <c r="N77" s="303">
        <v>0</v>
      </c>
      <c r="O77" s="303">
        <v>1813797</v>
      </c>
      <c r="P77" s="303" t="s">
        <v>997</v>
      </c>
      <c r="Q77" s="303" t="s">
        <v>1033</v>
      </c>
      <c r="R77" s="303"/>
    </row>
    <row r="78" spans="2:18" x14ac:dyDescent="0.3">
      <c r="B78" s="1" t="s">
        <v>2080</v>
      </c>
      <c r="C78" s="1" t="s">
        <v>2080</v>
      </c>
      <c r="D78" s="1" t="s">
        <v>3445</v>
      </c>
      <c r="E78" s="302">
        <v>0</v>
      </c>
      <c r="F78" s="1805">
        <v>0</v>
      </c>
      <c r="G78" s="1" t="s">
        <v>743</v>
      </c>
      <c r="H78" s="1" t="s">
        <v>1513</v>
      </c>
      <c r="J78" s="29"/>
      <c r="K78" s="303" t="s">
        <v>2066</v>
      </c>
      <c r="L78" s="303" t="s">
        <v>2066</v>
      </c>
      <c r="M78" s="303" t="s">
        <v>2363</v>
      </c>
      <c r="N78" s="303">
        <v>0</v>
      </c>
      <c r="O78" s="303">
        <v>12314</v>
      </c>
      <c r="P78" s="303" t="s">
        <v>997</v>
      </c>
      <c r="Q78" s="303" t="s">
        <v>1033</v>
      </c>
      <c r="R78" s="303"/>
    </row>
    <row r="79" spans="2:18" x14ac:dyDescent="0.3">
      <c r="B79" s="1" t="s">
        <v>2066</v>
      </c>
      <c r="C79" s="1" t="s">
        <v>2066</v>
      </c>
      <c r="D79" s="1" t="s">
        <v>2868</v>
      </c>
      <c r="E79" s="302">
        <v>0</v>
      </c>
      <c r="F79" s="1805">
        <v>124182.17</v>
      </c>
      <c r="G79" s="1" t="s">
        <v>763</v>
      </c>
      <c r="H79" s="1" t="s">
        <v>2868</v>
      </c>
      <c r="J79" s="29"/>
      <c r="K79" s="303" t="s">
        <v>2045</v>
      </c>
      <c r="L79" s="303" t="s">
        <v>2058</v>
      </c>
      <c r="M79" s="2348" t="s">
        <v>2366</v>
      </c>
      <c r="N79" s="303">
        <v>3687798.24</v>
      </c>
      <c r="O79" s="303">
        <v>0</v>
      </c>
      <c r="P79" s="303" t="s">
        <v>508</v>
      </c>
      <c r="Q79" s="303" t="s">
        <v>1303</v>
      </c>
      <c r="R79" s="303"/>
    </row>
    <row r="80" spans="2:18" x14ac:dyDescent="0.3">
      <c r="B80" s="1" t="s">
        <v>2080</v>
      </c>
      <c r="C80" s="1" t="s">
        <v>2080</v>
      </c>
      <c r="D80" s="1" t="s">
        <v>3938</v>
      </c>
      <c r="E80" s="302">
        <v>2771113.18</v>
      </c>
      <c r="F80" s="1805">
        <v>0</v>
      </c>
      <c r="G80" s="1" t="s">
        <v>743</v>
      </c>
      <c r="H80" s="1" t="s">
        <v>1513</v>
      </c>
      <c r="J80" s="29"/>
      <c r="K80" s="303" t="s">
        <v>2045</v>
      </c>
      <c r="L80" s="303" t="s">
        <v>2187</v>
      </c>
      <c r="M80" s="303" t="s">
        <v>2367</v>
      </c>
      <c r="N80" s="303">
        <v>0</v>
      </c>
      <c r="O80" s="2348">
        <v>-8530.7199999999993</v>
      </c>
      <c r="P80" s="303" t="s">
        <v>363</v>
      </c>
      <c r="Q80" s="303" t="s">
        <v>2018</v>
      </c>
      <c r="R80" s="303"/>
    </row>
    <row r="81" spans="2:18" x14ac:dyDescent="0.3">
      <c r="B81" s="1" t="s">
        <v>1012</v>
      </c>
      <c r="C81" s="1" t="s">
        <v>1012</v>
      </c>
      <c r="D81" s="1" t="s">
        <v>3940</v>
      </c>
      <c r="E81" s="302">
        <v>-23600</v>
      </c>
      <c r="F81" s="1805">
        <v>0</v>
      </c>
      <c r="G81" s="1" t="s">
        <v>799</v>
      </c>
      <c r="H81" s="1" t="s">
        <v>1292</v>
      </c>
      <c r="J81" s="29"/>
      <c r="K81" s="303" t="s">
        <v>2045</v>
      </c>
      <c r="L81" s="303" t="s">
        <v>2045</v>
      </c>
      <c r="M81" s="2348" t="s">
        <v>2368</v>
      </c>
      <c r="N81" s="303">
        <v>-39493.25</v>
      </c>
      <c r="O81" s="303">
        <v>-39493.25</v>
      </c>
      <c r="P81" s="303" t="s">
        <v>508</v>
      </c>
      <c r="Q81" s="303" t="s">
        <v>1303</v>
      </c>
      <c r="R81" s="303"/>
    </row>
    <row r="82" spans="2:18" x14ac:dyDescent="0.3">
      <c r="B82" s="1" t="s">
        <v>1012</v>
      </c>
      <c r="C82" s="1" t="s">
        <v>1012</v>
      </c>
      <c r="D82" s="1" t="s">
        <v>2864</v>
      </c>
      <c r="E82" s="302">
        <v>-338.46</v>
      </c>
      <c r="F82" s="302">
        <v>471.95</v>
      </c>
      <c r="G82" s="1" t="s">
        <v>363</v>
      </c>
      <c r="H82" s="1" t="s">
        <v>2023</v>
      </c>
      <c r="J82" s="29"/>
      <c r="K82" s="303" t="s">
        <v>2066</v>
      </c>
      <c r="L82" s="303" t="s">
        <v>2069</v>
      </c>
      <c r="M82" s="303" t="s">
        <v>2373</v>
      </c>
      <c r="N82" s="303">
        <v>0</v>
      </c>
      <c r="O82" s="303">
        <v>732660</v>
      </c>
      <c r="P82" s="303" t="s">
        <v>997</v>
      </c>
      <c r="Q82" s="303" t="s">
        <v>761</v>
      </c>
      <c r="R82" s="303"/>
    </row>
    <row r="83" spans="2:18" x14ac:dyDescent="0.3">
      <c r="B83" s="1" t="s">
        <v>2045</v>
      </c>
      <c r="C83" s="1" t="s">
        <v>3726</v>
      </c>
      <c r="D83" s="1" t="s">
        <v>3596</v>
      </c>
      <c r="E83" s="302">
        <v>0</v>
      </c>
      <c r="F83" s="1805">
        <v>3503634.75</v>
      </c>
      <c r="G83" s="1" t="s">
        <v>363</v>
      </c>
      <c r="H83" s="1" t="s">
        <v>2018</v>
      </c>
      <c r="J83" s="29"/>
      <c r="K83" s="303" t="s">
        <v>2128</v>
      </c>
      <c r="L83" s="303" t="s">
        <v>2129</v>
      </c>
      <c r="M83" s="303" t="s">
        <v>2379</v>
      </c>
      <c r="N83" s="303">
        <v>2425</v>
      </c>
      <c r="O83" s="303">
        <v>0</v>
      </c>
      <c r="P83" s="303" t="s">
        <v>1812</v>
      </c>
      <c r="Q83" s="303" t="s">
        <v>1887</v>
      </c>
      <c r="R83" s="303"/>
    </row>
    <row r="84" spans="2:18" x14ac:dyDescent="0.3">
      <c r="B84" s="1" t="s">
        <v>2045</v>
      </c>
      <c r="C84" s="1" t="s">
        <v>2187</v>
      </c>
      <c r="D84" s="1" t="s">
        <v>2798</v>
      </c>
      <c r="E84" s="302">
        <v>565301.93000000005</v>
      </c>
      <c r="F84" s="302">
        <v>0</v>
      </c>
      <c r="G84" s="1" t="s">
        <v>363</v>
      </c>
      <c r="H84" s="1" t="s">
        <v>2018</v>
      </c>
      <c r="J84" s="29"/>
      <c r="K84" s="303" t="s">
        <v>2128</v>
      </c>
      <c r="L84" s="303" t="s">
        <v>2131</v>
      </c>
      <c r="M84" s="303" t="s">
        <v>2381</v>
      </c>
      <c r="N84" s="303">
        <v>278.95</v>
      </c>
      <c r="O84" s="303">
        <v>278.95</v>
      </c>
      <c r="P84" s="303" t="s">
        <v>1812</v>
      </c>
      <c r="Q84" s="303" t="s">
        <v>1887</v>
      </c>
      <c r="R84" s="303"/>
    </row>
    <row r="85" spans="2:18" x14ac:dyDescent="0.3">
      <c r="B85" s="1" t="s">
        <v>2298</v>
      </c>
      <c r="C85" s="1" t="s">
        <v>2302</v>
      </c>
      <c r="D85" s="1" t="s">
        <v>2786</v>
      </c>
      <c r="E85" s="302">
        <v>0</v>
      </c>
      <c r="F85" s="1805">
        <f>-221998.54*0-331689.56</f>
        <v>-331689.56</v>
      </c>
      <c r="G85" s="1" t="s">
        <v>748</v>
      </c>
      <c r="H85" s="1" t="s">
        <v>1004</v>
      </c>
      <c r="J85" s="29"/>
      <c r="K85" s="303" t="s">
        <v>2080</v>
      </c>
      <c r="L85" s="303" t="s">
        <v>2080</v>
      </c>
      <c r="M85" s="303" t="s">
        <v>2382</v>
      </c>
      <c r="N85" s="303">
        <v>442533.13</v>
      </c>
      <c r="O85" s="303">
        <v>169477.5</v>
      </c>
      <c r="P85" s="303" t="s">
        <v>743</v>
      </c>
      <c r="Q85" s="303" t="s">
        <v>1513</v>
      </c>
      <c r="R85" s="303"/>
    </row>
    <row r="86" spans="2:18" x14ac:dyDescent="0.3">
      <c r="B86" s="1" t="s">
        <v>2298</v>
      </c>
      <c r="C86" s="1" t="s">
        <v>2300</v>
      </c>
      <c r="D86" s="1" t="s">
        <v>2785</v>
      </c>
      <c r="E86" s="302">
        <v>0</v>
      </c>
      <c r="F86" s="1805">
        <v>-1600</v>
      </c>
      <c r="G86" s="1" t="s">
        <v>748</v>
      </c>
      <c r="H86" s="1" t="s">
        <v>1002</v>
      </c>
      <c r="J86" s="29"/>
      <c r="K86" s="303" t="s">
        <v>2045</v>
      </c>
      <c r="L86" s="303" t="s">
        <v>2187</v>
      </c>
      <c r="M86" s="303" t="s">
        <v>2391</v>
      </c>
      <c r="N86" s="303">
        <v>0</v>
      </c>
      <c r="O86" s="303">
        <v>-396.5</v>
      </c>
      <c r="P86" s="303" t="s">
        <v>363</v>
      </c>
      <c r="Q86" s="303" t="s">
        <v>2018</v>
      </c>
      <c r="R86" s="303"/>
    </row>
    <row r="87" spans="2:18" x14ac:dyDescent="0.3">
      <c r="B87" s="1" t="s">
        <v>2080</v>
      </c>
      <c r="C87" s="1" t="s">
        <v>2781</v>
      </c>
      <c r="D87" s="1" t="s">
        <v>3941</v>
      </c>
      <c r="E87" s="302">
        <v>175262.2</v>
      </c>
      <c r="F87" s="1805">
        <v>0</v>
      </c>
      <c r="G87" s="1" t="s">
        <v>743</v>
      </c>
      <c r="H87" s="1" t="s">
        <v>1513</v>
      </c>
      <c r="J87" s="29"/>
      <c r="K87" s="303" t="s">
        <v>2080</v>
      </c>
      <c r="L87" s="303" t="s">
        <v>2080</v>
      </c>
      <c r="M87" s="303" t="s">
        <v>2395</v>
      </c>
      <c r="N87" s="303">
        <v>5152</v>
      </c>
      <c r="O87" s="303">
        <v>5152</v>
      </c>
      <c r="P87" s="303" t="s">
        <v>743</v>
      </c>
      <c r="Q87" s="303" t="s">
        <v>1513</v>
      </c>
      <c r="R87" s="303"/>
    </row>
    <row r="88" spans="2:18" x14ac:dyDescent="0.3">
      <c r="B88" s="1" t="s">
        <v>2128</v>
      </c>
      <c r="C88" s="1" t="s">
        <v>2214</v>
      </c>
      <c r="D88" s="1" t="s">
        <v>2859</v>
      </c>
      <c r="E88" s="302">
        <v>0</v>
      </c>
      <c r="F88" s="1805">
        <v>0</v>
      </c>
      <c r="G88" s="1" t="s">
        <v>1812</v>
      </c>
      <c r="H88" s="1" t="s">
        <v>1887</v>
      </c>
      <c r="J88" s="29"/>
      <c r="K88" s="303" t="s">
        <v>1012</v>
      </c>
      <c r="L88" s="303" t="s">
        <v>1012</v>
      </c>
      <c r="M88" s="303" t="s">
        <v>2397</v>
      </c>
      <c r="N88" s="303">
        <v>-2090871.16</v>
      </c>
      <c r="O88" s="303">
        <v>-3473925.26</v>
      </c>
      <c r="P88" s="303" t="s">
        <v>799</v>
      </c>
      <c r="Q88" s="303" t="s">
        <v>1292</v>
      </c>
      <c r="R88" s="303"/>
    </row>
    <row r="89" spans="2:18" x14ac:dyDescent="0.3">
      <c r="B89" s="1" t="s">
        <v>2128</v>
      </c>
      <c r="C89" s="1" t="s">
        <v>2131</v>
      </c>
      <c r="D89" s="1" t="s">
        <v>2856</v>
      </c>
      <c r="E89" s="302">
        <v>390.9</v>
      </c>
      <c r="F89" s="1805">
        <v>275.89999999999998</v>
      </c>
      <c r="G89" s="1" t="s">
        <v>1812</v>
      </c>
      <c r="H89" s="1" t="s">
        <v>1887</v>
      </c>
      <c r="J89" s="29"/>
      <c r="K89" s="303" t="s">
        <v>2045</v>
      </c>
      <c r="L89" s="303" t="s">
        <v>2058</v>
      </c>
      <c r="M89" s="303" t="s">
        <v>2402</v>
      </c>
      <c r="N89" s="303">
        <v>35387.660000000003</v>
      </c>
      <c r="O89" s="303">
        <v>427.5</v>
      </c>
      <c r="P89" s="303" t="s">
        <v>363</v>
      </c>
      <c r="Q89" s="303" t="s">
        <v>2018</v>
      </c>
      <c r="R89" s="303"/>
    </row>
    <row r="90" spans="2:18" x14ac:dyDescent="0.3">
      <c r="B90" s="1" t="s">
        <v>1012</v>
      </c>
      <c r="C90" s="1" t="s">
        <v>1012</v>
      </c>
      <c r="D90" s="1" t="s">
        <v>3942</v>
      </c>
      <c r="E90" s="302">
        <v>-3333555.44</v>
      </c>
      <c r="F90" s="1805">
        <v>-111118.54</v>
      </c>
      <c r="G90" s="1" t="s">
        <v>799</v>
      </c>
      <c r="H90" s="1" t="s">
        <v>1292</v>
      </c>
      <c r="J90" s="29"/>
      <c r="K90" s="303" t="s">
        <v>2045</v>
      </c>
      <c r="L90" s="303" t="s">
        <v>2187</v>
      </c>
      <c r="M90" s="303" t="s">
        <v>2403</v>
      </c>
      <c r="N90" s="303">
        <v>0</v>
      </c>
      <c r="O90" s="303">
        <v>23273.759999999998</v>
      </c>
      <c r="P90" s="303" t="s">
        <v>363</v>
      </c>
      <c r="Q90" s="303" t="s">
        <v>2018</v>
      </c>
      <c r="R90" s="303"/>
    </row>
    <row r="91" spans="2:18" x14ac:dyDescent="0.3">
      <c r="B91" s="1" t="s">
        <v>1012</v>
      </c>
      <c r="C91" s="1" t="s">
        <v>1012</v>
      </c>
      <c r="D91" s="1" t="s">
        <v>3943</v>
      </c>
      <c r="E91" s="302">
        <v>0</v>
      </c>
      <c r="F91" s="1805">
        <v>-3333553.79</v>
      </c>
      <c r="G91" s="1" t="s">
        <v>799</v>
      </c>
      <c r="H91" s="1" t="s">
        <v>1292</v>
      </c>
      <c r="J91" s="29"/>
      <c r="K91" s="303" t="s">
        <v>2066</v>
      </c>
      <c r="L91" s="303" t="s">
        <v>2066</v>
      </c>
      <c r="M91" s="303" t="s">
        <v>2409</v>
      </c>
      <c r="N91" s="303">
        <v>0</v>
      </c>
      <c r="O91" s="303">
        <v>8000000</v>
      </c>
      <c r="P91" s="303" t="s">
        <v>763</v>
      </c>
      <c r="Q91" s="303" t="s">
        <v>1951</v>
      </c>
      <c r="R91" s="303"/>
    </row>
    <row r="92" spans="2:18" x14ac:dyDescent="0.3">
      <c r="B92" s="1" t="s">
        <v>1012</v>
      </c>
      <c r="C92" s="1" t="s">
        <v>1012</v>
      </c>
      <c r="D92" s="1" t="s">
        <v>2851</v>
      </c>
      <c r="E92" s="302">
        <v>0</v>
      </c>
      <c r="F92" s="302">
        <v>16400</v>
      </c>
      <c r="G92" s="1" t="s">
        <v>363</v>
      </c>
      <c r="H92" s="1" t="s">
        <v>2023</v>
      </c>
      <c r="J92" s="29"/>
      <c r="K92" s="303" t="s">
        <v>2066</v>
      </c>
      <c r="L92" s="303" t="s">
        <v>2066</v>
      </c>
      <c r="M92" s="303" t="s">
        <v>2410</v>
      </c>
      <c r="N92" s="303">
        <v>0</v>
      </c>
      <c r="O92" s="303">
        <v>-493292</v>
      </c>
      <c r="P92" s="303" t="s">
        <v>763</v>
      </c>
      <c r="Q92" s="303" t="s">
        <v>1953</v>
      </c>
      <c r="R92" s="303"/>
    </row>
    <row r="93" spans="2:18" x14ac:dyDescent="0.3">
      <c r="B93" s="1" t="s">
        <v>953</v>
      </c>
      <c r="C93" s="1" t="s">
        <v>2112</v>
      </c>
      <c r="D93" s="1" t="s">
        <v>2778</v>
      </c>
      <c r="E93" s="302">
        <v>-14896</v>
      </c>
      <c r="F93" s="302">
        <v>0</v>
      </c>
      <c r="G93" s="1" t="s">
        <v>508</v>
      </c>
      <c r="H93" s="1" t="s">
        <v>1303</v>
      </c>
      <c r="J93" s="29"/>
      <c r="K93" s="303" t="s">
        <v>1012</v>
      </c>
      <c r="L93" s="303" t="s">
        <v>1012</v>
      </c>
      <c r="M93" s="303" t="s">
        <v>2414</v>
      </c>
      <c r="N93" s="303">
        <v>-20159</v>
      </c>
      <c r="O93" s="303">
        <v>-297401</v>
      </c>
      <c r="P93" s="303" t="s">
        <v>799</v>
      </c>
      <c r="Q93" s="303" t="s">
        <v>1292</v>
      </c>
      <c r="R93" s="303"/>
    </row>
    <row r="94" spans="2:18" x14ac:dyDescent="0.3">
      <c r="B94" s="1" t="s">
        <v>2066</v>
      </c>
      <c r="C94" s="1" t="s">
        <v>2069</v>
      </c>
      <c r="D94" s="1" t="s">
        <v>2769</v>
      </c>
      <c r="E94" s="302">
        <v>0</v>
      </c>
      <c r="F94" s="1805">
        <v>1396998</v>
      </c>
      <c r="G94" s="1" t="s">
        <v>997</v>
      </c>
      <c r="H94" s="1" t="s">
        <v>761</v>
      </c>
      <c r="J94" s="29"/>
      <c r="K94" s="303" t="s">
        <v>1012</v>
      </c>
      <c r="L94" s="303" t="s">
        <v>1012</v>
      </c>
      <c r="M94" s="303" t="s">
        <v>2415</v>
      </c>
      <c r="N94" s="303">
        <v>-27976.62</v>
      </c>
      <c r="O94" s="303">
        <v>-2217934</v>
      </c>
      <c r="P94" s="303" t="s">
        <v>799</v>
      </c>
      <c r="Q94" s="303" t="s">
        <v>1292</v>
      </c>
      <c r="R94" s="303"/>
    </row>
    <row r="95" spans="2:18" x14ac:dyDescent="0.3">
      <c r="B95" s="1" t="s">
        <v>2128</v>
      </c>
      <c r="C95" s="1" t="s">
        <v>2129</v>
      </c>
      <c r="D95" s="1" t="s">
        <v>2850</v>
      </c>
      <c r="E95" s="302">
        <v>4182.37</v>
      </c>
      <c r="F95" s="1805">
        <v>4182.37</v>
      </c>
      <c r="G95" s="1" t="s">
        <v>1812</v>
      </c>
      <c r="H95" s="1" t="s">
        <v>1887</v>
      </c>
      <c r="J95" s="29"/>
      <c r="K95" s="303" t="s">
        <v>1012</v>
      </c>
      <c r="L95" s="303" t="s">
        <v>1012</v>
      </c>
      <c r="M95" s="303" t="s">
        <v>2417</v>
      </c>
      <c r="N95" s="303">
        <v>-666548</v>
      </c>
      <c r="O95" s="303">
        <v>0</v>
      </c>
      <c r="P95" s="303" t="s">
        <v>799</v>
      </c>
      <c r="Q95" s="303" t="s">
        <v>1292</v>
      </c>
      <c r="R95" s="303"/>
    </row>
    <row r="96" spans="2:18" x14ac:dyDescent="0.3">
      <c r="B96" s="1" t="s">
        <v>2128</v>
      </c>
      <c r="C96" s="1" t="s">
        <v>2129</v>
      </c>
      <c r="D96" s="1" t="s">
        <v>2848</v>
      </c>
      <c r="E96" s="302">
        <v>1044.5</v>
      </c>
      <c r="F96" s="1805">
        <v>1044.5</v>
      </c>
      <c r="G96" s="1" t="s">
        <v>1812</v>
      </c>
      <c r="H96" s="1" t="s">
        <v>1887</v>
      </c>
      <c r="J96" s="29"/>
      <c r="K96" s="303" t="s">
        <v>2066</v>
      </c>
      <c r="L96" s="303" t="s">
        <v>2066</v>
      </c>
      <c r="M96" s="303" t="s">
        <v>2418</v>
      </c>
      <c r="N96" s="303">
        <v>0</v>
      </c>
      <c r="O96" s="303">
        <v>436416</v>
      </c>
      <c r="P96" s="303" t="s">
        <v>763</v>
      </c>
      <c r="Q96" s="303" t="s">
        <v>234</v>
      </c>
      <c r="R96" s="303"/>
    </row>
    <row r="97" spans="2:18" x14ac:dyDescent="0.3">
      <c r="B97" s="1" t="s">
        <v>2128</v>
      </c>
      <c r="C97" s="1" t="s">
        <v>2129</v>
      </c>
      <c r="D97" s="1" t="s">
        <v>2849</v>
      </c>
      <c r="E97" s="302">
        <v>1357.5</v>
      </c>
      <c r="F97" s="1805">
        <v>1357.5</v>
      </c>
      <c r="G97" s="1" t="s">
        <v>1812</v>
      </c>
      <c r="H97" s="1" t="s">
        <v>1887</v>
      </c>
      <c r="J97" s="29"/>
      <c r="K97" s="303" t="s">
        <v>1012</v>
      </c>
      <c r="L97" s="303" t="s">
        <v>1012</v>
      </c>
      <c r="M97" s="303" t="s">
        <v>2419</v>
      </c>
      <c r="N97" s="303">
        <v>14040</v>
      </c>
      <c r="O97" s="303">
        <v>0</v>
      </c>
      <c r="P97" s="303" t="s">
        <v>799</v>
      </c>
      <c r="Q97" s="303" t="s">
        <v>1292</v>
      </c>
      <c r="R97" s="303"/>
    </row>
    <row r="98" spans="2:18" x14ac:dyDescent="0.3">
      <c r="B98" s="1" t="s">
        <v>2298</v>
      </c>
      <c r="C98" s="1" t="s">
        <v>2300</v>
      </c>
      <c r="D98" s="1" t="s">
        <v>2843</v>
      </c>
      <c r="E98" s="302">
        <v>0</v>
      </c>
      <c r="F98" s="1805">
        <v>-195327.52</v>
      </c>
      <c r="G98" s="1" t="s">
        <v>748</v>
      </c>
      <c r="H98" s="1" t="s">
        <v>1003</v>
      </c>
      <c r="J98" s="29"/>
      <c r="K98" s="303" t="s">
        <v>2169</v>
      </c>
      <c r="L98" s="303" t="s">
        <v>2169</v>
      </c>
      <c r="M98" s="303" t="s">
        <v>2420</v>
      </c>
      <c r="N98" s="303">
        <v>0</v>
      </c>
      <c r="O98" s="303">
        <v>-3224727</v>
      </c>
      <c r="P98" s="303" t="s">
        <v>752</v>
      </c>
      <c r="Q98" s="303" t="s">
        <v>42</v>
      </c>
      <c r="R98" s="303"/>
    </row>
    <row r="99" spans="2:18" x14ac:dyDescent="0.3">
      <c r="B99" s="1" t="s">
        <v>2298</v>
      </c>
      <c r="C99" s="1" t="s">
        <v>2302</v>
      </c>
      <c r="D99" s="1" t="s">
        <v>2842</v>
      </c>
      <c r="E99" s="302">
        <v>0</v>
      </c>
      <c r="F99" s="1805">
        <f>-97827502.14*0-113631610.14</f>
        <v>-113631610.14</v>
      </c>
      <c r="G99" s="1" t="s">
        <v>748</v>
      </c>
      <c r="H99" s="1" t="s">
        <v>749</v>
      </c>
      <c r="J99" s="29"/>
      <c r="K99" s="303" t="s">
        <v>2169</v>
      </c>
      <c r="L99" s="303" t="s">
        <v>2422</v>
      </c>
      <c r="M99" s="303" t="s">
        <v>2423</v>
      </c>
      <c r="N99" s="303">
        <v>0</v>
      </c>
      <c r="O99" s="303">
        <v>-236600</v>
      </c>
      <c r="P99" s="303" t="s">
        <v>752</v>
      </c>
      <c r="Q99" s="303" t="s">
        <v>42</v>
      </c>
      <c r="R99" s="303"/>
    </row>
    <row r="100" spans="2:18" x14ac:dyDescent="0.3">
      <c r="B100" s="1" t="s">
        <v>2298</v>
      </c>
      <c r="C100" s="1" t="s">
        <v>2300</v>
      </c>
      <c r="D100" s="1" t="s">
        <v>2841</v>
      </c>
      <c r="E100" s="302">
        <v>0</v>
      </c>
      <c r="F100" s="1805">
        <v>-128743932.2</v>
      </c>
      <c r="G100" s="1" t="s">
        <v>748</v>
      </c>
      <c r="H100" s="1" t="s">
        <v>1003</v>
      </c>
      <c r="J100" s="29"/>
      <c r="K100" s="303" t="s">
        <v>2066</v>
      </c>
      <c r="L100" s="303" t="s">
        <v>2066</v>
      </c>
      <c r="M100" s="303" t="s">
        <v>2425</v>
      </c>
      <c r="N100" s="303">
        <v>0</v>
      </c>
      <c r="O100" s="303">
        <v>32401.32</v>
      </c>
      <c r="P100" s="303" t="s">
        <v>763</v>
      </c>
      <c r="Q100" s="303" t="s">
        <v>765</v>
      </c>
      <c r="R100" s="303"/>
    </row>
    <row r="101" spans="2:18" x14ac:dyDescent="0.3">
      <c r="B101" s="1" t="s">
        <v>2298</v>
      </c>
      <c r="C101" s="1" t="s">
        <v>2302</v>
      </c>
      <c r="D101" s="1" t="s">
        <v>2839</v>
      </c>
      <c r="E101" s="302">
        <v>0</v>
      </c>
      <c r="F101" s="1805">
        <f>-2900139.38*0-3493327.81</f>
        <v>-3493327.81</v>
      </c>
      <c r="G101" s="1" t="s">
        <v>748</v>
      </c>
      <c r="H101" s="1" t="s">
        <v>749</v>
      </c>
      <c r="J101" s="29"/>
      <c r="K101" s="303" t="s">
        <v>2128</v>
      </c>
      <c r="L101" s="303" t="s">
        <v>2131</v>
      </c>
      <c r="M101" s="303" t="s">
        <v>2429</v>
      </c>
      <c r="N101" s="303">
        <v>2593</v>
      </c>
      <c r="O101" s="303">
        <v>1424</v>
      </c>
      <c r="P101" s="303" t="s">
        <v>1812</v>
      </c>
      <c r="Q101" s="303" t="s">
        <v>1887</v>
      </c>
      <c r="R101" s="303"/>
    </row>
    <row r="102" spans="2:18" x14ac:dyDescent="0.3">
      <c r="B102" s="1" t="s">
        <v>2298</v>
      </c>
      <c r="C102" s="1" t="s">
        <v>2300</v>
      </c>
      <c r="D102" s="1" t="s">
        <v>2838</v>
      </c>
      <c r="E102" s="302">
        <v>0</v>
      </c>
      <c r="F102" s="2701">
        <v>-15443674.32</v>
      </c>
      <c r="G102" s="1" t="s">
        <v>748</v>
      </c>
      <c r="H102" s="1" t="s">
        <v>1003</v>
      </c>
      <c r="J102" s="29"/>
      <c r="K102" s="303" t="s">
        <v>1012</v>
      </c>
      <c r="L102" s="303" t="s">
        <v>1012</v>
      </c>
      <c r="M102" s="303" t="s">
        <v>2435</v>
      </c>
      <c r="N102" s="303">
        <v>0</v>
      </c>
      <c r="O102" s="303">
        <v>-7316</v>
      </c>
      <c r="P102" s="303" t="s">
        <v>799</v>
      </c>
      <c r="Q102" s="303" t="s">
        <v>1292</v>
      </c>
      <c r="R102" s="303"/>
    </row>
    <row r="103" spans="2:18" x14ac:dyDescent="0.3">
      <c r="B103" s="1" t="s">
        <v>2080</v>
      </c>
      <c r="C103" s="1" t="s">
        <v>2177</v>
      </c>
      <c r="D103" s="1" t="s">
        <v>3944</v>
      </c>
      <c r="E103" s="302">
        <v>0</v>
      </c>
      <c r="F103" s="1805">
        <v>0</v>
      </c>
      <c r="G103" s="1" t="s">
        <v>743</v>
      </c>
      <c r="H103" s="1" t="s">
        <v>1513</v>
      </c>
      <c r="J103" s="29"/>
      <c r="K103" s="303" t="s">
        <v>1012</v>
      </c>
      <c r="L103" s="303" t="s">
        <v>1012</v>
      </c>
      <c r="M103" s="303" t="s">
        <v>2440</v>
      </c>
      <c r="N103" s="303">
        <v>0</v>
      </c>
      <c r="O103" s="303">
        <v>-92040</v>
      </c>
      <c r="P103" s="303" t="s">
        <v>799</v>
      </c>
      <c r="Q103" s="303" t="s">
        <v>1292</v>
      </c>
      <c r="R103" s="303"/>
    </row>
    <row r="104" spans="2:18" x14ac:dyDescent="0.3">
      <c r="B104" s="1" t="s">
        <v>953</v>
      </c>
      <c r="C104" s="1" t="s">
        <v>2064</v>
      </c>
      <c r="D104" s="1" t="s">
        <v>3101</v>
      </c>
      <c r="E104" s="302">
        <v>0</v>
      </c>
      <c r="F104" s="1805">
        <v>-275008</v>
      </c>
      <c r="G104" s="1" t="s">
        <v>508</v>
      </c>
      <c r="H104" s="1" t="s">
        <v>1647</v>
      </c>
      <c r="J104" s="29"/>
      <c r="K104" s="303" t="s">
        <v>2080</v>
      </c>
      <c r="L104" s="303" t="s">
        <v>2080</v>
      </c>
      <c r="M104" s="303" t="s">
        <v>2450</v>
      </c>
      <c r="N104" s="303">
        <v>0</v>
      </c>
      <c r="O104" s="303">
        <v>103840</v>
      </c>
      <c r="P104" s="303" t="s">
        <v>743</v>
      </c>
      <c r="Q104" s="303" t="s">
        <v>1513</v>
      </c>
      <c r="R104" s="303"/>
    </row>
    <row r="105" spans="2:18" x14ac:dyDescent="0.3">
      <c r="B105" s="1" t="s">
        <v>2066</v>
      </c>
      <c r="C105" s="1" t="s">
        <v>2066</v>
      </c>
      <c r="D105" s="1" t="s">
        <v>2757</v>
      </c>
      <c r="E105" s="302">
        <v>0</v>
      </c>
      <c r="F105" s="1805">
        <v>19.98</v>
      </c>
      <c r="G105" s="1" t="s">
        <v>763</v>
      </c>
      <c r="H105" s="1" t="s">
        <v>772</v>
      </c>
      <c r="J105" s="29"/>
      <c r="K105" s="303" t="s">
        <v>953</v>
      </c>
      <c r="L105" s="303" t="s">
        <v>2112</v>
      </c>
      <c r="M105" s="2348" t="s">
        <v>2458</v>
      </c>
      <c r="N105" s="303">
        <v>0</v>
      </c>
      <c r="O105" s="303">
        <v>-4807</v>
      </c>
      <c r="P105" s="303" t="s">
        <v>508</v>
      </c>
      <c r="Q105" s="303" t="s">
        <v>1303</v>
      </c>
      <c r="R105" s="303"/>
    </row>
    <row r="106" spans="2:18" x14ac:dyDescent="0.3">
      <c r="B106" s="1" t="s">
        <v>2080</v>
      </c>
      <c r="C106" s="1" t="s">
        <v>2080</v>
      </c>
      <c r="D106" s="1" t="s">
        <v>3945</v>
      </c>
      <c r="E106" s="302">
        <v>0</v>
      </c>
      <c r="F106" s="1805">
        <v>0.01</v>
      </c>
      <c r="G106" s="1" t="s">
        <v>743</v>
      </c>
      <c r="H106" s="1" t="s">
        <v>1513</v>
      </c>
      <c r="J106" s="29"/>
      <c r="K106" s="303" t="s">
        <v>2470</v>
      </c>
      <c r="L106" s="303" t="s">
        <v>2470</v>
      </c>
      <c r="M106" s="303" t="s">
        <v>2471</v>
      </c>
      <c r="N106" s="303">
        <v>5006986.22</v>
      </c>
      <c r="O106" s="303">
        <v>5004254.82</v>
      </c>
      <c r="P106" s="303" t="s">
        <v>1520</v>
      </c>
      <c r="Q106" s="303" t="s">
        <v>1521</v>
      </c>
      <c r="R106" s="303"/>
    </row>
    <row r="107" spans="2:18" x14ac:dyDescent="0.3">
      <c r="B107" s="1" t="s">
        <v>2066</v>
      </c>
      <c r="C107" s="1" t="s">
        <v>2066</v>
      </c>
      <c r="D107" s="1" t="s">
        <v>2708</v>
      </c>
      <c r="E107" s="302">
        <v>0</v>
      </c>
      <c r="F107" s="302">
        <v>0</v>
      </c>
      <c r="G107" s="1" t="s">
        <v>763</v>
      </c>
      <c r="H107" s="1" t="s">
        <v>235</v>
      </c>
      <c r="J107" s="29"/>
      <c r="K107" s="303" t="s">
        <v>2128</v>
      </c>
      <c r="L107" s="303" t="s">
        <v>2257</v>
      </c>
      <c r="M107" s="303" t="s">
        <v>2474</v>
      </c>
      <c r="N107" s="303">
        <v>7960</v>
      </c>
      <c r="O107" s="303">
        <v>3000</v>
      </c>
      <c r="P107" s="303" t="s">
        <v>1812</v>
      </c>
      <c r="Q107" s="303" t="s">
        <v>1887</v>
      </c>
      <c r="R107" s="303"/>
    </row>
    <row r="108" spans="2:18" x14ac:dyDescent="0.3">
      <c r="B108" s="1" t="s">
        <v>2080</v>
      </c>
      <c r="C108" s="1" t="s">
        <v>2080</v>
      </c>
      <c r="D108" s="1" t="s">
        <v>3946</v>
      </c>
      <c r="E108" s="533">
        <v>12744</v>
      </c>
      <c r="F108" s="2552">
        <v>0.53</v>
      </c>
      <c r="G108" s="1" t="s">
        <v>743</v>
      </c>
      <c r="H108" s="1" t="s">
        <v>1513</v>
      </c>
      <c r="J108" s="29"/>
      <c r="K108" s="303" t="s">
        <v>2128</v>
      </c>
      <c r="L108" s="303" t="s">
        <v>2257</v>
      </c>
      <c r="M108" s="303" t="s">
        <v>2475</v>
      </c>
      <c r="N108" s="303">
        <v>7960</v>
      </c>
      <c r="O108" s="303">
        <v>3000</v>
      </c>
      <c r="P108" s="303" t="s">
        <v>1812</v>
      </c>
      <c r="Q108" s="303" t="s">
        <v>1887</v>
      </c>
      <c r="R108" s="303"/>
    </row>
    <row r="109" spans="2:18" x14ac:dyDescent="0.3">
      <c r="B109" s="1" t="s">
        <v>2080</v>
      </c>
      <c r="C109" s="1" t="s">
        <v>2080</v>
      </c>
      <c r="D109" s="1" t="s">
        <v>3947</v>
      </c>
      <c r="E109" s="533">
        <v>0</v>
      </c>
      <c r="F109" s="2552">
        <v>-1.06</v>
      </c>
      <c r="G109" s="1" t="s">
        <v>743</v>
      </c>
      <c r="H109" s="1" t="s">
        <v>1513</v>
      </c>
      <c r="J109" s="29"/>
      <c r="K109" s="303" t="s">
        <v>2128</v>
      </c>
      <c r="L109" s="303" t="s">
        <v>2129</v>
      </c>
      <c r="M109" s="303" t="s">
        <v>2479</v>
      </c>
      <c r="N109" s="303">
        <v>7250</v>
      </c>
      <c r="O109" s="303">
        <v>7250</v>
      </c>
      <c r="P109" s="303" t="s">
        <v>1812</v>
      </c>
      <c r="Q109" s="303" t="s">
        <v>1887</v>
      </c>
      <c r="R109" s="303"/>
    </row>
    <row r="110" spans="2:18" x14ac:dyDescent="0.3">
      <c r="B110" s="1" t="s">
        <v>2066</v>
      </c>
      <c r="C110" s="1" t="s">
        <v>2066</v>
      </c>
      <c r="D110" s="1" t="s">
        <v>2753</v>
      </c>
      <c r="E110" s="302">
        <v>0</v>
      </c>
      <c r="F110" s="1805">
        <v>10500</v>
      </c>
      <c r="G110" s="1" t="s">
        <v>763</v>
      </c>
      <c r="H110" s="1" t="s">
        <v>2569</v>
      </c>
      <c r="J110" s="29"/>
      <c r="K110" s="303" t="s">
        <v>2128</v>
      </c>
      <c r="L110" s="303" t="s">
        <v>2129</v>
      </c>
      <c r="M110" s="303" t="s">
        <v>2480</v>
      </c>
      <c r="N110" s="303">
        <v>8948.75</v>
      </c>
      <c r="O110" s="303">
        <v>7286.25</v>
      </c>
      <c r="P110" s="303" t="s">
        <v>1812</v>
      </c>
      <c r="Q110" s="303" t="s">
        <v>1887</v>
      </c>
      <c r="R110" s="303"/>
    </row>
    <row r="111" spans="2:18" x14ac:dyDescent="0.3">
      <c r="B111" s="1" t="s">
        <v>2066</v>
      </c>
      <c r="C111" s="1" t="s">
        <v>2066</v>
      </c>
      <c r="D111" s="1" t="s">
        <v>2754</v>
      </c>
      <c r="E111" s="302">
        <v>0</v>
      </c>
      <c r="F111" s="1805">
        <v>7985</v>
      </c>
      <c r="G111" s="1" t="s">
        <v>763</v>
      </c>
      <c r="H111" s="1" t="s">
        <v>2754</v>
      </c>
      <c r="J111" s="29"/>
      <c r="K111" s="303" t="s">
        <v>2128</v>
      </c>
      <c r="L111" s="303" t="s">
        <v>2129</v>
      </c>
      <c r="M111" s="303" t="s">
        <v>2481</v>
      </c>
      <c r="N111" s="303">
        <v>3572</v>
      </c>
      <c r="O111" s="303">
        <v>3572</v>
      </c>
      <c r="P111" s="303" t="s">
        <v>1812</v>
      </c>
      <c r="Q111" s="303" t="s">
        <v>1887</v>
      </c>
      <c r="R111" s="303"/>
    </row>
    <row r="112" spans="2:18" x14ac:dyDescent="0.3">
      <c r="B112" s="1" t="s">
        <v>953</v>
      </c>
      <c r="C112" s="1" t="s">
        <v>953</v>
      </c>
      <c r="D112" s="1" t="s">
        <v>3172</v>
      </c>
      <c r="E112" s="302">
        <v>0</v>
      </c>
      <c r="F112" s="1826">
        <v>-294331.58</v>
      </c>
      <c r="G112" s="1" t="s">
        <v>508</v>
      </c>
      <c r="H112" s="1" t="s">
        <v>1669</v>
      </c>
      <c r="J112" s="29"/>
      <c r="K112" s="303" t="s">
        <v>2066</v>
      </c>
      <c r="L112" s="303" t="s">
        <v>2069</v>
      </c>
      <c r="M112" s="303" t="s">
        <v>2500</v>
      </c>
      <c r="N112" s="303">
        <v>0</v>
      </c>
      <c r="O112" s="303">
        <v>1215560</v>
      </c>
      <c r="P112" s="303" t="s">
        <v>997</v>
      </c>
      <c r="Q112" s="303" t="s">
        <v>761</v>
      </c>
      <c r="R112" s="303"/>
    </row>
    <row r="113" spans="2:18" x14ac:dyDescent="0.3">
      <c r="B113" s="1" t="s">
        <v>2066</v>
      </c>
      <c r="C113" s="1" t="s">
        <v>2066</v>
      </c>
      <c r="D113" s="1" t="s">
        <v>758</v>
      </c>
      <c r="E113" s="302">
        <v>0</v>
      </c>
      <c r="F113" s="1805">
        <v>1453988.33</v>
      </c>
      <c r="G113" s="1" t="s">
        <v>763</v>
      </c>
      <c r="H113" s="1" t="s">
        <v>758</v>
      </c>
      <c r="J113" s="29"/>
      <c r="K113" s="303" t="s">
        <v>953</v>
      </c>
      <c r="L113" s="303" t="s">
        <v>2064</v>
      </c>
      <c r="M113" s="303" t="s">
        <v>2504</v>
      </c>
      <c r="N113" s="303">
        <v>40795</v>
      </c>
      <c r="O113" s="303">
        <v>0</v>
      </c>
      <c r="P113" s="303" t="s">
        <v>799</v>
      </c>
      <c r="Q113" s="303" t="s">
        <v>1292</v>
      </c>
      <c r="R113" s="303"/>
    </row>
    <row r="114" spans="2:18" x14ac:dyDescent="0.3">
      <c r="B114" s="1" t="s">
        <v>1012</v>
      </c>
      <c r="C114" s="1" t="s">
        <v>1012</v>
      </c>
      <c r="D114" s="1">
        <f ca="1">RAND()</f>
        <v>2.3124451181307126E-2</v>
      </c>
      <c r="E114" s="302">
        <v>0</v>
      </c>
      <c r="F114" s="1805">
        <v>0</v>
      </c>
      <c r="G114" s="1" t="s">
        <v>799</v>
      </c>
      <c r="H114" s="1" t="s">
        <v>1292</v>
      </c>
      <c r="J114" s="29"/>
      <c r="K114" s="303" t="s">
        <v>953</v>
      </c>
      <c r="L114" s="303" t="s">
        <v>2064</v>
      </c>
      <c r="M114" s="303" t="s">
        <v>2513</v>
      </c>
      <c r="N114" s="303">
        <v>-67500</v>
      </c>
      <c r="O114" s="303">
        <v>-42750</v>
      </c>
      <c r="P114" s="303" t="s">
        <v>799</v>
      </c>
      <c r="Q114" s="303" t="s">
        <v>1292</v>
      </c>
      <c r="R114" s="303"/>
    </row>
    <row r="115" spans="2:18" x14ac:dyDescent="0.3">
      <c r="B115" s="1" t="s">
        <v>953</v>
      </c>
      <c r="C115" s="1" t="s">
        <v>2064</v>
      </c>
      <c r="D115" s="1" t="s">
        <v>2749</v>
      </c>
      <c r="E115" s="302">
        <v>0</v>
      </c>
      <c r="F115" s="1805">
        <v>0.4</v>
      </c>
      <c r="G115" s="1" t="s">
        <v>508</v>
      </c>
      <c r="H115" s="1" t="s">
        <v>1970</v>
      </c>
      <c r="J115" s="29"/>
      <c r="K115" s="303" t="s">
        <v>2080</v>
      </c>
      <c r="L115" s="303" t="s">
        <v>2080</v>
      </c>
      <c r="M115" s="303" t="s">
        <v>2515</v>
      </c>
      <c r="N115" s="303">
        <v>428103.9</v>
      </c>
      <c r="O115" s="303">
        <v>0</v>
      </c>
      <c r="P115" s="303" t="s">
        <v>743</v>
      </c>
      <c r="Q115" s="303" t="s">
        <v>1513</v>
      </c>
      <c r="R115" s="303"/>
    </row>
    <row r="116" spans="2:18" x14ac:dyDescent="0.3">
      <c r="B116" s="1" t="s">
        <v>1012</v>
      </c>
      <c r="C116" s="1" t="s">
        <v>1012</v>
      </c>
      <c r="D116" s="1">
        <f t="shared" ref="D116:D117" ca="1" si="0">RAND()</f>
        <v>0.84954895179779344</v>
      </c>
      <c r="E116" s="302">
        <v>0</v>
      </c>
      <c r="F116" s="1805">
        <v>-58112.9</v>
      </c>
      <c r="G116" s="1" t="s">
        <v>799</v>
      </c>
      <c r="H116" s="1" t="s">
        <v>1292</v>
      </c>
      <c r="J116" s="29"/>
      <c r="K116" s="303" t="s">
        <v>2066</v>
      </c>
      <c r="L116" s="303" t="s">
        <v>2066</v>
      </c>
      <c r="M116" s="303" t="s">
        <v>2517</v>
      </c>
      <c r="N116" s="303">
        <v>0</v>
      </c>
      <c r="O116" s="303">
        <v>15573977</v>
      </c>
      <c r="P116" s="303" t="s">
        <v>763</v>
      </c>
      <c r="Q116" s="303" t="s">
        <v>2517</v>
      </c>
      <c r="R116" s="303"/>
    </row>
    <row r="117" spans="2:18" x14ac:dyDescent="0.3">
      <c r="B117" s="1" t="s">
        <v>1012</v>
      </c>
      <c r="C117" s="1" t="s">
        <v>1012</v>
      </c>
      <c r="D117" s="1">
        <f t="shared" ca="1" si="0"/>
        <v>0.18625958731497183</v>
      </c>
      <c r="E117" s="302">
        <v>-5984</v>
      </c>
      <c r="F117" s="1805">
        <v>0</v>
      </c>
      <c r="G117" s="1" t="s">
        <v>799</v>
      </c>
      <c r="H117" s="1" t="s">
        <v>1292</v>
      </c>
      <c r="J117" s="29"/>
      <c r="K117" s="303" t="s">
        <v>953</v>
      </c>
      <c r="L117" s="303" t="s">
        <v>799</v>
      </c>
      <c r="M117" s="2348" t="s">
        <v>2518</v>
      </c>
      <c r="N117" s="303">
        <v>0</v>
      </c>
      <c r="O117" s="303">
        <v>-15573977</v>
      </c>
      <c r="P117" s="303" t="s">
        <v>799</v>
      </c>
      <c r="Q117" s="303" t="s">
        <v>1292</v>
      </c>
      <c r="R117" s="303"/>
    </row>
    <row r="118" spans="2:18" x14ac:dyDescent="0.3">
      <c r="B118" s="1" t="s">
        <v>2298</v>
      </c>
      <c r="C118" s="1" t="s">
        <v>2302</v>
      </c>
      <c r="D118" s="1" t="s">
        <v>2744</v>
      </c>
      <c r="E118" s="302">
        <v>0</v>
      </c>
      <c r="F118" s="1805">
        <f>-1147158.92*0-1193471.78</f>
        <v>-1193471.78</v>
      </c>
      <c r="G118" s="1" t="s">
        <v>748</v>
      </c>
      <c r="H118" s="1" t="s">
        <v>749</v>
      </c>
      <c r="J118" s="29"/>
      <c r="K118" s="303" t="s">
        <v>2080</v>
      </c>
      <c r="L118" s="303" t="s">
        <v>2080</v>
      </c>
      <c r="M118" s="303" t="s">
        <v>2521</v>
      </c>
      <c r="N118" s="303">
        <v>1447774.8</v>
      </c>
      <c r="O118" s="303">
        <v>-215.25</v>
      </c>
      <c r="P118" s="303" t="s">
        <v>743</v>
      </c>
      <c r="Q118" s="303" t="s">
        <v>1513</v>
      </c>
      <c r="R118" s="303"/>
    </row>
    <row r="119" spans="2:18" x14ac:dyDescent="0.3">
      <c r="B119" s="1" t="s">
        <v>2298</v>
      </c>
      <c r="C119" s="1" t="s">
        <v>2302</v>
      </c>
      <c r="D119" s="1" t="s">
        <v>2743</v>
      </c>
      <c r="E119" s="302">
        <v>0</v>
      </c>
      <c r="F119" s="1805">
        <v>-206108829.28999999</v>
      </c>
      <c r="G119" s="1" t="s">
        <v>748</v>
      </c>
      <c r="H119" s="1" t="s">
        <v>1004</v>
      </c>
      <c r="J119" s="29"/>
      <c r="K119" s="303" t="s">
        <v>2080</v>
      </c>
      <c r="L119" s="303" t="s">
        <v>2080</v>
      </c>
      <c r="M119" s="303" t="s">
        <v>2522</v>
      </c>
      <c r="N119" s="303">
        <v>2693484.71</v>
      </c>
      <c r="O119" s="303">
        <v>3631359.57</v>
      </c>
      <c r="P119" s="303" t="s">
        <v>743</v>
      </c>
      <c r="Q119" s="303" t="s">
        <v>1513</v>
      </c>
      <c r="R119" s="303"/>
    </row>
    <row r="120" spans="2:18" x14ac:dyDescent="0.3">
      <c r="B120" s="1" t="s">
        <v>2066</v>
      </c>
      <c r="C120" s="1" t="s">
        <v>2726</v>
      </c>
      <c r="D120" s="1" t="s">
        <v>2741</v>
      </c>
      <c r="E120" s="302">
        <v>0</v>
      </c>
      <c r="F120" s="302">
        <v>0</v>
      </c>
      <c r="G120" s="1" t="s">
        <v>997</v>
      </c>
      <c r="H120" s="1" t="s">
        <v>762</v>
      </c>
      <c r="J120" s="29"/>
      <c r="K120" s="303" t="s">
        <v>2080</v>
      </c>
      <c r="L120" s="303" t="s">
        <v>2080</v>
      </c>
      <c r="M120" s="303" t="s">
        <v>2523</v>
      </c>
      <c r="N120" s="303">
        <v>581238.5</v>
      </c>
      <c r="O120" s="303">
        <v>0</v>
      </c>
      <c r="P120" s="303" t="s">
        <v>743</v>
      </c>
      <c r="Q120" s="303" t="s">
        <v>1513</v>
      </c>
      <c r="R120" s="303"/>
    </row>
    <row r="121" spans="2:18" x14ac:dyDescent="0.3">
      <c r="B121" s="1" t="s">
        <v>2066</v>
      </c>
      <c r="C121" s="1" t="s">
        <v>2726</v>
      </c>
      <c r="D121" s="1" t="s">
        <v>2740</v>
      </c>
      <c r="E121" s="302">
        <v>0</v>
      </c>
      <c r="F121" s="1805">
        <v>146108343.41</v>
      </c>
      <c r="G121" s="1" t="s">
        <v>997</v>
      </c>
      <c r="H121" s="1" t="s">
        <v>761</v>
      </c>
      <c r="J121" s="29"/>
      <c r="K121" s="303" t="s">
        <v>2066</v>
      </c>
      <c r="L121" s="303" t="s">
        <v>2066</v>
      </c>
      <c r="M121" s="303" t="s">
        <v>2526</v>
      </c>
      <c r="N121" s="303">
        <v>0</v>
      </c>
      <c r="O121" s="303">
        <v>36540.44</v>
      </c>
      <c r="P121" s="303" t="s">
        <v>763</v>
      </c>
      <c r="Q121" s="303" t="s">
        <v>772</v>
      </c>
      <c r="R121" s="303"/>
    </row>
    <row r="122" spans="2:18" x14ac:dyDescent="0.3">
      <c r="B122" s="1" t="s">
        <v>2066</v>
      </c>
      <c r="C122" s="1" t="s">
        <v>2726</v>
      </c>
      <c r="D122" s="1" t="s">
        <v>2739</v>
      </c>
      <c r="E122" s="302">
        <v>0</v>
      </c>
      <c r="F122" s="1805">
        <v>8445420.2200000007</v>
      </c>
      <c r="G122" s="1" t="s">
        <v>997</v>
      </c>
      <c r="H122" s="1" t="s">
        <v>986</v>
      </c>
      <c r="J122" s="29"/>
      <c r="K122" s="303" t="s">
        <v>1012</v>
      </c>
      <c r="L122" s="303" t="s">
        <v>2218</v>
      </c>
      <c r="M122" s="303" t="s">
        <v>2528</v>
      </c>
      <c r="N122" s="303">
        <v>-9077204.0700000003</v>
      </c>
      <c r="O122" s="303">
        <v>-157736.71</v>
      </c>
      <c r="P122" s="303" t="s">
        <v>799</v>
      </c>
      <c r="Q122" s="303" t="s">
        <v>1292</v>
      </c>
      <c r="R122" s="303"/>
    </row>
    <row r="123" spans="2:18" x14ac:dyDescent="0.3">
      <c r="B123" s="1" t="s">
        <v>2066</v>
      </c>
      <c r="C123" s="1" t="s">
        <v>2726</v>
      </c>
      <c r="D123" s="1" t="s">
        <v>2738</v>
      </c>
      <c r="E123" s="302">
        <v>0</v>
      </c>
      <c r="F123" s="1805">
        <v>1020942</v>
      </c>
      <c r="G123" s="1" t="s">
        <v>763</v>
      </c>
      <c r="H123" s="1" t="s">
        <v>771</v>
      </c>
      <c r="J123" s="29"/>
      <c r="K123" s="303" t="s">
        <v>2080</v>
      </c>
      <c r="L123" s="303" t="s">
        <v>2177</v>
      </c>
      <c r="M123" s="303" t="s">
        <v>2529</v>
      </c>
      <c r="N123" s="303">
        <v>171916.43</v>
      </c>
      <c r="O123" s="303">
        <v>13484.35</v>
      </c>
      <c r="P123" s="303" t="s">
        <v>743</v>
      </c>
      <c r="Q123" s="303" t="s">
        <v>1509</v>
      </c>
      <c r="R123" s="303"/>
    </row>
    <row r="124" spans="2:18" x14ac:dyDescent="0.3">
      <c r="B124" s="1" t="s">
        <v>2066</v>
      </c>
      <c r="C124" s="1" t="s">
        <v>2726</v>
      </c>
      <c r="D124" s="1" t="s">
        <v>2737</v>
      </c>
      <c r="E124" s="302">
        <v>0</v>
      </c>
      <c r="F124" s="1805">
        <v>4280286.79</v>
      </c>
      <c r="G124" s="1" t="s">
        <v>763</v>
      </c>
      <c r="H124" s="1" t="s">
        <v>2737</v>
      </c>
      <c r="J124" s="29"/>
      <c r="K124" s="303" t="s">
        <v>1012</v>
      </c>
      <c r="L124" s="303" t="s">
        <v>2218</v>
      </c>
      <c r="M124" s="303" t="s">
        <v>2530</v>
      </c>
      <c r="N124" s="303">
        <v>-1807256.57</v>
      </c>
      <c r="O124" s="303">
        <v>0</v>
      </c>
      <c r="P124" s="303"/>
      <c r="Q124" s="303"/>
      <c r="R124" s="303"/>
    </row>
    <row r="125" spans="2:18" x14ac:dyDescent="0.3">
      <c r="B125" s="1" t="s">
        <v>2066</v>
      </c>
      <c r="C125" s="1" t="s">
        <v>2726</v>
      </c>
      <c r="D125" s="1" t="s">
        <v>2736</v>
      </c>
      <c r="E125" s="302">
        <v>0</v>
      </c>
      <c r="F125" s="302">
        <v>0</v>
      </c>
      <c r="G125" s="1" t="s">
        <v>763</v>
      </c>
      <c r="H125" s="1" t="s">
        <v>772</v>
      </c>
      <c r="J125" s="29"/>
      <c r="K125" s="303" t="s">
        <v>2080</v>
      </c>
      <c r="L125" s="303" t="s">
        <v>2177</v>
      </c>
      <c r="M125" s="303" t="s">
        <v>2532</v>
      </c>
      <c r="N125" s="303">
        <v>14275050.640000001</v>
      </c>
      <c r="O125" s="303">
        <v>26544026.890000001</v>
      </c>
      <c r="P125" s="303" t="s">
        <v>743</v>
      </c>
      <c r="Q125" s="303" t="s">
        <v>1509</v>
      </c>
      <c r="R125" s="303"/>
    </row>
    <row r="126" spans="2:18" x14ac:dyDescent="0.3">
      <c r="B126" s="1" t="s">
        <v>2066</v>
      </c>
      <c r="C126" s="1" t="s">
        <v>2726</v>
      </c>
      <c r="D126" s="1" t="s">
        <v>2734</v>
      </c>
      <c r="E126" s="302">
        <v>0</v>
      </c>
      <c r="F126" s="302">
        <v>0</v>
      </c>
      <c r="G126" s="1" t="s">
        <v>997</v>
      </c>
      <c r="H126" s="1" t="s">
        <v>761</v>
      </c>
      <c r="J126" s="29"/>
      <c r="K126" s="303" t="s">
        <v>2080</v>
      </c>
      <c r="L126" s="303" t="s">
        <v>2177</v>
      </c>
      <c r="M126" s="303" t="s">
        <v>2534</v>
      </c>
      <c r="N126" s="303">
        <v>88175.35</v>
      </c>
      <c r="O126" s="303">
        <v>0</v>
      </c>
      <c r="P126" s="303" t="s">
        <v>743</v>
      </c>
      <c r="Q126" s="303" t="s">
        <v>1513</v>
      </c>
      <c r="R126" s="303"/>
    </row>
    <row r="127" spans="2:18" x14ac:dyDescent="0.3">
      <c r="B127" s="1" t="s">
        <v>2066</v>
      </c>
      <c r="C127" s="1" t="s">
        <v>2726</v>
      </c>
      <c r="D127" s="1" t="s">
        <v>2733</v>
      </c>
      <c r="E127" s="302">
        <v>0</v>
      </c>
      <c r="F127" s="1805">
        <v>176715.08</v>
      </c>
      <c r="G127" s="1" t="s">
        <v>763</v>
      </c>
      <c r="H127" s="1" t="s">
        <v>765</v>
      </c>
      <c r="J127" s="29"/>
      <c r="K127" s="303" t="s">
        <v>2128</v>
      </c>
      <c r="L127" s="303" t="s">
        <v>2131</v>
      </c>
      <c r="M127" s="303" t="s">
        <v>2537</v>
      </c>
      <c r="N127" s="303">
        <v>333</v>
      </c>
      <c r="O127" s="303">
        <v>0</v>
      </c>
      <c r="P127" s="303" t="s">
        <v>1812</v>
      </c>
      <c r="Q127" s="303" t="s">
        <v>1887</v>
      </c>
      <c r="R127" s="303"/>
    </row>
    <row r="128" spans="2:18" x14ac:dyDescent="0.3">
      <c r="B128" s="1" t="s">
        <v>2066</v>
      </c>
      <c r="C128" s="1" t="s">
        <v>2726</v>
      </c>
      <c r="D128" s="1" t="s">
        <v>2732</v>
      </c>
      <c r="E128" s="302">
        <v>0</v>
      </c>
      <c r="F128" s="1805">
        <v>7808006.25</v>
      </c>
      <c r="G128" s="1" t="s">
        <v>763</v>
      </c>
      <c r="H128" s="1" t="s">
        <v>758</v>
      </c>
      <c r="J128" s="29"/>
      <c r="K128" s="303" t="s">
        <v>2066</v>
      </c>
      <c r="L128" s="303" t="s">
        <v>2066</v>
      </c>
      <c r="M128" s="303" t="s">
        <v>2538</v>
      </c>
      <c r="N128" s="303">
        <v>0</v>
      </c>
      <c r="O128" s="303">
        <v>34767.32</v>
      </c>
      <c r="P128" s="303" t="s">
        <v>763</v>
      </c>
      <c r="Q128" s="303" t="s">
        <v>772</v>
      </c>
      <c r="R128" s="303"/>
    </row>
    <row r="129" spans="2:18" x14ac:dyDescent="0.3">
      <c r="B129" s="1" t="s">
        <v>2066</v>
      </c>
      <c r="C129" s="1" t="s">
        <v>2726</v>
      </c>
      <c r="D129" s="1" t="s">
        <v>2731</v>
      </c>
      <c r="E129" s="302">
        <v>0</v>
      </c>
      <c r="F129" s="1805">
        <v>1964970.07</v>
      </c>
      <c r="G129" s="1" t="s">
        <v>997</v>
      </c>
      <c r="H129" s="1" t="s">
        <v>762</v>
      </c>
      <c r="J129" s="29"/>
      <c r="K129" s="303" t="s">
        <v>2080</v>
      </c>
      <c r="L129" s="303" t="s">
        <v>2080</v>
      </c>
      <c r="M129" s="303" t="s">
        <v>2540</v>
      </c>
      <c r="N129" s="303">
        <v>66872.259999999995</v>
      </c>
      <c r="O129" s="303">
        <v>36580</v>
      </c>
      <c r="P129" s="303" t="s">
        <v>743</v>
      </c>
      <c r="Q129" s="303" t="s">
        <v>1513</v>
      </c>
      <c r="R129" s="303"/>
    </row>
    <row r="130" spans="2:18" x14ac:dyDescent="0.3">
      <c r="B130" s="1" t="s">
        <v>2066</v>
      </c>
      <c r="C130" s="1" t="s">
        <v>2726</v>
      </c>
      <c r="D130" s="1" t="s">
        <v>2729</v>
      </c>
      <c r="E130" s="302">
        <v>0</v>
      </c>
      <c r="F130" s="1805">
        <v>4363183.9800000004</v>
      </c>
      <c r="G130" s="1" t="s">
        <v>997</v>
      </c>
      <c r="H130" s="1" t="s">
        <v>762</v>
      </c>
      <c r="J130" s="29"/>
      <c r="K130" s="303" t="s">
        <v>2080</v>
      </c>
      <c r="L130" s="303" t="s">
        <v>2080</v>
      </c>
      <c r="M130" s="303" t="s">
        <v>2541</v>
      </c>
      <c r="N130" s="303">
        <v>629137.29</v>
      </c>
      <c r="O130" s="303">
        <v>0</v>
      </c>
      <c r="P130" s="303" t="s">
        <v>743</v>
      </c>
      <c r="Q130" s="303" t="s">
        <v>1513</v>
      </c>
      <c r="R130" s="303"/>
    </row>
    <row r="131" spans="2:18" x14ac:dyDescent="0.3">
      <c r="B131" s="1" t="s">
        <v>2066</v>
      </c>
      <c r="C131" s="1" t="s">
        <v>2726</v>
      </c>
      <c r="D131" s="1" t="s">
        <v>2728</v>
      </c>
      <c r="E131" s="302">
        <v>0</v>
      </c>
      <c r="F131" s="1805">
        <v>28167</v>
      </c>
      <c r="G131" s="1" t="s">
        <v>997</v>
      </c>
      <c r="H131" s="1" t="s">
        <v>761</v>
      </c>
      <c r="J131" s="29"/>
      <c r="K131" s="303" t="s">
        <v>2080</v>
      </c>
      <c r="L131" s="303" t="s">
        <v>2080</v>
      </c>
      <c r="M131" s="2348" t="s">
        <v>2542</v>
      </c>
      <c r="N131" s="303">
        <v>419424.86</v>
      </c>
      <c r="O131" s="303">
        <v>0</v>
      </c>
      <c r="P131" s="303" t="s">
        <v>743</v>
      </c>
      <c r="Q131" s="303" t="s">
        <v>1513</v>
      </c>
      <c r="R131" s="303"/>
    </row>
    <row r="132" spans="2:18" x14ac:dyDescent="0.3">
      <c r="B132" s="1" t="s">
        <v>2169</v>
      </c>
      <c r="C132" s="1" t="s">
        <v>2720</v>
      </c>
      <c r="D132" s="1" t="s">
        <v>2724</v>
      </c>
      <c r="E132" s="302">
        <v>0</v>
      </c>
      <c r="F132" s="1823">
        <v>0</v>
      </c>
      <c r="G132" s="1" t="s">
        <v>752</v>
      </c>
      <c r="H132" s="1" t="s">
        <v>3806</v>
      </c>
      <c r="J132" s="29"/>
      <c r="K132" s="303" t="s">
        <v>953</v>
      </c>
      <c r="L132" s="303" t="s">
        <v>2064</v>
      </c>
      <c r="M132" s="2348" t="s">
        <v>2545</v>
      </c>
      <c r="N132" s="303">
        <v>-1170000</v>
      </c>
      <c r="O132" s="303">
        <v>-1208880</v>
      </c>
      <c r="P132" s="303" t="s">
        <v>799</v>
      </c>
      <c r="Q132" s="303" t="s">
        <v>1292</v>
      </c>
      <c r="R132" s="303"/>
    </row>
    <row r="133" spans="2:18" x14ac:dyDescent="0.3">
      <c r="B133" s="1" t="s">
        <v>2298</v>
      </c>
      <c r="C133" s="1" t="s">
        <v>2722</v>
      </c>
      <c r="D133" s="1" t="s">
        <v>2723</v>
      </c>
      <c r="E133" s="302">
        <v>0</v>
      </c>
      <c r="F133" s="1805">
        <v>-128248.63</v>
      </c>
      <c r="G133" s="1" t="s">
        <v>748</v>
      </c>
      <c r="H133" s="1" t="s">
        <v>750</v>
      </c>
      <c r="J133" s="29"/>
      <c r="K133" s="303" t="s">
        <v>1012</v>
      </c>
      <c r="L133" s="303" t="s">
        <v>1012</v>
      </c>
      <c r="M133" s="303" t="s">
        <v>2560</v>
      </c>
      <c r="N133" s="303">
        <v>0</v>
      </c>
      <c r="O133" s="303">
        <v>-23600</v>
      </c>
      <c r="P133" s="303" t="s">
        <v>799</v>
      </c>
      <c r="Q133" s="303" t="s">
        <v>1292</v>
      </c>
      <c r="R133" s="303"/>
    </row>
    <row r="134" spans="2:18" x14ac:dyDescent="0.3">
      <c r="B134" s="1" t="s">
        <v>1012</v>
      </c>
      <c r="C134" s="1" t="s">
        <v>1012</v>
      </c>
      <c r="D134" s="1">
        <f ca="1">RAND()</f>
        <v>0.60872032282774258</v>
      </c>
      <c r="E134" s="302">
        <v>0</v>
      </c>
      <c r="F134" s="1805">
        <v>-4740</v>
      </c>
      <c r="G134" s="1" t="s">
        <v>799</v>
      </c>
      <c r="H134" s="1" t="s">
        <v>1291</v>
      </c>
      <c r="J134" s="29"/>
      <c r="K134" s="303" t="s">
        <v>2128</v>
      </c>
      <c r="L134" s="303" t="s">
        <v>2214</v>
      </c>
      <c r="M134" s="303" t="s">
        <v>2564</v>
      </c>
      <c r="N134" s="303">
        <v>5359.01</v>
      </c>
      <c r="O134" s="303">
        <v>0</v>
      </c>
      <c r="P134" s="303" t="s">
        <v>363</v>
      </c>
      <c r="Q134" s="303" t="s">
        <v>2015</v>
      </c>
      <c r="R134" s="303"/>
    </row>
    <row r="135" spans="2:18" x14ac:dyDescent="0.3">
      <c r="B135" s="1" t="s">
        <v>1012</v>
      </c>
      <c r="C135" s="1" t="s">
        <v>1012</v>
      </c>
      <c r="D135" s="1" t="s">
        <v>2718</v>
      </c>
      <c r="E135" s="302">
        <v>0</v>
      </c>
      <c r="F135" s="302">
        <v>39340</v>
      </c>
      <c r="G135" s="1" t="s">
        <v>363</v>
      </c>
      <c r="H135" s="1" t="s">
        <v>2023</v>
      </c>
      <c r="J135" s="29"/>
      <c r="K135" s="303" t="s">
        <v>2128</v>
      </c>
      <c r="L135" s="303" t="s">
        <v>2214</v>
      </c>
      <c r="M135" s="303" t="s">
        <v>2565</v>
      </c>
      <c r="N135" s="303">
        <v>5575.98</v>
      </c>
      <c r="O135" s="303">
        <v>0</v>
      </c>
      <c r="P135" s="303" t="s">
        <v>363</v>
      </c>
      <c r="Q135" s="303" t="s">
        <v>2015</v>
      </c>
      <c r="R135" s="303"/>
    </row>
    <row r="136" spans="2:18" x14ac:dyDescent="0.3">
      <c r="B136" s="1" t="s">
        <v>953</v>
      </c>
      <c r="C136" s="1" t="s">
        <v>2064</v>
      </c>
      <c r="D136" s="1">
        <f ca="1">RAND()</f>
        <v>0.38043339250116215</v>
      </c>
      <c r="E136" s="302">
        <v>-42500</v>
      </c>
      <c r="F136" s="1805">
        <v>0</v>
      </c>
      <c r="G136" s="1" t="s">
        <v>799</v>
      </c>
      <c r="H136" s="1" t="s">
        <v>1292</v>
      </c>
      <c r="J136" s="29"/>
      <c r="K136" s="303" t="s">
        <v>2128</v>
      </c>
      <c r="L136" s="303" t="s">
        <v>2214</v>
      </c>
      <c r="M136" s="303" t="s">
        <v>2566</v>
      </c>
      <c r="N136" s="303">
        <v>333.5</v>
      </c>
      <c r="O136" s="303">
        <v>0</v>
      </c>
      <c r="P136" s="303" t="s">
        <v>363</v>
      </c>
      <c r="Q136" s="303" t="s">
        <v>2015</v>
      </c>
      <c r="R136" s="303"/>
    </row>
    <row r="137" spans="2:18" x14ac:dyDescent="0.3">
      <c r="B137" s="1" t="s">
        <v>953</v>
      </c>
      <c r="C137" s="1" t="s">
        <v>2112</v>
      </c>
      <c r="D137" s="1" t="s">
        <v>2714</v>
      </c>
      <c r="E137" s="302">
        <v>-8355</v>
      </c>
      <c r="F137" s="302">
        <v>0</v>
      </c>
      <c r="G137" s="1" t="s">
        <v>508</v>
      </c>
      <c r="H137" s="1" t="s">
        <v>1303</v>
      </c>
      <c r="J137" s="29"/>
      <c r="K137" s="303" t="s">
        <v>2128</v>
      </c>
      <c r="L137" s="303" t="s">
        <v>2131</v>
      </c>
      <c r="M137" s="303" t="s">
        <v>2567</v>
      </c>
      <c r="N137" s="303">
        <v>575</v>
      </c>
      <c r="O137" s="303">
        <v>575</v>
      </c>
      <c r="P137" s="303" t="s">
        <v>1812</v>
      </c>
      <c r="Q137" s="303" t="s">
        <v>1887</v>
      </c>
      <c r="R137" s="303"/>
    </row>
    <row r="138" spans="2:18" x14ac:dyDescent="0.3">
      <c r="B138" s="1" t="s">
        <v>2670</v>
      </c>
      <c r="C138" s="1" t="s">
        <v>2675</v>
      </c>
      <c r="D138" s="1" t="s">
        <v>2685</v>
      </c>
      <c r="E138" s="302">
        <v>0</v>
      </c>
      <c r="F138" s="302">
        <v>0</v>
      </c>
      <c r="G138" s="1" t="s">
        <v>763</v>
      </c>
      <c r="H138" s="1" t="s">
        <v>3503</v>
      </c>
      <c r="J138" s="29"/>
      <c r="K138" s="303" t="s">
        <v>2128</v>
      </c>
      <c r="L138" s="303" t="s">
        <v>2131</v>
      </c>
      <c r="M138" s="303" t="s">
        <v>2568</v>
      </c>
      <c r="N138" s="303">
        <v>3577</v>
      </c>
      <c r="O138" s="303">
        <v>2100</v>
      </c>
      <c r="P138" s="303" t="s">
        <v>1812</v>
      </c>
      <c r="Q138" s="303" t="s">
        <v>1887</v>
      </c>
      <c r="R138" s="303"/>
    </row>
    <row r="139" spans="2:18" x14ac:dyDescent="0.3">
      <c r="B139" s="1" t="s">
        <v>2670</v>
      </c>
      <c r="C139" s="1" t="s">
        <v>2673</v>
      </c>
      <c r="D139" s="1" t="s">
        <v>2684</v>
      </c>
      <c r="E139" s="302">
        <v>0</v>
      </c>
      <c r="F139" s="1823">
        <v>0</v>
      </c>
      <c r="H139" s="1" t="s">
        <v>3723</v>
      </c>
      <c r="J139" s="29"/>
      <c r="K139" s="303" t="s">
        <v>2066</v>
      </c>
      <c r="L139" s="303" t="s">
        <v>2066</v>
      </c>
      <c r="M139" s="303" t="s">
        <v>2569</v>
      </c>
      <c r="N139" s="303">
        <v>0</v>
      </c>
      <c r="O139" s="2608">
        <f>112551.61+30000</f>
        <v>142551.60999999999</v>
      </c>
      <c r="P139" s="303" t="s">
        <v>763</v>
      </c>
      <c r="Q139" s="303" t="s">
        <v>2569</v>
      </c>
      <c r="R139" s="303"/>
    </row>
    <row r="140" spans="2:18" x14ac:dyDescent="0.3">
      <c r="B140" s="1" t="s">
        <v>2670</v>
      </c>
      <c r="C140" s="1" t="s">
        <v>2673</v>
      </c>
      <c r="D140" s="1" t="s">
        <v>2683</v>
      </c>
      <c r="E140" s="302">
        <v>0</v>
      </c>
      <c r="F140" s="302">
        <v>180550</v>
      </c>
      <c r="H140" s="1" t="s">
        <v>3723</v>
      </c>
      <c r="J140" s="29"/>
      <c r="K140" s="303" t="s">
        <v>2128</v>
      </c>
      <c r="L140" s="303" t="s">
        <v>2570</v>
      </c>
      <c r="M140" s="303" t="s">
        <v>2571</v>
      </c>
      <c r="N140" s="303">
        <v>1971.33</v>
      </c>
      <c r="O140" s="303">
        <v>1450.33</v>
      </c>
      <c r="P140" s="303" t="s">
        <v>1812</v>
      </c>
      <c r="Q140" s="303" t="s">
        <v>1887</v>
      </c>
      <c r="R140" s="303"/>
    </row>
    <row r="141" spans="2:18" x14ac:dyDescent="0.3">
      <c r="B141" s="1" t="s">
        <v>2670</v>
      </c>
      <c r="C141" s="1" t="s">
        <v>2675</v>
      </c>
      <c r="D141" s="1" t="s">
        <v>2682</v>
      </c>
      <c r="E141" s="302">
        <v>0</v>
      </c>
      <c r="F141" s="1826">
        <f>6585007.6*0+8549630.88</f>
        <v>8549630.8800000008</v>
      </c>
      <c r="G141" s="1" t="s">
        <v>763</v>
      </c>
      <c r="H141" s="1" t="s">
        <v>3503</v>
      </c>
      <c r="J141" s="29"/>
      <c r="K141" s="303" t="s">
        <v>2281</v>
      </c>
      <c r="L141" s="303" t="s">
        <v>2282</v>
      </c>
      <c r="M141" s="303" t="s">
        <v>2572</v>
      </c>
      <c r="N141" s="303">
        <v>-120950</v>
      </c>
      <c r="O141" s="303">
        <v>-120950</v>
      </c>
      <c r="P141" s="303" t="s">
        <v>3766</v>
      </c>
      <c r="Q141" s="303"/>
      <c r="R141" s="303"/>
    </row>
    <row r="142" spans="2:18" x14ac:dyDescent="0.3">
      <c r="B142" s="1" t="s">
        <v>2670</v>
      </c>
      <c r="C142" s="1" t="s">
        <v>2673</v>
      </c>
      <c r="D142" s="1" t="s">
        <v>2681</v>
      </c>
      <c r="E142" s="302">
        <v>0</v>
      </c>
      <c r="F142" s="302">
        <v>133433069.66</v>
      </c>
      <c r="H142" s="1" t="s">
        <v>3723</v>
      </c>
      <c r="J142" s="29"/>
      <c r="K142" s="303" t="s">
        <v>2281</v>
      </c>
      <c r="L142" s="303" t="s">
        <v>2573</v>
      </c>
      <c r="M142" s="303" t="s">
        <v>2574</v>
      </c>
      <c r="N142" s="303">
        <v>120950</v>
      </c>
      <c r="O142" s="303">
        <v>120950</v>
      </c>
      <c r="P142" s="303" t="s">
        <v>3766</v>
      </c>
      <c r="Q142" s="303"/>
      <c r="R142" s="303"/>
    </row>
    <row r="143" spans="2:18" x14ac:dyDescent="0.3">
      <c r="B143" s="1" t="s">
        <v>2670</v>
      </c>
      <c r="C143" s="1" t="s">
        <v>2670</v>
      </c>
      <c r="D143" s="1" t="s">
        <v>2680</v>
      </c>
      <c r="E143" s="302">
        <v>0</v>
      </c>
      <c r="F143" s="1805">
        <v>2864.25</v>
      </c>
      <c r="G143" s="1" t="s">
        <v>763</v>
      </c>
      <c r="H143" s="1" t="s">
        <v>795</v>
      </c>
      <c r="J143" s="29"/>
      <c r="K143" s="303" t="s">
        <v>1012</v>
      </c>
      <c r="L143" s="303" t="s">
        <v>1012</v>
      </c>
      <c r="M143" s="303" t="s">
        <v>2577</v>
      </c>
      <c r="N143" s="303">
        <v>-70204.899999999994</v>
      </c>
      <c r="O143" s="303">
        <v>-75119.320000000007</v>
      </c>
      <c r="P143" s="303" t="s">
        <v>799</v>
      </c>
      <c r="Q143" s="303" t="s">
        <v>1292</v>
      </c>
      <c r="R143" s="303"/>
    </row>
    <row r="144" spans="2:18" x14ac:dyDescent="0.3">
      <c r="B144" s="1" t="s">
        <v>2670</v>
      </c>
      <c r="C144" s="1" t="s">
        <v>2675</v>
      </c>
      <c r="D144" s="1" t="s">
        <v>2678</v>
      </c>
      <c r="E144" s="302">
        <v>0</v>
      </c>
      <c r="F144" s="1805">
        <f>61916431.47*0+74076573.69</f>
        <v>74076573.689999998</v>
      </c>
      <c r="G144" s="1" t="s">
        <v>763</v>
      </c>
      <c r="H144" s="1" t="s">
        <v>3503</v>
      </c>
      <c r="J144" s="29"/>
      <c r="K144" s="303" t="s">
        <v>953</v>
      </c>
      <c r="L144" s="303" t="s">
        <v>2064</v>
      </c>
      <c r="M144" s="303" t="s">
        <v>2579</v>
      </c>
      <c r="N144" s="303">
        <v>-328050</v>
      </c>
      <c r="O144" s="303">
        <v>-389150</v>
      </c>
      <c r="P144" s="303" t="s">
        <v>799</v>
      </c>
      <c r="Q144" s="303" t="s">
        <v>1292</v>
      </c>
      <c r="R144" s="303"/>
    </row>
    <row r="145" spans="2:18" x14ac:dyDescent="0.3">
      <c r="B145" s="1" t="s">
        <v>2670</v>
      </c>
      <c r="C145" s="1" t="s">
        <v>2673</v>
      </c>
      <c r="D145" s="1" t="s">
        <v>2677</v>
      </c>
      <c r="E145" s="302">
        <v>0</v>
      </c>
      <c r="F145" s="302">
        <v>27906153.670000002</v>
      </c>
      <c r="H145" s="1" t="s">
        <v>3723</v>
      </c>
      <c r="J145" s="29"/>
      <c r="K145" s="303" t="s">
        <v>2281</v>
      </c>
      <c r="L145" s="303" t="s">
        <v>2573</v>
      </c>
      <c r="M145" s="303" t="s">
        <v>2580</v>
      </c>
      <c r="N145" s="303">
        <v>2110671</v>
      </c>
      <c r="O145" s="303">
        <v>5753387.1500000004</v>
      </c>
      <c r="P145" s="303" t="s">
        <v>3766</v>
      </c>
      <c r="Q145" s="303"/>
      <c r="R145" s="303"/>
    </row>
    <row r="146" spans="2:18" x14ac:dyDescent="0.3">
      <c r="B146" s="1" t="s">
        <v>2670</v>
      </c>
      <c r="C146" s="1" t="s">
        <v>2675</v>
      </c>
      <c r="D146" s="1" t="s">
        <v>2676</v>
      </c>
      <c r="E146" s="302">
        <v>0</v>
      </c>
      <c r="F146" s="1805">
        <f>29044895.48*0+31458121.22</f>
        <v>31458121.219999999</v>
      </c>
      <c r="G146" s="1" t="s">
        <v>763</v>
      </c>
      <c r="H146" s="1" t="s">
        <v>3503</v>
      </c>
      <c r="J146" s="29"/>
      <c r="K146" s="303" t="s">
        <v>2281</v>
      </c>
      <c r="L146" s="303" t="s">
        <v>2282</v>
      </c>
      <c r="M146" s="303" t="s">
        <v>2581</v>
      </c>
      <c r="N146" s="303">
        <v>-2110671</v>
      </c>
      <c r="O146" s="303">
        <v>-5753387.1500000004</v>
      </c>
      <c r="P146" s="303" t="s">
        <v>3766</v>
      </c>
      <c r="Q146" s="303"/>
      <c r="R146" s="303"/>
    </row>
    <row r="147" spans="2:18" x14ac:dyDescent="0.3">
      <c r="B147" s="1" t="s">
        <v>2670</v>
      </c>
      <c r="C147" s="1" t="s">
        <v>2670</v>
      </c>
      <c r="D147" s="1" t="s">
        <v>2671</v>
      </c>
      <c r="E147" s="302">
        <v>0</v>
      </c>
      <c r="F147" s="302">
        <v>-6480</v>
      </c>
      <c r="H147" s="1" t="s">
        <v>3723</v>
      </c>
      <c r="J147" s="29"/>
      <c r="K147" s="303" t="s">
        <v>2120</v>
      </c>
      <c r="L147" s="303" t="s">
        <v>2120</v>
      </c>
      <c r="M147" s="303" t="s">
        <v>2609</v>
      </c>
      <c r="N147" s="303">
        <f>122278</f>
        <v>122278</v>
      </c>
      <c r="O147" s="303">
        <v>0</v>
      </c>
      <c r="P147" s="303" t="s">
        <v>363</v>
      </c>
      <c r="Q147" s="303" t="s">
        <v>2023</v>
      </c>
      <c r="R147" s="303"/>
    </row>
    <row r="148" spans="2:18" x14ac:dyDescent="0.3">
      <c r="B148" s="1" t="s">
        <v>959</v>
      </c>
      <c r="C148" s="1" t="s">
        <v>959</v>
      </c>
      <c r="D148" s="1" t="s">
        <v>3095</v>
      </c>
      <c r="E148" s="302">
        <v>0</v>
      </c>
      <c r="F148" s="1805">
        <v>-10983510</v>
      </c>
      <c r="G148" s="1" t="s">
        <v>959</v>
      </c>
      <c r="H148" s="1" t="s">
        <v>1277</v>
      </c>
      <c r="J148" s="29"/>
      <c r="K148" s="303" t="s">
        <v>953</v>
      </c>
      <c r="L148" s="303" t="s">
        <v>2064</v>
      </c>
      <c r="M148" s="2377" t="s">
        <v>2629</v>
      </c>
      <c r="N148" s="303">
        <v>-184500</v>
      </c>
      <c r="O148" s="303">
        <v>-275580.03000000003</v>
      </c>
      <c r="P148" s="303" t="s">
        <v>799</v>
      </c>
      <c r="Q148" s="303" t="s">
        <v>1292</v>
      </c>
      <c r="R148" s="303"/>
    </row>
    <row r="149" spans="2:18" x14ac:dyDescent="0.3">
      <c r="B149" s="1" t="s">
        <v>959</v>
      </c>
      <c r="C149" s="1" t="s">
        <v>959</v>
      </c>
      <c r="D149" s="1" t="s">
        <v>2668</v>
      </c>
      <c r="E149" s="302">
        <v>-8000000</v>
      </c>
      <c r="F149" s="302">
        <v>0</v>
      </c>
      <c r="G149" s="1" t="s">
        <v>959</v>
      </c>
      <c r="H149" s="1" t="s">
        <v>1277</v>
      </c>
      <c r="J149" s="29"/>
      <c r="K149" s="303" t="s">
        <v>953</v>
      </c>
      <c r="L149" s="303" t="s">
        <v>2064</v>
      </c>
      <c r="M149" s="2377" t="s">
        <v>2630</v>
      </c>
      <c r="N149" s="303">
        <v>-108000</v>
      </c>
      <c r="O149" s="303">
        <v>-32400</v>
      </c>
      <c r="P149" s="303" t="s">
        <v>799</v>
      </c>
      <c r="Q149" s="303" t="s">
        <v>1292</v>
      </c>
      <c r="R149" s="303"/>
    </row>
    <row r="150" spans="2:18" x14ac:dyDescent="0.3">
      <c r="B150" s="1" t="s">
        <v>959</v>
      </c>
      <c r="C150" s="1" t="s">
        <v>959</v>
      </c>
      <c r="D150" s="1" t="s">
        <v>2667</v>
      </c>
      <c r="E150" s="302">
        <v>-6815666</v>
      </c>
      <c r="F150" s="302">
        <v>0</v>
      </c>
      <c r="G150" s="1" t="s">
        <v>959</v>
      </c>
      <c r="H150" s="1" t="s">
        <v>1277</v>
      </c>
      <c r="J150" s="29"/>
      <c r="K150" s="303" t="s">
        <v>1013</v>
      </c>
      <c r="L150" s="303" t="s">
        <v>2636</v>
      </c>
      <c r="M150" s="303" t="s">
        <v>2638</v>
      </c>
      <c r="N150" s="303">
        <v>1876729.92</v>
      </c>
      <c r="O150" s="303">
        <v>62932.92</v>
      </c>
      <c r="P150" s="303" t="s">
        <v>363</v>
      </c>
      <c r="Q150" s="303" t="s">
        <v>2015</v>
      </c>
      <c r="R150" s="303"/>
    </row>
    <row r="151" spans="2:18" x14ac:dyDescent="0.3">
      <c r="B151" s="1" t="s">
        <v>2281</v>
      </c>
      <c r="C151" s="1" t="s">
        <v>2282</v>
      </c>
      <c r="D151" s="1" t="s">
        <v>3630</v>
      </c>
      <c r="E151" s="533">
        <v>0</v>
      </c>
      <c r="F151" s="533">
        <v>-4193844.82</v>
      </c>
      <c r="G151" s="1" t="s">
        <v>3766</v>
      </c>
      <c r="J151" s="29"/>
      <c r="K151" s="303" t="s">
        <v>1013</v>
      </c>
      <c r="L151" s="303" t="s">
        <v>2636</v>
      </c>
      <c r="M151" s="303" t="s">
        <v>2640</v>
      </c>
      <c r="N151" s="303">
        <v>6000</v>
      </c>
      <c r="O151" s="303">
        <v>6000</v>
      </c>
      <c r="P151" s="303" t="s">
        <v>363</v>
      </c>
      <c r="Q151" s="303" t="s">
        <v>2015</v>
      </c>
      <c r="R151" s="303"/>
    </row>
    <row r="152" spans="2:18" x14ac:dyDescent="0.3">
      <c r="B152" s="1" t="s">
        <v>2281</v>
      </c>
      <c r="C152" s="1" t="s">
        <v>2573</v>
      </c>
      <c r="D152" s="1" t="s">
        <v>3631</v>
      </c>
      <c r="E152" s="533">
        <v>0</v>
      </c>
      <c r="F152" s="533">
        <v>4193844.82</v>
      </c>
      <c r="G152" s="1" t="s">
        <v>3766</v>
      </c>
      <c r="J152" s="29"/>
      <c r="K152" s="303" t="s">
        <v>1013</v>
      </c>
      <c r="L152" s="303" t="s">
        <v>2636</v>
      </c>
      <c r="M152" s="303" t="s">
        <v>2641</v>
      </c>
      <c r="N152" s="303">
        <v>141290</v>
      </c>
      <c r="O152" s="303">
        <v>141290</v>
      </c>
      <c r="P152" s="303" t="s">
        <v>363</v>
      </c>
      <c r="Q152" s="303" t="s">
        <v>2015</v>
      </c>
      <c r="R152" s="303"/>
    </row>
    <row r="153" spans="2:18" x14ac:dyDescent="0.3">
      <c r="B153" s="1" t="s">
        <v>959</v>
      </c>
      <c r="C153" s="1" t="s">
        <v>959</v>
      </c>
      <c r="D153" s="1" t="s">
        <v>3629</v>
      </c>
      <c r="E153" s="533">
        <v>0</v>
      </c>
      <c r="F153" s="2552">
        <v>-248909.08</v>
      </c>
      <c r="G153" s="1" t="s">
        <v>959</v>
      </c>
      <c r="H153" s="1" t="s">
        <v>1272</v>
      </c>
      <c r="J153" s="29"/>
      <c r="K153" s="303" t="s">
        <v>1013</v>
      </c>
      <c r="L153" s="303" t="s">
        <v>2636</v>
      </c>
      <c r="M153" s="303" t="s">
        <v>2642</v>
      </c>
      <c r="N153" s="303">
        <v>256416</v>
      </c>
      <c r="O153" s="303">
        <v>0</v>
      </c>
      <c r="P153" s="303" t="s">
        <v>363</v>
      </c>
      <c r="Q153" s="303" t="s">
        <v>2015</v>
      </c>
      <c r="R153" s="303"/>
    </row>
    <row r="154" spans="2:18" x14ac:dyDescent="0.3">
      <c r="B154" s="1" t="s">
        <v>959</v>
      </c>
      <c r="C154" s="1" t="s">
        <v>959</v>
      </c>
      <c r="D154" s="1">
        <f ca="1">RAND()</f>
        <v>0.76903379531108618</v>
      </c>
      <c r="E154" s="302">
        <v>0</v>
      </c>
      <c r="F154" s="1805">
        <v>-188234</v>
      </c>
      <c r="G154" s="1" t="s">
        <v>799</v>
      </c>
      <c r="H154" s="1" t="s">
        <v>1292</v>
      </c>
      <c r="J154" s="29"/>
      <c r="K154" s="303" t="s">
        <v>1013</v>
      </c>
      <c r="L154" s="303" t="s">
        <v>2636</v>
      </c>
      <c r="M154" s="303" t="s">
        <v>2644</v>
      </c>
      <c r="N154" s="303">
        <v>24941.25</v>
      </c>
      <c r="O154" s="303">
        <v>22057.88</v>
      </c>
      <c r="P154" s="303" t="s">
        <v>363</v>
      </c>
      <c r="Q154" s="303" t="s">
        <v>2015</v>
      </c>
      <c r="R154" s="303"/>
    </row>
    <row r="155" spans="2:18" x14ac:dyDescent="0.3">
      <c r="B155" s="1" t="s">
        <v>959</v>
      </c>
      <c r="C155" s="1" t="s">
        <v>959</v>
      </c>
      <c r="D155" s="1" t="s">
        <v>3093</v>
      </c>
      <c r="E155" s="302">
        <v>0</v>
      </c>
      <c r="F155" s="1805">
        <v>-3343429</v>
      </c>
      <c r="G155" s="1" t="s">
        <v>508</v>
      </c>
      <c r="H155" s="1" t="s">
        <v>1647</v>
      </c>
      <c r="J155" s="29"/>
      <c r="K155" s="303" t="s">
        <v>1013</v>
      </c>
      <c r="L155" s="303" t="s">
        <v>2636</v>
      </c>
      <c r="M155" s="303" t="s">
        <v>2645</v>
      </c>
      <c r="N155" s="303">
        <v>5342.6</v>
      </c>
      <c r="O155" s="303">
        <v>1951.16</v>
      </c>
      <c r="P155" s="303" t="s">
        <v>363</v>
      </c>
      <c r="Q155" s="303" t="s">
        <v>2015</v>
      </c>
      <c r="R155" s="303"/>
    </row>
    <row r="156" spans="2:18" x14ac:dyDescent="0.3">
      <c r="B156" s="1" t="s">
        <v>959</v>
      </c>
      <c r="C156" s="1" t="s">
        <v>959</v>
      </c>
      <c r="D156" s="1">
        <f t="shared" ref="D156:D157" ca="1" si="1">RAND()</f>
        <v>0.49533458910332406</v>
      </c>
      <c r="E156" s="302">
        <v>0</v>
      </c>
      <c r="F156" s="1805">
        <v>-168600</v>
      </c>
      <c r="G156" s="1" t="s">
        <v>799</v>
      </c>
      <c r="H156" s="1" t="s">
        <v>1292</v>
      </c>
      <c r="J156" s="29"/>
      <c r="K156" s="303" t="s">
        <v>1013</v>
      </c>
      <c r="L156" s="303" t="s">
        <v>2636</v>
      </c>
      <c r="M156" s="303" t="s">
        <v>2647</v>
      </c>
      <c r="N156" s="303">
        <v>150091.12</v>
      </c>
      <c r="O156" s="303">
        <v>220554.92</v>
      </c>
      <c r="P156" s="303" t="s">
        <v>363</v>
      </c>
      <c r="Q156" s="303" t="s">
        <v>2015</v>
      </c>
      <c r="R156" s="303"/>
    </row>
    <row r="157" spans="2:18" x14ac:dyDescent="0.3">
      <c r="B157" s="1" t="s">
        <v>959</v>
      </c>
      <c r="C157" s="1" t="s">
        <v>959</v>
      </c>
      <c r="D157" s="1">
        <f t="shared" ca="1" si="1"/>
        <v>0.65747745616231656</v>
      </c>
      <c r="E157" s="533">
        <v>0</v>
      </c>
      <c r="F157" s="2552">
        <v>-393400</v>
      </c>
      <c r="G157" s="1" t="s">
        <v>799</v>
      </c>
      <c r="H157" s="1" t="s">
        <v>1292</v>
      </c>
      <c r="J157" s="29"/>
      <c r="K157" s="303" t="s">
        <v>1013</v>
      </c>
      <c r="L157" s="303" t="s">
        <v>2636</v>
      </c>
      <c r="M157" s="303" t="s">
        <v>2648</v>
      </c>
      <c r="N157" s="303">
        <v>69092</v>
      </c>
      <c r="O157" s="303">
        <v>99675.199999999997</v>
      </c>
      <c r="P157" s="303" t="s">
        <v>363</v>
      </c>
      <c r="Q157" s="303" t="s">
        <v>2015</v>
      </c>
      <c r="R157" s="303"/>
    </row>
    <row r="158" spans="2:18" x14ac:dyDescent="0.3">
      <c r="B158" s="1" t="s">
        <v>953</v>
      </c>
      <c r="C158" s="1" t="s">
        <v>2659</v>
      </c>
      <c r="D158" s="1" t="s">
        <v>2661</v>
      </c>
      <c r="E158" s="302">
        <v>-1189109</v>
      </c>
      <c r="F158" s="1805">
        <v>-1409952.56</v>
      </c>
      <c r="G158" s="1" t="s">
        <v>508</v>
      </c>
      <c r="H158" s="1" t="s">
        <v>1303</v>
      </c>
      <c r="J158" s="29"/>
      <c r="K158" s="303" t="s">
        <v>1013</v>
      </c>
      <c r="L158" s="303" t="s">
        <v>2636</v>
      </c>
      <c r="M158" s="303" t="s">
        <v>2649</v>
      </c>
      <c r="N158" s="303">
        <v>16154</v>
      </c>
      <c r="O158" s="303">
        <v>10014</v>
      </c>
      <c r="P158" s="303" t="s">
        <v>363</v>
      </c>
      <c r="Q158" s="303" t="s">
        <v>2015</v>
      </c>
      <c r="R158" s="303"/>
    </row>
    <row r="159" spans="2:18" x14ac:dyDescent="0.3">
      <c r="B159" s="1" t="s">
        <v>1125</v>
      </c>
      <c r="C159" s="1" t="s">
        <v>1014</v>
      </c>
      <c r="D159" s="1" t="s">
        <v>733</v>
      </c>
      <c r="E159" s="302">
        <v>-80874157.920000002</v>
      </c>
      <c r="F159" s="302">
        <f>-113475812.78*0</f>
        <v>0</v>
      </c>
      <c r="J159" s="29"/>
      <c r="K159" s="303" t="s">
        <v>2128</v>
      </c>
      <c r="L159" s="303" t="s">
        <v>2129</v>
      </c>
      <c r="M159" s="303" t="s">
        <v>2651</v>
      </c>
      <c r="N159" s="303">
        <v>683</v>
      </c>
      <c r="O159" s="303">
        <v>683</v>
      </c>
      <c r="P159" s="303" t="s">
        <v>1812</v>
      </c>
      <c r="Q159" s="303" t="s">
        <v>1887</v>
      </c>
      <c r="R159" s="303"/>
    </row>
    <row r="160" spans="2:18" x14ac:dyDescent="0.3">
      <c r="B160" s="1" t="s">
        <v>2066</v>
      </c>
      <c r="C160" s="1" t="s">
        <v>2066</v>
      </c>
      <c r="D160" s="1" t="s">
        <v>2658</v>
      </c>
      <c r="E160" s="302">
        <v>0</v>
      </c>
      <c r="F160" s="1805">
        <v>91250.9</v>
      </c>
      <c r="G160" s="1" t="s">
        <v>763</v>
      </c>
      <c r="H160" s="1" t="s">
        <v>771</v>
      </c>
      <c r="J160" s="29"/>
      <c r="K160" s="303" t="s">
        <v>2066</v>
      </c>
      <c r="L160" s="303" t="s">
        <v>2066</v>
      </c>
      <c r="M160" s="303" t="s">
        <v>2652</v>
      </c>
      <c r="N160" s="303">
        <v>0</v>
      </c>
      <c r="O160" s="303">
        <v>20339</v>
      </c>
      <c r="P160" s="303" t="s">
        <v>763</v>
      </c>
      <c r="Q160" s="303" t="s">
        <v>2569</v>
      </c>
      <c r="R160" s="303"/>
    </row>
    <row r="161" spans="2:18" x14ac:dyDescent="0.3">
      <c r="B161" s="1" t="s">
        <v>2066</v>
      </c>
      <c r="C161" s="1" t="s">
        <v>2066</v>
      </c>
      <c r="D161" s="1" t="s">
        <v>2657</v>
      </c>
      <c r="E161" s="302">
        <v>0</v>
      </c>
      <c r="F161" s="1805">
        <v>1505314</v>
      </c>
      <c r="G161" s="1" t="s">
        <v>763</v>
      </c>
      <c r="H161" s="1" t="s">
        <v>771</v>
      </c>
      <c r="J161" s="29"/>
      <c r="K161" s="303" t="s">
        <v>2045</v>
      </c>
      <c r="L161" s="303" t="s">
        <v>2045</v>
      </c>
      <c r="M161" s="2348" t="s">
        <v>2656</v>
      </c>
      <c r="N161" s="303">
        <v>-12400</v>
      </c>
      <c r="O161" s="303">
        <v>-19050</v>
      </c>
      <c r="P161" s="303" t="s">
        <v>508</v>
      </c>
      <c r="Q161" s="303" t="s">
        <v>1303</v>
      </c>
      <c r="R161" s="303"/>
    </row>
    <row r="162" spans="2:18" x14ac:dyDescent="0.3">
      <c r="B162" s="1" t="s">
        <v>2045</v>
      </c>
      <c r="C162" s="1" t="s">
        <v>2045</v>
      </c>
      <c r="D162" s="1" t="s">
        <v>2656</v>
      </c>
      <c r="E162" s="302">
        <v>-19050</v>
      </c>
      <c r="F162" s="1805">
        <v>-4700</v>
      </c>
      <c r="G162" s="1" t="s">
        <v>508</v>
      </c>
      <c r="H162" s="1" t="s">
        <v>1303</v>
      </c>
      <c r="J162" s="29"/>
      <c r="K162" s="303" t="s">
        <v>2066</v>
      </c>
      <c r="L162" s="303" t="s">
        <v>2066</v>
      </c>
      <c r="M162" s="303" t="s">
        <v>2657</v>
      </c>
      <c r="N162" s="303">
        <v>0</v>
      </c>
      <c r="O162" s="303">
        <v>1716800.07</v>
      </c>
      <c r="P162" s="303" t="s">
        <v>763</v>
      </c>
      <c r="Q162" s="303" t="s">
        <v>771</v>
      </c>
      <c r="R162" s="303"/>
    </row>
    <row r="163" spans="2:18" x14ac:dyDescent="0.3">
      <c r="B163" s="1" t="s">
        <v>1012</v>
      </c>
      <c r="C163" s="1" t="s">
        <v>1012</v>
      </c>
      <c r="D163" s="1">
        <f ca="1">RAND()</f>
        <v>8.1156944079659121E-2</v>
      </c>
      <c r="E163" s="302">
        <v>0</v>
      </c>
      <c r="F163" s="1805">
        <v>-8614</v>
      </c>
      <c r="G163" s="1" t="s">
        <v>799</v>
      </c>
      <c r="H163" s="1" t="s">
        <v>1292</v>
      </c>
      <c r="J163" s="29"/>
      <c r="K163" s="303" t="s">
        <v>2066</v>
      </c>
      <c r="L163" s="303" t="s">
        <v>2066</v>
      </c>
      <c r="M163" s="303" t="s">
        <v>2658</v>
      </c>
      <c r="N163" s="303">
        <v>0</v>
      </c>
      <c r="O163" s="303">
        <v>105000</v>
      </c>
      <c r="P163" s="303" t="s">
        <v>763</v>
      </c>
      <c r="Q163" s="303" t="s">
        <v>771</v>
      </c>
      <c r="R163" s="303"/>
    </row>
    <row r="164" spans="2:18" x14ac:dyDescent="0.3">
      <c r="B164" s="1" t="s">
        <v>2066</v>
      </c>
      <c r="C164" s="1" t="s">
        <v>2066</v>
      </c>
      <c r="D164" s="1" t="s">
        <v>2652</v>
      </c>
      <c r="E164" s="302">
        <v>0</v>
      </c>
      <c r="F164" s="302">
        <v>0</v>
      </c>
      <c r="G164" s="1" t="s">
        <v>763</v>
      </c>
      <c r="H164" s="1" t="s">
        <v>792</v>
      </c>
      <c r="J164" s="29"/>
      <c r="K164" s="303" t="s">
        <v>1125</v>
      </c>
      <c r="L164" s="303" t="s">
        <v>1014</v>
      </c>
      <c r="M164" s="303" t="s">
        <v>733</v>
      </c>
      <c r="N164" s="303">
        <v>-59939821.030000001</v>
      </c>
      <c r="O164" s="303">
        <v>-80874157.920000002</v>
      </c>
      <c r="P164" s="303"/>
      <c r="Q164" s="303"/>
      <c r="R164" s="303"/>
    </row>
    <row r="165" spans="2:18" x14ac:dyDescent="0.3">
      <c r="B165" s="1" t="s">
        <v>2128</v>
      </c>
      <c r="C165" s="1" t="s">
        <v>2129</v>
      </c>
      <c r="D165" s="1" t="s">
        <v>2651</v>
      </c>
      <c r="E165" s="302">
        <v>683</v>
      </c>
      <c r="F165" s="1805">
        <v>683</v>
      </c>
      <c r="G165" s="1" t="s">
        <v>1812</v>
      </c>
      <c r="H165" s="1" t="s">
        <v>1887</v>
      </c>
      <c r="J165" s="29"/>
      <c r="K165" s="303" t="s">
        <v>953</v>
      </c>
      <c r="L165" s="303" t="s">
        <v>2659</v>
      </c>
      <c r="M165" s="2348" t="s">
        <v>2661</v>
      </c>
      <c r="N165" s="303">
        <v>-1108598</v>
      </c>
      <c r="O165" s="303">
        <v>-1189109</v>
      </c>
      <c r="P165" s="303" t="s">
        <v>508</v>
      </c>
      <c r="Q165" s="303" t="s">
        <v>1303</v>
      </c>
      <c r="R165" s="303"/>
    </row>
    <row r="166" spans="2:18" x14ac:dyDescent="0.3">
      <c r="B166" s="1" t="s">
        <v>1013</v>
      </c>
      <c r="C166" s="1" t="s">
        <v>2636</v>
      </c>
      <c r="D166" s="1" t="s">
        <v>2649</v>
      </c>
      <c r="E166" s="302">
        <v>10014</v>
      </c>
      <c r="F166" s="302">
        <v>0</v>
      </c>
      <c r="G166" s="1" t="s">
        <v>363</v>
      </c>
      <c r="H166" s="1" t="s">
        <v>2015</v>
      </c>
      <c r="J166" s="29"/>
      <c r="K166" s="303" t="s">
        <v>959</v>
      </c>
      <c r="L166" s="303" t="s">
        <v>959</v>
      </c>
      <c r="M166" s="303" t="s">
        <v>2667</v>
      </c>
      <c r="N166" s="303">
        <v>-6815666</v>
      </c>
      <c r="O166" s="303">
        <v>-6815666</v>
      </c>
      <c r="P166" s="303" t="s">
        <v>959</v>
      </c>
      <c r="Q166" s="303" t="s">
        <v>1277</v>
      </c>
      <c r="R166" s="303"/>
    </row>
    <row r="167" spans="2:18" x14ac:dyDescent="0.3">
      <c r="B167" s="1" t="s">
        <v>1013</v>
      </c>
      <c r="C167" s="1" t="s">
        <v>2636</v>
      </c>
      <c r="D167" s="1" t="s">
        <v>2647</v>
      </c>
      <c r="E167" s="302">
        <v>220554.92</v>
      </c>
      <c r="F167" s="302">
        <v>-107343.2</v>
      </c>
      <c r="J167" s="29"/>
      <c r="K167" s="303" t="s">
        <v>959</v>
      </c>
      <c r="L167" s="303" t="s">
        <v>959</v>
      </c>
      <c r="M167" s="303" t="s">
        <v>2668</v>
      </c>
      <c r="N167" s="303">
        <v>0</v>
      </c>
      <c r="O167" s="303">
        <v>-8000000</v>
      </c>
      <c r="P167" s="303" t="s">
        <v>959</v>
      </c>
      <c r="Q167" s="303" t="s">
        <v>1277</v>
      </c>
      <c r="R167" s="303"/>
    </row>
    <row r="168" spans="2:18" x14ac:dyDescent="0.3">
      <c r="B168" s="1" t="s">
        <v>1013</v>
      </c>
      <c r="C168" s="1" t="s">
        <v>2636</v>
      </c>
      <c r="D168" s="1" t="s">
        <v>2648</v>
      </c>
      <c r="E168" s="302">
        <v>99675.199999999997</v>
      </c>
      <c r="F168" s="302">
        <v>107343.2</v>
      </c>
      <c r="J168" s="29"/>
      <c r="K168" s="303" t="s">
        <v>2670</v>
      </c>
      <c r="L168" s="303" t="s">
        <v>2675</v>
      </c>
      <c r="M168" s="303" t="s">
        <v>2676</v>
      </c>
      <c r="N168" s="303">
        <v>0</v>
      </c>
      <c r="O168" s="303">
        <v>37631604.32</v>
      </c>
      <c r="P168" s="303" t="s">
        <v>763</v>
      </c>
      <c r="Q168" s="303" t="s">
        <v>3503</v>
      </c>
      <c r="R168" s="303"/>
    </row>
    <row r="169" spans="2:18" x14ac:dyDescent="0.3">
      <c r="B169" s="1" t="s">
        <v>1013</v>
      </c>
      <c r="C169" s="1" t="s">
        <v>1013</v>
      </c>
      <c r="D169" s="1" t="s">
        <v>3739</v>
      </c>
      <c r="E169" s="302">
        <v>0</v>
      </c>
      <c r="F169" s="1805">
        <v>693000</v>
      </c>
      <c r="G169" s="1" t="s">
        <v>363</v>
      </c>
      <c r="H169" s="1" t="s">
        <v>2015</v>
      </c>
      <c r="J169" s="29"/>
      <c r="K169" s="303" t="s">
        <v>2670</v>
      </c>
      <c r="L169" s="303" t="s">
        <v>2673</v>
      </c>
      <c r="M169" s="303" t="s">
        <v>2677</v>
      </c>
      <c r="N169" s="303">
        <v>0</v>
      </c>
      <c r="O169" s="303">
        <v>52535782.07</v>
      </c>
      <c r="P169" s="303">
        <v>0</v>
      </c>
      <c r="Q169" s="303" t="s">
        <v>3723</v>
      </c>
      <c r="R169" s="303"/>
    </row>
    <row r="170" spans="2:18" x14ac:dyDescent="0.3">
      <c r="B170" s="1" t="s">
        <v>1013</v>
      </c>
      <c r="C170" s="1" t="s">
        <v>2636</v>
      </c>
      <c r="D170" s="1" t="s">
        <v>2645</v>
      </c>
      <c r="E170" s="302">
        <v>1951.16</v>
      </c>
      <c r="F170" s="1805">
        <v>9937.27</v>
      </c>
      <c r="G170" s="1" t="s">
        <v>363</v>
      </c>
      <c r="H170" s="1" t="s">
        <v>2015</v>
      </c>
      <c r="J170" s="29"/>
      <c r="K170" s="303" t="s">
        <v>2670</v>
      </c>
      <c r="L170" s="303" t="s">
        <v>2675</v>
      </c>
      <c r="M170" s="303" t="s">
        <v>2678</v>
      </c>
      <c r="N170" s="303">
        <v>0</v>
      </c>
      <c r="O170" s="303">
        <v>54737562.049999997</v>
      </c>
      <c r="P170" s="303" t="s">
        <v>763</v>
      </c>
      <c r="Q170" s="303" t="s">
        <v>3503</v>
      </c>
      <c r="R170" s="303"/>
    </row>
    <row r="171" spans="2:18" x14ac:dyDescent="0.3">
      <c r="B171" s="1" t="s">
        <v>1013</v>
      </c>
      <c r="C171" s="1" t="s">
        <v>1013</v>
      </c>
      <c r="D171" s="1" t="s">
        <v>3622</v>
      </c>
      <c r="E171" s="302">
        <v>0</v>
      </c>
      <c r="F171" s="1805">
        <v>1427950.19</v>
      </c>
      <c r="G171" s="1" t="s">
        <v>363</v>
      </c>
      <c r="H171" s="1" t="s">
        <v>2015</v>
      </c>
      <c r="J171" s="29"/>
      <c r="K171" s="303" t="s">
        <v>2670</v>
      </c>
      <c r="L171" s="303" t="s">
        <v>2673</v>
      </c>
      <c r="M171" s="303" t="s">
        <v>2681</v>
      </c>
      <c r="N171" s="303">
        <v>0</v>
      </c>
      <c r="O171" s="303">
        <v>74925376.519999996</v>
      </c>
      <c r="P171" s="303">
        <v>0</v>
      </c>
      <c r="Q171" s="303" t="s">
        <v>3723</v>
      </c>
      <c r="R171" s="303"/>
    </row>
    <row r="172" spans="2:18" x14ac:dyDescent="0.3">
      <c r="B172" s="1" t="s">
        <v>1013</v>
      </c>
      <c r="C172" s="1" t="s">
        <v>2636</v>
      </c>
      <c r="D172" s="1" t="s">
        <v>2644</v>
      </c>
      <c r="E172" s="302">
        <v>22057.88</v>
      </c>
      <c r="F172" s="1805">
        <v>26450.81</v>
      </c>
      <c r="G172" s="1" t="s">
        <v>363</v>
      </c>
      <c r="H172" s="1" t="s">
        <v>2015</v>
      </c>
      <c r="J172" s="29"/>
      <c r="K172" s="303" t="s">
        <v>2670</v>
      </c>
      <c r="L172" s="303" t="s">
        <v>2675</v>
      </c>
      <c r="M172" s="303" t="s">
        <v>2682</v>
      </c>
      <c r="N172" s="303">
        <v>0</v>
      </c>
      <c r="O172" s="303">
        <v>27960427.43</v>
      </c>
      <c r="P172" s="303" t="s">
        <v>763</v>
      </c>
      <c r="Q172" s="303" t="s">
        <v>3503</v>
      </c>
      <c r="R172" s="303"/>
    </row>
    <row r="173" spans="2:18" x14ac:dyDescent="0.3">
      <c r="B173" s="1" t="s">
        <v>1013</v>
      </c>
      <c r="C173" s="1" t="s">
        <v>1013</v>
      </c>
      <c r="D173" s="1" t="s">
        <v>2636</v>
      </c>
      <c r="E173" s="302">
        <v>0</v>
      </c>
      <c r="F173" s="1805">
        <v>28284.92</v>
      </c>
      <c r="G173" s="1" t="s">
        <v>363</v>
      </c>
      <c r="H173" s="1" t="s">
        <v>2015</v>
      </c>
      <c r="J173" s="29"/>
      <c r="K173" s="303" t="s">
        <v>2670</v>
      </c>
      <c r="L173" s="303" t="s">
        <v>2673</v>
      </c>
      <c r="M173" s="303" t="s">
        <v>2684</v>
      </c>
      <c r="N173" s="303">
        <v>0</v>
      </c>
      <c r="O173" s="303">
        <v>60777.8</v>
      </c>
      <c r="P173" s="303">
        <v>0</v>
      </c>
      <c r="Q173" s="303" t="s">
        <v>3723</v>
      </c>
      <c r="R173" s="303"/>
    </row>
    <row r="174" spans="2:18" x14ac:dyDescent="0.3">
      <c r="B174" s="1" t="s">
        <v>1013</v>
      </c>
      <c r="C174" s="1" t="s">
        <v>2636</v>
      </c>
      <c r="D174" s="1" t="s">
        <v>2642</v>
      </c>
      <c r="E174" s="302">
        <v>0</v>
      </c>
      <c r="F174" s="1805">
        <v>104698.19</v>
      </c>
      <c r="G174" s="1" t="s">
        <v>363</v>
      </c>
      <c r="H174" s="1" t="s">
        <v>2015</v>
      </c>
      <c r="J174" s="29"/>
      <c r="K174" s="303" t="s">
        <v>2670</v>
      </c>
      <c r="L174" s="303" t="s">
        <v>2675</v>
      </c>
      <c r="M174" s="303" t="s">
        <v>2685</v>
      </c>
      <c r="N174" s="303">
        <v>0</v>
      </c>
      <c r="O174" s="303">
        <v>14000</v>
      </c>
      <c r="P174" s="303" t="s">
        <v>763</v>
      </c>
      <c r="Q174" s="303" t="s">
        <v>3503</v>
      </c>
      <c r="R174" s="303"/>
    </row>
    <row r="175" spans="2:18" x14ac:dyDescent="0.3">
      <c r="B175" s="1" t="s">
        <v>1013</v>
      </c>
      <c r="C175" s="1" t="s">
        <v>2636</v>
      </c>
      <c r="D175" s="1" t="s">
        <v>2641</v>
      </c>
      <c r="E175" s="302">
        <v>141290</v>
      </c>
      <c r="F175" s="1805">
        <v>171083.84</v>
      </c>
      <c r="G175" s="1" t="s">
        <v>363</v>
      </c>
      <c r="H175" s="1" t="s">
        <v>2015</v>
      </c>
      <c r="J175" s="29"/>
      <c r="K175" s="303" t="s">
        <v>2080</v>
      </c>
      <c r="L175" s="303" t="s">
        <v>2080</v>
      </c>
      <c r="M175" s="303" t="s">
        <v>2707</v>
      </c>
      <c r="N175" s="303">
        <v>0</v>
      </c>
      <c r="O175" s="303">
        <v>12744</v>
      </c>
      <c r="P175" s="303" t="s">
        <v>743</v>
      </c>
      <c r="Q175" s="303" t="s">
        <v>1513</v>
      </c>
      <c r="R175" s="303"/>
    </row>
    <row r="176" spans="2:18" x14ac:dyDescent="0.3">
      <c r="B176" s="1" t="s">
        <v>1013</v>
      </c>
      <c r="C176" s="1" t="s">
        <v>2636</v>
      </c>
      <c r="D176" s="1" t="s">
        <v>2640</v>
      </c>
      <c r="E176" s="302">
        <v>6000</v>
      </c>
      <c r="F176" s="1805">
        <v>17473.25</v>
      </c>
      <c r="G176" s="1" t="s">
        <v>363</v>
      </c>
      <c r="H176" s="1" t="s">
        <v>2015</v>
      </c>
      <c r="J176" s="29"/>
      <c r="K176" s="303" t="s">
        <v>2066</v>
      </c>
      <c r="L176" s="303" t="s">
        <v>2066</v>
      </c>
      <c r="M176" s="303" t="s">
        <v>2708</v>
      </c>
      <c r="N176" s="303">
        <v>0</v>
      </c>
      <c r="O176" s="303">
        <v>24700</v>
      </c>
      <c r="P176" s="303" t="s">
        <v>763</v>
      </c>
      <c r="Q176" s="303" t="s">
        <v>235</v>
      </c>
      <c r="R176" s="303"/>
    </row>
    <row r="177" spans="2:18" x14ac:dyDescent="0.3">
      <c r="B177" s="1" t="s">
        <v>1013</v>
      </c>
      <c r="C177" s="1" t="s">
        <v>1013</v>
      </c>
      <c r="D177" s="1" t="s">
        <v>2638</v>
      </c>
      <c r="E177" s="302">
        <v>62932.92</v>
      </c>
      <c r="F177" s="302">
        <v>0</v>
      </c>
      <c r="G177" s="1" t="s">
        <v>363</v>
      </c>
      <c r="H177" s="1" t="s">
        <v>2015</v>
      </c>
      <c r="J177" s="29"/>
      <c r="K177" s="303" t="s">
        <v>953</v>
      </c>
      <c r="L177" s="303" t="s">
        <v>2112</v>
      </c>
      <c r="M177" s="2348" t="s">
        <v>2714</v>
      </c>
      <c r="N177" s="303">
        <v>0</v>
      </c>
      <c r="O177" s="2348">
        <v>-8355</v>
      </c>
      <c r="P177" s="303" t="s">
        <v>508</v>
      </c>
      <c r="Q177" s="303" t="s">
        <v>1303</v>
      </c>
      <c r="R177" s="303"/>
    </row>
    <row r="178" spans="2:18" x14ac:dyDescent="0.3">
      <c r="B178" s="1" t="s">
        <v>2120</v>
      </c>
      <c r="C178" s="1" t="s">
        <v>2120</v>
      </c>
      <c r="D178" s="1" t="s">
        <v>2609</v>
      </c>
      <c r="E178" s="302">
        <v>0</v>
      </c>
      <c r="F178" s="302">
        <v>0</v>
      </c>
      <c r="G178" s="1" t="s">
        <v>363</v>
      </c>
      <c r="H178" s="1" t="s">
        <v>2023</v>
      </c>
      <c r="J178" s="29"/>
      <c r="K178" s="303" t="s">
        <v>953</v>
      </c>
      <c r="L178" s="303" t="s">
        <v>1012</v>
      </c>
      <c r="M178" s="303" t="s">
        <v>2716</v>
      </c>
      <c r="N178" s="303">
        <v>0</v>
      </c>
      <c r="O178" s="303">
        <v>-42500</v>
      </c>
      <c r="P178" s="303" t="s">
        <v>799</v>
      </c>
      <c r="Q178" s="303" t="s">
        <v>1292</v>
      </c>
      <c r="R178" s="303"/>
    </row>
    <row r="179" spans="2:18" x14ac:dyDescent="0.3">
      <c r="B179" s="1" t="s">
        <v>2066</v>
      </c>
      <c r="C179" s="1" t="s">
        <v>2066</v>
      </c>
      <c r="D179" s="1" t="s">
        <v>2598</v>
      </c>
      <c r="E179" s="302">
        <v>0</v>
      </c>
      <c r="F179" s="1805">
        <v>4157.34</v>
      </c>
      <c r="G179" s="1" t="s">
        <v>997</v>
      </c>
      <c r="H179" s="1" t="s">
        <v>986</v>
      </c>
      <c r="J179" s="29"/>
      <c r="K179" s="303" t="s">
        <v>2298</v>
      </c>
      <c r="L179" s="303" t="s">
        <v>2722</v>
      </c>
      <c r="M179" s="303" t="s">
        <v>2723</v>
      </c>
      <c r="N179" s="303">
        <v>0</v>
      </c>
      <c r="O179" s="303">
        <v>-141283</v>
      </c>
      <c r="P179" s="303" t="s">
        <v>748</v>
      </c>
      <c r="Q179" s="303" t="s">
        <v>750</v>
      </c>
      <c r="R179" s="303"/>
    </row>
    <row r="180" spans="2:18" x14ac:dyDescent="0.3">
      <c r="B180" s="1" t="s">
        <v>953</v>
      </c>
      <c r="C180" s="1" t="s">
        <v>2064</v>
      </c>
      <c r="D180" s="1">
        <f t="shared" ref="D180:D181" ca="1" si="2">RAND()</f>
        <v>0.97458361789758496</v>
      </c>
      <c r="E180" s="302">
        <v>-32400</v>
      </c>
      <c r="F180" s="1805">
        <v>-32400</v>
      </c>
      <c r="G180" s="1" t="s">
        <v>799</v>
      </c>
      <c r="H180" s="1" t="s">
        <v>1291</v>
      </c>
      <c r="J180" s="29"/>
      <c r="K180" s="303" t="s">
        <v>2169</v>
      </c>
      <c r="L180" s="303" t="s">
        <v>2720</v>
      </c>
      <c r="M180" s="303" t="s">
        <v>2724</v>
      </c>
      <c r="N180" s="303">
        <v>0</v>
      </c>
      <c r="O180" s="303">
        <v>-3066311</v>
      </c>
      <c r="P180" s="303" t="s">
        <v>752</v>
      </c>
      <c r="Q180" s="303" t="s">
        <v>3058</v>
      </c>
      <c r="R180" s="303"/>
    </row>
    <row r="181" spans="2:18" x14ac:dyDescent="0.3">
      <c r="B181" s="1" t="s">
        <v>953</v>
      </c>
      <c r="C181" s="1" t="s">
        <v>2064</v>
      </c>
      <c r="D181" s="1">
        <f t="shared" ca="1" si="2"/>
        <v>7.2637885170889205E-2</v>
      </c>
      <c r="E181" s="302">
        <v>-275580.03000000003</v>
      </c>
      <c r="F181" s="1805">
        <v>-368784.03</v>
      </c>
      <c r="G181" s="1" t="s">
        <v>799</v>
      </c>
      <c r="H181" s="1" t="s">
        <v>1291</v>
      </c>
      <c r="J181" s="29"/>
      <c r="K181" s="303" t="s">
        <v>2066</v>
      </c>
      <c r="L181" s="303" t="s">
        <v>2726</v>
      </c>
      <c r="M181" s="303" t="s">
        <v>2728</v>
      </c>
      <c r="N181" s="303">
        <v>0</v>
      </c>
      <c r="O181" s="303">
        <v>11869514</v>
      </c>
      <c r="P181" s="303" t="s">
        <v>997</v>
      </c>
      <c r="Q181" s="303" t="s">
        <v>761</v>
      </c>
      <c r="R181" s="303"/>
    </row>
    <row r="182" spans="2:18" x14ac:dyDescent="0.3">
      <c r="B182" s="1" t="s">
        <v>2281</v>
      </c>
      <c r="C182" s="1" t="s">
        <v>2282</v>
      </c>
      <c r="D182" s="1" t="s">
        <v>2581</v>
      </c>
      <c r="E182" s="302">
        <v>-5753387.1500000004</v>
      </c>
      <c r="F182" s="302">
        <v>-11506968.539999999</v>
      </c>
      <c r="G182" s="1" t="s">
        <v>3766</v>
      </c>
      <c r="J182" s="29"/>
      <c r="K182" s="303" t="s">
        <v>2066</v>
      </c>
      <c r="L182" s="303" t="s">
        <v>2726</v>
      </c>
      <c r="M182" s="303" t="s">
        <v>2729</v>
      </c>
      <c r="N182" s="303">
        <v>0</v>
      </c>
      <c r="O182" s="303">
        <v>2855891.73</v>
      </c>
      <c r="P182" s="303" t="s">
        <v>997</v>
      </c>
      <c r="Q182" s="2348" t="s">
        <v>762</v>
      </c>
      <c r="R182" s="303"/>
    </row>
    <row r="183" spans="2:18" x14ac:dyDescent="0.3">
      <c r="B183" s="1" t="s">
        <v>2281</v>
      </c>
      <c r="C183" s="1" t="s">
        <v>2573</v>
      </c>
      <c r="D183" s="1" t="s">
        <v>2580</v>
      </c>
      <c r="E183" s="302">
        <v>5753387.1500000004</v>
      </c>
      <c r="F183" s="302">
        <v>11506967.48</v>
      </c>
      <c r="G183" s="1" t="s">
        <v>3766</v>
      </c>
      <c r="J183" s="29"/>
      <c r="K183" s="303" t="s">
        <v>2066</v>
      </c>
      <c r="L183" s="303" t="s">
        <v>2726</v>
      </c>
      <c r="M183" s="303" t="s">
        <v>2731</v>
      </c>
      <c r="N183" s="303">
        <v>0</v>
      </c>
      <c r="O183" s="303">
        <v>2063179</v>
      </c>
      <c r="P183" s="303" t="s">
        <v>997</v>
      </c>
      <c r="Q183" s="303" t="s">
        <v>762</v>
      </c>
      <c r="R183" s="303"/>
    </row>
    <row r="184" spans="2:18" x14ac:dyDescent="0.3">
      <c r="B184" s="1" t="s">
        <v>953</v>
      </c>
      <c r="C184" s="1" t="s">
        <v>2064</v>
      </c>
      <c r="D184" s="1">
        <f t="shared" ref="D184:D185" ca="1" si="3">RAND()</f>
        <v>0.73110811125891273</v>
      </c>
      <c r="E184" s="302">
        <v>-389150</v>
      </c>
      <c r="F184" s="1805">
        <v>0</v>
      </c>
      <c r="G184" s="1" t="s">
        <v>799</v>
      </c>
      <c r="H184" s="1" t="s">
        <v>1291</v>
      </c>
      <c r="J184" s="29"/>
      <c r="K184" s="303" t="s">
        <v>2066</v>
      </c>
      <c r="L184" s="303" t="s">
        <v>2726</v>
      </c>
      <c r="M184" s="303" t="s">
        <v>2732</v>
      </c>
      <c r="N184" s="303">
        <v>0</v>
      </c>
      <c r="O184" s="303">
        <v>7856129</v>
      </c>
      <c r="P184" s="303" t="s">
        <v>763</v>
      </c>
      <c r="Q184" s="303" t="s">
        <v>758</v>
      </c>
      <c r="R184" s="303"/>
    </row>
    <row r="185" spans="2:18" x14ac:dyDescent="0.3">
      <c r="B185" s="1" t="s">
        <v>1012</v>
      </c>
      <c r="C185" s="1" t="s">
        <v>1012</v>
      </c>
      <c r="D185" s="1">
        <f t="shared" ca="1" si="3"/>
        <v>0.74046419918585404</v>
      </c>
      <c r="E185" s="302">
        <v>-75119.320000000007</v>
      </c>
      <c r="F185" s="1805">
        <v>-81126.94</v>
      </c>
      <c r="G185" s="1" t="s">
        <v>799</v>
      </c>
      <c r="H185" s="1" t="s">
        <v>1292</v>
      </c>
      <c r="J185" s="29"/>
      <c r="K185" s="303" t="s">
        <v>2066</v>
      </c>
      <c r="L185" s="303" t="s">
        <v>2726</v>
      </c>
      <c r="M185" s="303" t="s">
        <v>2733</v>
      </c>
      <c r="N185" s="303">
        <v>0</v>
      </c>
      <c r="O185" s="303">
        <v>205000</v>
      </c>
      <c r="P185" s="303" t="s">
        <v>763</v>
      </c>
      <c r="Q185" s="303" t="s">
        <v>765</v>
      </c>
      <c r="R185" s="303"/>
    </row>
    <row r="186" spans="2:18" x14ac:dyDescent="0.3">
      <c r="B186" s="1" t="s">
        <v>2281</v>
      </c>
      <c r="C186" s="1" t="s">
        <v>2573</v>
      </c>
      <c r="D186" s="1" t="s">
        <v>2574</v>
      </c>
      <c r="E186" s="302">
        <v>120950</v>
      </c>
      <c r="F186" s="302">
        <v>362850</v>
      </c>
      <c r="G186" s="1" t="s">
        <v>3766</v>
      </c>
      <c r="J186" s="29"/>
      <c r="K186" s="303" t="s">
        <v>2066</v>
      </c>
      <c r="L186" s="303" t="s">
        <v>2726</v>
      </c>
      <c r="M186" s="303" t="s">
        <v>2734</v>
      </c>
      <c r="N186" s="303">
        <v>0</v>
      </c>
      <c r="O186" s="303">
        <v>29108</v>
      </c>
      <c r="P186" s="303" t="s">
        <v>997</v>
      </c>
      <c r="Q186" s="303" t="s">
        <v>761</v>
      </c>
      <c r="R186" s="303"/>
    </row>
    <row r="187" spans="2:18" x14ac:dyDescent="0.3">
      <c r="B187" s="1" t="s">
        <v>2281</v>
      </c>
      <c r="C187" s="1" t="s">
        <v>2282</v>
      </c>
      <c r="D187" s="1" t="s">
        <v>2572</v>
      </c>
      <c r="E187" s="302">
        <v>-120950</v>
      </c>
      <c r="F187" s="302">
        <v>-362850</v>
      </c>
      <c r="G187" s="1" t="s">
        <v>3766</v>
      </c>
      <c r="J187" s="29"/>
      <c r="K187" s="303" t="s">
        <v>2066</v>
      </c>
      <c r="L187" s="303" t="s">
        <v>2726</v>
      </c>
      <c r="M187" s="303" t="s">
        <v>2736</v>
      </c>
      <c r="N187" s="303">
        <v>0</v>
      </c>
      <c r="O187" s="2608">
        <f>858476.85*0</f>
        <v>0</v>
      </c>
      <c r="P187" s="303" t="s">
        <v>763</v>
      </c>
      <c r="Q187" s="303" t="s">
        <v>772</v>
      </c>
      <c r="R187" s="303"/>
    </row>
    <row r="188" spans="2:18" x14ac:dyDescent="0.3">
      <c r="B188" s="1" t="s">
        <v>2128</v>
      </c>
      <c r="C188" s="1" t="s">
        <v>2570</v>
      </c>
      <c r="D188" s="1" t="s">
        <v>2571</v>
      </c>
      <c r="E188" s="302">
        <v>1450.33</v>
      </c>
      <c r="F188" s="1805">
        <v>1106</v>
      </c>
      <c r="G188" s="1" t="s">
        <v>1812</v>
      </c>
      <c r="H188" s="1" t="s">
        <v>1887</v>
      </c>
      <c r="J188" s="29"/>
      <c r="K188" s="303" t="s">
        <v>2066</v>
      </c>
      <c r="L188" s="303" t="s">
        <v>2726</v>
      </c>
      <c r="M188" s="303" t="s">
        <v>2737</v>
      </c>
      <c r="N188" s="303">
        <v>0</v>
      </c>
      <c r="O188" s="303">
        <f>1115247*0</f>
        <v>0</v>
      </c>
      <c r="P188" s="303" t="s">
        <v>763</v>
      </c>
      <c r="Q188" s="303" t="s">
        <v>2737</v>
      </c>
      <c r="R188" s="303"/>
    </row>
    <row r="189" spans="2:18" x14ac:dyDescent="0.3">
      <c r="B189" s="1" t="s">
        <v>2066</v>
      </c>
      <c r="C189" s="1" t="s">
        <v>2066</v>
      </c>
      <c r="D189" s="1" t="s">
        <v>2569</v>
      </c>
      <c r="E189" s="302">
        <v>0</v>
      </c>
      <c r="F189" s="1805">
        <v>170768.02</v>
      </c>
      <c r="G189" s="1" t="s">
        <v>763</v>
      </c>
      <c r="H189" s="1" t="s">
        <v>2569</v>
      </c>
      <c r="J189" s="29"/>
      <c r="K189" s="303" t="s">
        <v>2066</v>
      </c>
      <c r="L189" s="303" t="s">
        <v>2726</v>
      </c>
      <c r="M189" s="303" t="s">
        <v>2738</v>
      </c>
      <c r="N189" s="303">
        <v>0</v>
      </c>
      <c r="O189" s="303">
        <v>392275</v>
      </c>
      <c r="P189" s="303" t="s">
        <v>763</v>
      </c>
      <c r="Q189" s="303" t="s">
        <v>771</v>
      </c>
      <c r="R189" s="303"/>
    </row>
    <row r="190" spans="2:18" x14ac:dyDescent="0.3">
      <c r="B190" s="1" t="s">
        <v>2128</v>
      </c>
      <c r="C190" s="1" t="s">
        <v>2131</v>
      </c>
      <c r="D190" s="1" t="s">
        <v>2568</v>
      </c>
      <c r="E190" s="302">
        <v>2100</v>
      </c>
      <c r="F190" s="1805">
        <v>2100</v>
      </c>
      <c r="G190" s="1" t="s">
        <v>1812</v>
      </c>
      <c r="H190" s="1" t="s">
        <v>1887</v>
      </c>
      <c r="J190" s="29"/>
      <c r="K190" s="303" t="s">
        <v>2066</v>
      </c>
      <c r="L190" s="303" t="s">
        <v>2726</v>
      </c>
      <c r="M190" s="303" t="s">
        <v>2739</v>
      </c>
      <c r="N190" s="303">
        <v>0</v>
      </c>
      <c r="O190" s="303">
        <v>7452159</v>
      </c>
      <c r="P190" s="303" t="s">
        <v>997</v>
      </c>
      <c r="Q190" s="303" t="s">
        <v>986</v>
      </c>
      <c r="R190" s="303"/>
    </row>
    <row r="191" spans="2:18" x14ac:dyDescent="0.3">
      <c r="B191" s="1" t="s">
        <v>2128</v>
      </c>
      <c r="C191" s="1" t="s">
        <v>2131</v>
      </c>
      <c r="D191" s="1" t="s">
        <v>2567</v>
      </c>
      <c r="E191" s="302">
        <v>575</v>
      </c>
      <c r="F191" s="1805">
        <v>575</v>
      </c>
      <c r="G191" s="1" t="s">
        <v>1812</v>
      </c>
      <c r="H191" s="1" t="s">
        <v>1887</v>
      </c>
      <c r="J191" s="29"/>
      <c r="K191" s="303" t="s">
        <v>2066</v>
      </c>
      <c r="L191" s="303" t="s">
        <v>2726</v>
      </c>
      <c r="M191" s="303" t="s">
        <v>2740</v>
      </c>
      <c r="N191" s="303">
        <v>0</v>
      </c>
      <c r="O191" s="303">
        <v>112128865</v>
      </c>
      <c r="P191" s="303" t="s">
        <v>997</v>
      </c>
      <c r="Q191" s="303" t="s">
        <v>761</v>
      </c>
      <c r="R191" s="303"/>
    </row>
    <row r="192" spans="2:18" x14ac:dyDescent="0.3">
      <c r="B192" s="1" t="s">
        <v>2128</v>
      </c>
      <c r="C192" s="1" t="s">
        <v>2214</v>
      </c>
      <c r="D192" s="1" t="s">
        <v>2564</v>
      </c>
      <c r="E192" s="302">
        <v>0</v>
      </c>
      <c r="F192" s="1805">
        <v>0</v>
      </c>
      <c r="G192" s="1" t="s">
        <v>1812</v>
      </c>
      <c r="H192" s="1" t="s">
        <v>1887</v>
      </c>
      <c r="J192" s="29"/>
      <c r="K192" s="303" t="s">
        <v>2066</v>
      </c>
      <c r="L192" s="303" t="s">
        <v>2726</v>
      </c>
      <c r="M192" s="303" t="s">
        <v>2741</v>
      </c>
      <c r="N192" s="303">
        <v>0</v>
      </c>
      <c r="O192" s="303">
        <v>183745</v>
      </c>
      <c r="P192" s="303" t="s">
        <v>997</v>
      </c>
      <c r="Q192" s="303" t="s">
        <v>762</v>
      </c>
      <c r="R192" s="303"/>
    </row>
    <row r="193" spans="2:18" x14ac:dyDescent="0.3">
      <c r="B193" s="1" t="s">
        <v>2128</v>
      </c>
      <c r="C193" s="1" t="s">
        <v>2214</v>
      </c>
      <c r="D193" s="1" t="s">
        <v>2566</v>
      </c>
      <c r="E193" s="302">
        <v>0</v>
      </c>
      <c r="F193" s="1805">
        <v>0</v>
      </c>
      <c r="G193" s="1" t="s">
        <v>1812</v>
      </c>
      <c r="H193" s="1" t="s">
        <v>1887</v>
      </c>
      <c r="J193" s="29"/>
      <c r="K193" s="303" t="s">
        <v>2298</v>
      </c>
      <c r="L193" s="303" t="s">
        <v>2302</v>
      </c>
      <c r="M193" s="303" t="s">
        <v>2743</v>
      </c>
      <c r="N193" s="303">
        <v>0</v>
      </c>
      <c r="O193" s="303">
        <v>-174759019.78</v>
      </c>
      <c r="P193" s="303" t="s">
        <v>748</v>
      </c>
      <c r="Q193" s="303" t="s">
        <v>1004</v>
      </c>
      <c r="R193" s="303"/>
    </row>
    <row r="194" spans="2:18" x14ac:dyDescent="0.3">
      <c r="B194" s="1" t="s">
        <v>2128</v>
      </c>
      <c r="C194" s="1" t="s">
        <v>2214</v>
      </c>
      <c r="D194" s="1" t="s">
        <v>2565</v>
      </c>
      <c r="E194" s="302">
        <v>0</v>
      </c>
      <c r="F194" s="1805">
        <v>0</v>
      </c>
      <c r="G194" s="1" t="s">
        <v>1812</v>
      </c>
      <c r="H194" s="1" t="s">
        <v>1887</v>
      </c>
      <c r="J194" s="29"/>
      <c r="K194" s="303" t="s">
        <v>2298</v>
      </c>
      <c r="L194" s="303" t="s">
        <v>2302</v>
      </c>
      <c r="M194" s="303" t="s">
        <v>2744</v>
      </c>
      <c r="N194" s="303">
        <v>0</v>
      </c>
      <c r="O194" s="303">
        <v>-1409529.2</v>
      </c>
      <c r="P194" s="303" t="s">
        <v>748</v>
      </c>
      <c r="Q194" s="303" t="s">
        <v>749</v>
      </c>
      <c r="R194" s="303"/>
    </row>
    <row r="195" spans="2:18" x14ac:dyDescent="0.3">
      <c r="B195" s="1" t="s">
        <v>1012</v>
      </c>
      <c r="C195" s="1" t="s">
        <v>1012</v>
      </c>
      <c r="D195" s="1">
        <f t="shared" ref="D195:D203" ca="1" si="4">RAND()</f>
        <v>7.5768799089849015E-2</v>
      </c>
      <c r="E195" s="302">
        <v>0</v>
      </c>
      <c r="F195" s="1805">
        <v>-24500</v>
      </c>
      <c r="G195" s="1" t="s">
        <v>799</v>
      </c>
      <c r="H195" s="1" t="s">
        <v>1292</v>
      </c>
      <c r="J195" s="29"/>
      <c r="K195" s="303" t="s">
        <v>1012</v>
      </c>
      <c r="L195" s="303" t="s">
        <v>1012</v>
      </c>
      <c r="M195" s="303" t="s">
        <v>2745</v>
      </c>
      <c r="N195" s="303">
        <v>-699227.4</v>
      </c>
      <c r="O195" s="303">
        <v>-5984</v>
      </c>
      <c r="P195" s="303" t="s">
        <v>799</v>
      </c>
      <c r="Q195" s="303" t="s">
        <v>1292</v>
      </c>
      <c r="R195" s="303"/>
    </row>
    <row r="196" spans="2:18" x14ac:dyDescent="0.3">
      <c r="B196" s="1804" t="s">
        <v>1012</v>
      </c>
      <c r="C196" s="1804" t="s">
        <v>1012</v>
      </c>
      <c r="D196" s="1">
        <f t="shared" ca="1" si="4"/>
        <v>0.2569425198187536</v>
      </c>
      <c r="E196" s="1805">
        <v>-23600</v>
      </c>
      <c r="F196" s="1805">
        <v>0</v>
      </c>
      <c r="G196" s="1804" t="s">
        <v>799</v>
      </c>
      <c r="H196" s="1804" t="s">
        <v>1292</v>
      </c>
      <c r="I196" s="1804"/>
      <c r="J196" s="1806"/>
      <c r="K196" s="303" t="s">
        <v>2066</v>
      </c>
      <c r="L196" s="303" t="s">
        <v>2066</v>
      </c>
      <c r="M196" s="303" t="s">
        <v>2749</v>
      </c>
      <c r="N196" s="303">
        <v>0</v>
      </c>
      <c r="O196" s="303">
        <v>-0.01</v>
      </c>
      <c r="P196" s="303" t="s">
        <v>508</v>
      </c>
      <c r="Q196" s="303" t="s">
        <v>1970</v>
      </c>
      <c r="R196" s="303"/>
    </row>
    <row r="197" spans="2:18" x14ac:dyDescent="0.3">
      <c r="B197" s="1" t="s">
        <v>953</v>
      </c>
      <c r="C197" s="1" t="s">
        <v>2064</v>
      </c>
      <c r="D197" s="1">
        <f t="shared" ca="1" si="4"/>
        <v>0.95459238077567621</v>
      </c>
      <c r="E197" s="302">
        <v>-1208880</v>
      </c>
      <c r="F197" s="1805">
        <v>-791264.4</v>
      </c>
      <c r="G197" s="1" t="s">
        <v>799</v>
      </c>
      <c r="H197" s="1" t="s">
        <v>1291</v>
      </c>
      <c r="J197" s="29"/>
      <c r="K197" s="303" t="s">
        <v>1012</v>
      </c>
      <c r="L197" s="303" t="s">
        <v>1012</v>
      </c>
      <c r="M197" s="303" t="s">
        <v>2750</v>
      </c>
      <c r="N197" s="303">
        <v>13924</v>
      </c>
      <c r="O197" s="303">
        <v>0</v>
      </c>
      <c r="P197" s="303" t="s">
        <v>799</v>
      </c>
      <c r="Q197" s="303" t="s">
        <v>1292</v>
      </c>
      <c r="R197" s="303"/>
    </row>
    <row r="198" spans="2:18" x14ac:dyDescent="0.3">
      <c r="B198" s="1" t="s">
        <v>2080</v>
      </c>
      <c r="C198" s="1" t="s">
        <v>2080</v>
      </c>
      <c r="D198" s="1">
        <f t="shared" ca="1" si="4"/>
        <v>0.2793027771212464</v>
      </c>
      <c r="E198" s="302">
        <v>0</v>
      </c>
      <c r="F198" s="1805">
        <v>0</v>
      </c>
      <c r="G198" s="1" t="s">
        <v>743</v>
      </c>
      <c r="H198" s="1" t="s">
        <v>1513</v>
      </c>
      <c r="J198" s="29"/>
      <c r="K198" s="303" t="s">
        <v>2066</v>
      </c>
      <c r="L198" s="303" t="s">
        <v>2066</v>
      </c>
      <c r="M198" s="303" t="s">
        <v>758</v>
      </c>
      <c r="N198" s="303">
        <v>0</v>
      </c>
      <c r="O198" s="303">
        <v>1169513</v>
      </c>
      <c r="P198" s="303" t="s">
        <v>763</v>
      </c>
      <c r="Q198" s="303" t="s">
        <v>758</v>
      </c>
      <c r="R198" s="303"/>
    </row>
    <row r="199" spans="2:18" x14ac:dyDescent="0.3">
      <c r="B199" s="1" t="s">
        <v>2080</v>
      </c>
      <c r="C199" s="1" t="s">
        <v>2080</v>
      </c>
      <c r="D199" s="1">
        <f t="shared" ca="1" si="4"/>
        <v>4.1616541276230157E-2</v>
      </c>
      <c r="E199" s="302">
        <v>0</v>
      </c>
      <c r="F199" s="1805">
        <v>0</v>
      </c>
      <c r="G199" s="1" t="s">
        <v>743</v>
      </c>
      <c r="H199" s="1" t="s">
        <v>1513</v>
      </c>
      <c r="J199" s="29"/>
      <c r="K199" s="303" t="s">
        <v>2066</v>
      </c>
      <c r="L199" s="303" t="s">
        <v>2066</v>
      </c>
      <c r="M199" s="303" t="s">
        <v>2753</v>
      </c>
      <c r="N199" s="303">
        <v>0</v>
      </c>
      <c r="O199" s="303">
        <v>5290</v>
      </c>
      <c r="P199" s="303" t="s">
        <v>763</v>
      </c>
      <c r="Q199" s="303" t="s">
        <v>2569</v>
      </c>
      <c r="R199" s="303"/>
    </row>
    <row r="200" spans="2:18" x14ac:dyDescent="0.3">
      <c r="B200" s="1" t="s">
        <v>2080</v>
      </c>
      <c r="C200" s="1" t="s">
        <v>2080</v>
      </c>
      <c r="D200" s="1">
        <f t="shared" ca="1" si="4"/>
        <v>0.92698357388116392</v>
      </c>
      <c r="E200" s="302">
        <v>36580</v>
      </c>
      <c r="F200" s="1805">
        <v>0</v>
      </c>
      <c r="G200" s="1" t="s">
        <v>743</v>
      </c>
      <c r="H200" s="1" t="s">
        <v>1513</v>
      </c>
      <c r="J200" s="29"/>
      <c r="K200" s="303" t="s">
        <v>2066</v>
      </c>
      <c r="L200" s="303" t="s">
        <v>2066</v>
      </c>
      <c r="M200" s="303" t="s">
        <v>2754</v>
      </c>
      <c r="N200" s="303">
        <v>0</v>
      </c>
      <c r="O200" s="2608">
        <f>24002+828476.85</f>
        <v>852478.85</v>
      </c>
      <c r="P200" s="303" t="s">
        <v>763</v>
      </c>
      <c r="Q200" s="303" t="s">
        <v>2754</v>
      </c>
      <c r="R200" s="303"/>
    </row>
    <row r="201" spans="2:18" x14ac:dyDescent="0.3">
      <c r="B201" s="1" t="s">
        <v>2080</v>
      </c>
      <c r="C201" s="1" t="s">
        <v>2080</v>
      </c>
      <c r="D201" s="1">
        <f t="shared" ca="1" si="4"/>
        <v>0.39328468736321198</v>
      </c>
      <c r="E201" s="302">
        <v>0</v>
      </c>
      <c r="F201" s="1805">
        <v>0</v>
      </c>
      <c r="G201" s="1" t="s">
        <v>743</v>
      </c>
      <c r="H201" s="1" t="s">
        <v>1513</v>
      </c>
      <c r="J201" s="29"/>
      <c r="K201" s="303" t="s">
        <v>2066</v>
      </c>
      <c r="L201" s="303" t="s">
        <v>2066</v>
      </c>
      <c r="M201" s="303" t="s">
        <v>2757</v>
      </c>
      <c r="N201" s="303">
        <v>0</v>
      </c>
      <c r="O201" s="303">
        <v>32.11</v>
      </c>
      <c r="P201" s="303" t="s">
        <v>763</v>
      </c>
      <c r="Q201" s="303" t="s">
        <v>772</v>
      </c>
      <c r="R201" s="303"/>
    </row>
    <row r="202" spans="2:18" x14ac:dyDescent="0.3">
      <c r="B202" s="1" t="s">
        <v>1012</v>
      </c>
      <c r="C202" s="1" t="s">
        <v>1012</v>
      </c>
      <c r="D202" s="1">
        <f t="shared" ca="1" si="4"/>
        <v>0.48568338519030496</v>
      </c>
      <c r="E202" s="302">
        <v>0</v>
      </c>
      <c r="F202" s="1805">
        <v>-54000</v>
      </c>
      <c r="G202" s="1" t="s">
        <v>799</v>
      </c>
      <c r="H202" s="1" t="s">
        <v>1291</v>
      </c>
      <c r="J202" s="29"/>
      <c r="K202" s="303" t="s">
        <v>2066</v>
      </c>
      <c r="L202" s="303" t="s">
        <v>2069</v>
      </c>
      <c r="M202" s="303" t="s">
        <v>2769</v>
      </c>
      <c r="N202" s="303">
        <v>0</v>
      </c>
      <c r="O202" s="303">
        <v>1279796</v>
      </c>
      <c r="P202" s="303" t="s">
        <v>997</v>
      </c>
      <c r="Q202" s="303" t="s">
        <v>761</v>
      </c>
      <c r="R202" s="303"/>
    </row>
    <row r="203" spans="2:18" x14ac:dyDescent="0.3">
      <c r="B203" s="1" t="s">
        <v>953</v>
      </c>
      <c r="C203" s="1" t="s">
        <v>2064</v>
      </c>
      <c r="D203" s="1">
        <f t="shared" ca="1" si="4"/>
        <v>0.30432006199009676</v>
      </c>
      <c r="E203" s="302">
        <v>-42750</v>
      </c>
      <c r="F203" s="1805">
        <v>-186230</v>
      </c>
      <c r="G203" s="1" t="s">
        <v>799</v>
      </c>
      <c r="H203" s="1" t="s">
        <v>1291</v>
      </c>
      <c r="J203" s="29"/>
      <c r="K203" s="303" t="s">
        <v>953</v>
      </c>
      <c r="L203" s="303" t="s">
        <v>2112</v>
      </c>
      <c r="M203" s="2348" t="s">
        <v>2778</v>
      </c>
      <c r="N203" s="303">
        <v>0</v>
      </c>
      <c r="O203" s="303">
        <v>-14896</v>
      </c>
      <c r="P203" s="303" t="s">
        <v>508</v>
      </c>
      <c r="Q203" s="303" t="s">
        <v>1303</v>
      </c>
      <c r="R203" s="303"/>
    </row>
    <row r="204" spans="2:18" x14ac:dyDescent="0.3">
      <c r="B204" s="1" t="s">
        <v>2169</v>
      </c>
      <c r="C204" s="1" t="s">
        <v>2169</v>
      </c>
      <c r="D204" s="1" t="s">
        <v>3086</v>
      </c>
      <c r="E204" s="302">
        <v>0</v>
      </c>
      <c r="F204" s="302">
        <v>-251599.04</v>
      </c>
      <c r="G204" s="1" t="s">
        <v>752</v>
      </c>
      <c r="H204" s="1" t="s">
        <v>3806</v>
      </c>
      <c r="J204" s="29"/>
      <c r="K204" s="303" t="s">
        <v>2080</v>
      </c>
      <c r="L204" s="303" t="s">
        <v>2781</v>
      </c>
      <c r="M204" s="303" t="s">
        <v>2782</v>
      </c>
      <c r="N204" s="303">
        <v>0</v>
      </c>
      <c r="O204" s="303">
        <v>175262.2</v>
      </c>
      <c r="P204" s="303" t="s">
        <v>743</v>
      </c>
      <c r="Q204" s="303" t="s">
        <v>1513</v>
      </c>
      <c r="R204" s="303"/>
    </row>
    <row r="205" spans="2:18" x14ac:dyDescent="0.3">
      <c r="B205" s="1" t="s">
        <v>2066</v>
      </c>
      <c r="C205" s="1" t="s">
        <v>2066</v>
      </c>
      <c r="D205" s="1" t="s">
        <v>2538</v>
      </c>
      <c r="E205" s="302">
        <v>0</v>
      </c>
      <c r="F205" s="1805">
        <v>60384.639999999999</v>
      </c>
      <c r="G205" s="1" t="s">
        <v>763</v>
      </c>
      <c r="H205" s="1" t="s">
        <v>772</v>
      </c>
      <c r="J205" s="29"/>
      <c r="K205" s="303" t="s">
        <v>2298</v>
      </c>
      <c r="L205" s="303" t="s">
        <v>2300</v>
      </c>
      <c r="M205" s="303" t="s">
        <v>2785</v>
      </c>
      <c r="N205" s="303">
        <v>0</v>
      </c>
      <c r="O205" s="303">
        <v>-1357569.9</v>
      </c>
      <c r="P205" s="303" t="s">
        <v>748</v>
      </c>
      <c r="Q205" s="303" t="s">
        <v>1002</v>
      </c>
      <c r="R205" s="303"/>
    </row>
    <row r="206" spans="2:18" x14ac:dyDescent="0.3">
      <c r="B206" s="1" t="s">
        <v>2128</v>
      </c>
      <c r="C206" s="1" t="s">
        <v>2131</v>
      </c>
      <c r="D206" s="1" t="s">
        <v>2537</v>
      </c>
      <c r="E206" s="302">
        <v>0</v>
      </c>
      <c r="F206" s="1805">
        <v>0</v>
      </c>
      <c r="G206" s="1" t="s">
        <v>1812</v>
      </c>
      <c r="H206" s="1" t="s">
        <v>1887</v>
      </c>
      <c r="J206" s="29"/>
      <c r="K206" s="303" t="s">
        <v>2298</v>
      </c>
      <c r="L206" s="303" t="s">
        <v>2302</v>
      </c>
      <c r="M206" s="303" t="s">
        <v>2786</v>
      </c>
      <c r="N206" s="303">
        <v>0</v>
      </c>
      <c r="O206" s="303">
        <v>-606572.4</v>
      </c>
      <c r="P206" s="303" t="s">
        <v>748</v>
      </c>
      <c r="Q206" s="303" t="s">
        <v>1004</v>
      </c>
      <c r="R206" s="303"/>
    </row>
    <row r="207" spans="2:18" x14ac:dyDescent="0.3">
      <c r="B207" s="1" t="s">
        <v>2080</v>
      </c>
      <c r="C207" s="1" t="s">
        <v>2080</v>
      </c>
      <c r="D207" s="1">
        <f t="shared" ref="D207:D211" ca="1" si="5">RAND()</f>
        <v>0.8860910391491823</v>
      </c>
      <c r="E207" s="533">
        <v>0</v>
      </c>
      <c r="F207" s="2552">
        <v>700614</v>
      </c>
      <c r="G207" s="1" t="s">
        <v>743</v>
      </c>
      <c r="H207" s="1" t="s">
        <v>1513</v>
      </c>
      <c r="J207" s="29"/>
      <c r="K207" s="303" t="s">
        <v>2045</v>
      </c>
      <c r="L207" s="303" t="s">
        <v>2187</v>
      </c>
      <c r="M207" s="303" t="s">
        <v>2798</v>
      </c>
      <c r="N207" s="303">
        <v>0</v>
      </c>
      <c r="O207" s="303">
        <v>565301.93000000005</v>
      </c>
      <c r="P207" s="303" t="s">
        <v>363</v>
      </c>
      <c r="Q207" s="303" t="s">
        <v>2018</v>
      </c>
      <c r="R207" s="303"/>
    </row>
    <row r="208" spans="2:18" x14ac:dyDescent="0.3">
      <c r="B208" s="1" t="s">
        <v>2080</v>
      </c>
      <c r="C208" s="1" t="s">
        <v>2177</v>
      </c>
      <c r="D208" s="1">
        <f t="shared" ca="1" si="5"/>
        <v>0.35377838698586894</v>
      </c>
      <c r="E208" s="533">
        <v>0</v>
      </c>
      <c r="F208" s="2552">
        <v>0</v>
      </c>
      <c r="G208" s="1" t="s">
        <v>743</v>
      </c>
      <c r="H208" s="1" t="s">
        <v>1513</v>
      </c>
      <c r="J208" s="29"/>
      <c r="K208" s="303" t="s">
        <v>1012</v>
      </c>
      <c r="L208" s="303" t="s">
        <v>1012</v>
      </c>
      <c r="M208" s="303" t="s">
        <v>2807</v>
      </c>
      <c r="N208" s="303">
        <v>0</v>
      </c>
      <c r="O208" s="303">
        <v>-23600</v>
      </c>
      <c r="P208" s="303" t="s">
        <v>799</v>
      </c>
      <c r="Q208" s="303" t="s">
        <v>1292</v>
      </c>
      <c r="R208" s="303"/>
    </row>
    <row r="209" spans="2:18" x14ac:dyDescent="0.3">
      <c r="B209" s="1" t="s">
        <v>1012</v>
      </c>
      <c r="C209" s="1" t="s">
        <v>2216</v>
      </c>
      <c r="D209" s="1">
        <f t="shared" ca="1" si="5"/>
        <v>0.22401265617226596</v>
      </c>
      <c r="E209" s="302">
        <v>0</v>
      </c>
      <c r="F209" s="1805">
        <v>-5968271.2300000004</v>
      </c>
      <c r="G209" s="1" t="s">
        <v>799</v>
      </c>
      <c r="H209" s="1" t="s">
        <v>1292</v>
      </c>
      <c r="J209" s="29"/>
      <c r="K209" s="303" t="s">
        <v>2080</v>
      </c>
      <c r="L209" s="303" t="s">
        <v>2080</v>
      </c>
      <c r="M209" s="303" t="s">
        <v>2809</v>
      </c>
      <c r="N209" s="303">
        <v>0</v>
      </c>
      <c r="O209" s="303">
        <v>2771113.18</v>
      </c>
      <c r="P209" s="303" t="s">
        <v>743</v>
      </c>
      <c r="Q209" s="303" t="s">
        <v>1513</v>
      </c>
      <c r="R209" s="303"/>
    </row>
    <row r="210" spans="2:18" x14ac:dyDescent="0.3">
      <c r="B210" s="1" t="s">
        <v>2080</v>
      </c>
      <c r="C210" s="1" t="s">
        <v>2177</v>
      </c>
      <c r="D210" s="1">
        <f t="shared" ca="1" si="5"/>
        <v>0.19223827660707848</v>
      </c>
      <c r="E210" s="302">
        <v>26544026.890000001</v>
      </c>
      <c r="F210" s="1805">
        <v>40004404.979999997</v>
      </c>
      <c r="G210" s="1" t="s">
        <v>743</v>
      </c>
      <c r="H210" s="1" t="s">
        <v>1509</v>
      </c>
      <c r="J210" s="29"/>
      <c r="K210" s="303" t="s">
        <v>953</v>
      </c>
      <c r="L210" s="303" t="s">
        <v>2112</v>
      </c>
      <c r="M210" s="2348" t="s">
        <v>2832</v>
      </c>
      <c r="N210" s="303">
        <v>0</v>
      </c>
      <c r="O210" s="303">
        <v>-9804</v>
      </c>
      <c r="P210" s="320" t="s">
        <v>508</v>
      </c>
      <c r="Q210" s="1774" t="s">
        <v>1303</v>
      </c>
      <c r="R210" s="303"/>
    </row>
    <row r="211" spans="2:18" x14ac:dyDescent="0.3">
      <c r="B211" s="1" t="s">
        <v>2080</v>
      </c>
      <c r="C211" s="1" t="s">
        <v>2177</v>
      </c>
      <c r="D211" s="1">
        <f t="shared" ca="1" si="5"/>
        <v>0.1596704682429817</v>
      </c>
      <c r="E211" s="533">
        <v>13484.35</v>
      </c>
      <c r="F211" s="2552">
        <v>0.46</v>
      </c>
      <c r="G211" s="1" t="s">
        <v>743</v>
      </c>
      <c r="H211" s="1" t="s">
        <v>1513</v>
      </c>
      <c r="J211" s="29"/>
      <c r="K211" s="303" t="s">
        <v>2080</v>
      </c>
      <c r="L211" s="303" t="s">
        <v>2177</v>
      </c>
      <c r="M211" s="303" t="s">
        <v>2836</v>
      </c>
      <c r="N211" s="303">
        <v>6853.17</v>
      </c>
      <c r="O211" s="303">
        <v>0</v>
      </c>
      <c r="P211" s="303" t="s">
        <v>743</v>
      </c>
      <c r="Q211" s="303" t="s">
        <v>1513</v>
      </c>
      <c r="R211" s="303"/>
    </row>
    <row r="212" spans="2:18" x14ac:dyDescent="0.3">
      <c r="B212" s="1" t="s">
        <v>2066</v>
      </c>
      <c r="C212" s="1" t="s">
        <v>2066</v>
      </c>
      <c r="D212" s="1" t="s">
        <v>2526</v>
      </c>
      <c r="E212" s="302">
        <v>0</v>
      </c>
      <c r="F212" s="1805">
        <v>3983.89</v>
      </c>
      <c r="G212" s="1" t="s">
        <v>763</v>
      </c>
      <c r="H212" s="1" t="s">
        <v>772</v>
      </c>
      <c r="J212" s="29"/>
      <c r="K212" s="303" t="s">
        <v>2298</v>
      </c>
      <c r="L212" s="303" t="s">
        <v>2300</v>
      </c>
      <c r="M212" s="303" t="s">
        <v>2838</v>
      </c>
      <c r="N212" s="303">
        <v>0</v>
      </c>
      <c r="O212" s="303">
        <v>-59028756.579999998</v>
      </c>
      <c r="P212" s="303" t="s">
        <v>748</v>
      </c>
      <c r="Q212" s="303" t="s">
        <v>1003</v>
      </c>
      <c r="R212" s="303"/>
    </row>
    <row r="213" spans="2:18" x14ac:dyDescent="0.3">
      <c r="B213" s="1" t="s">
        <v>1012</v>
      </c>
      <c r="C213" s="1" t="s">
        <v>1012</v>
      </c>
      <c r="D213" s="1">
        <f ca="1">RAND()</f>
        <v>0.49976849510533083</v>
      </c>
      <c r="E213" s="533">
        <v>0</v>
      </c>
      <c r="F213" s="2552">
        <v>-0.23</v>
      </c>
      <c r="G213" s="1" t="s">
        <v>799</v>
      </c>
      <c r="H213" s="1" t="s">
        <v>1291</v>
      </c>
      <c r="J213" s="29"/>
      <c r="K213" s="303" t="s">
        <v>2298</v>
      </c>
      <c r="L213" s="303" t="s">
        <v>2302</v>
      </c>
      <c r="M213" s="303" t="s">
        <v>2839</v>
      </c>
      <c r="N213" s="303">
        <v>0</v>
      </c>
      <c r="O213" s="303">
        <v>-13540388.48</v>
      </c>
      <c r="P213" s="303" t="s">
        <v>748</v>
      </c>
      <c r="Q213" s="303" t="s">
        <v>749</v>
      </c>
      <c r="R213" s="303"/>
    </row>
    <row r="214" spans="2:18" x14ac:dyDescent="0.3">
      <c r="B214" s="1" t="s">
        <v>953</v>
      </c>
      <c r="C214" s="1" t="s">
        <v>2064</v>
      </c>
      <c r="D214" s="1" t="s">
        <v>2504</v>
      </c>
      <c r="E214" s="302">
        <v>0</v>
      </c>
      <c r="F214" s="302">
        <v>0</v>
      </c>
      <c r="G214" s="1" t="s">
        <v>508</v>
      </c>
      <c r="H214" s="1" t="s">
        <v>1970</v>
      </c>
      <c r="J214" s="29"/>
      <c r="K214" s="303" t="s">
        <v>2298</v>
      </c>
      <c r="L214" s="303" t="s">
        <v>2300</v>
      </c>
      <c r="M214" s="303" t="s">
        <v>2841</v>
      </c>
      <c r="N214" s="303">
        <v>0</v>
      </c>
      <c r="O214" s="303">
        <v>-60624415.689999998</v>
      </c>
      <c r="P214" s="303" t="s">
        <v>748</v>
      </c>
      <c r="Q214" s="303" t="s">
        <v>1003</v>
      </c>
      <c r="R214" s="303"/>
    </row>
    <row r="215" spans="2:18" x14ac:dyDescent="0.3">
      <c r="B215" s="1" t="s">
        <v>2066</v>
      </c>
      <c r="C215" s="1" t="s">
        <v>2069</v>
      </c>
      <c r="D215" s="1" t="s">
        <v>2500</v>
      </c>
      <c r="E215" s="302">
        <v>0</v>
      </c>
      <c r="F215" s="1805">
        <v>1326453</v>
      </c>
      <c r="G215" s="1" t="s">
        <v>997</v>
      </c>
      <c r="H215" s="1" t="s">
        <v>761</v>
      </c>
      <c r="J215" s="29"/>
      <c r="K215" s="303" t="s">
        <v>2298</v>
      </c>
      <c r="L215" s="303" t="s">
        <v>2302</v>
      </c>
      <c r="M215" s="303" t="s">
        <v>2842</v>
      </c>
      <c r="N215" s="303">
        <v>0</v>
      </c>
      <c r="O215" s="303">
        <v>-118780680.81999999</v>
      </c>
      <c r="P215" s="303" t="s">
        <v>748</v>
      </c>
      <c r="Q215" s="303" t="s">
        <v>749</v>
      </c>
      <c r="R215" s="303"/>
    </row>
    <row r="216" spans="2:18" x14ac:dyDescent="0.3">
      <c r="B216" s="1" t="s">
        <v>2080</v>
      </c>
      <c r="C216" s="1" t="s">
        <v>2080</v>
      </c>
      <c r="D216" s="1">
        <f t="shared" ref="D216:D219" ca="1" si="6">RAND()</f>
        <v>0.78405039936894205</v>
      </c>
      <c r="E216" s="302">
        <v>3631359.57</v>
      </c>
      <c r="F216" s="1805">
        <v>3994753.42</v>
      </c>
      <c r="G216" s="1" t="s">
        <v>743</v>
      </c>
      <c r="H216" s="1" t="s">
        <v>1513</v>
      </c>
      <c r="J216" s="29"/>
      <c r="K216" s="303" t="s">
        <v>2128</v>
      </c>
      <c r="L216" s="303" t="s">
        <v>2129</v>
      </c>
      <c r="M216" s="303" t="s">
        <v>2848</v>
      </c>
      <c r="N216" s="303">
        <v>1044.5</v>
      </c>
      <c r="O216" s="303">
        <v>1044.5</v>
      </c>
      <c r="P216" s="303" t="s">
        <v>1812</v>
      </c>
      <c r="Q216" s="303" t="s">
        <v>1887</v>
      </c>
      <c r="R216" s="303"/>
    </row>
    <row r="217" spans="2:18" x14ac:dyDescent="0.3">
      <c r="B217" s="1" t="s">
        <v>2080</v>
      </c>
      <c r="C217" s="1" t="s">
        <v>2080</v>
      </c>
      <c r="D217" s="1">
        <f t="shared" ca="1" si="6"/>
        <v>0.69672121692615907</v>
      </c>
      <c r="E217" s="302">
        <v>0</v>
      </c>
      <c r="F217" s="1805">
        <v>2377905.7999999998</v>
      </c>
      <c r="G217" s="1" t="s">
        <v>743</v>
      </c>
      <c r="H217" s="1" t="s">
        <v>1513</v>
      </c>
      <c r="J217" s="29"/>
      <c r="K217" s="303" t="s">
        <v>2128</v>
      </c>
      <c r="L217" s="303" t="s">
        <v>2129</v>
      </c>
      <c r="M217" s="303" t="s">
        <v>2849</v>
      </c>
      <c r="N217" s="303">
        <v>1357.5</v>
      </c>
      <c r="O217" s="303">
        <v>1357.5</v>
      </c>
      <c r="P217" s="303" t="s">
        <v>1812</v>
      </c>
      <c r="Q217" s="303" t="s">
        <v>1887</v>
      </c>
      <c r="R217" s="303"/>
    </row>
    <row r="218" spans="2:18" x14ac:dyDescent="0.3">
      <c r="B218" s="1" t="s">
        <v>2080</v>
      </c>
      <c r="C218" s="1" t="s">
        <v>2080</v>
      </c>
      <c r="D218" s="1">
        <f t="shared" ca="1" si="6"/>
        <v>0.33364448316229511</v>
      </c>
      <c r="E218" s="302">
        <v>0</v>
      </c>
      <c r="F218" s="1805">
        <v>0</v>
      </c>
      <c r="G218" s="1" t="s">
        <v>743</v>
      </c>
      <c r="H218" s="1" t="s">
        <v>1513</v>
      </c>
      <c r="J218" s="29"/>
      <c r="K218" s="303" t="s">
        <v>2128</v>
      </c>
      <c r="L218" s="303" t="s">
        <v>2129</v>
      </c>
      <c r="M218" s="303" t="s">
        <v>2850</v>
      </c>
      <c r="N218" s="303">
        <v>4182.37</v>
      </c>
      <c r="O218" s="303">
        <v>4182.37</v>
      </c>
      <c r="P218" s="303" t="s">
        <v>1812</v>
      </c>
      <c r="Q218" s="303" t="s">
        <v>1887</v>
      </c>
      <c r="R218" s="303"/>
    </row>
    <row r="219" spans="2:18" x14ac:dyDescent="0.3">
      <c r="B219" s="1" t="s">
        <v>2080</v>
      </c>
      <c r="C219" s="1" t="s">
        <v>2080</v>
      </c>
      <c r="D219" s="1">
        <f t="shared" ca="1" si="6"/>
        <v>0.6627142223299719</v>
      </c>
      <c r="E219" s="302">
        <v>-215.25</v>
      </c>
      <c r="F219" s="1805">
        <v>158108.20000000001</v>
      </c>
      <c r="G219" s="1" t="s">
        <v>743</v>
      </c>
      <c r="H219" s="1" t="s">
        <v>1513</v>
      </c>
      <c r="J219" s="29"/>
      <c r="K219" s="303" t="s">
        <v>1012</v>
      </c>
      <c r="L219" s="303" t="s">
        <v>1012</v>
      </c>
      <c r="M219" s="303" t="s">
        <v>2851</v>
      </c>
      <c r="N219" s="303">
        <v>-1350250</v>
      </c>
      <c r="O219" s="303">
        <v>0</v>
      </c>
      <c r="P219" s="303" t="s">
        <v>363</v>
      </c>
      <c r="Q219" s="303" t="s">
        <v>2023</v>
      </c>
      <c r="R219" s="303"/>
    </row>
    <row r="220" spans="2:18" x14ac:dyDescent="0.3">
      <c r="B220" s="1" t="s">
        <v>953</v>
      </c>
      <c r="C220" s="1" t="s">
        <v>2064</v>
      </c>
      <c r="D220" s="1" t="s">
        <v>2518</v>
      </c>
      <c r="E220" s="302">
        <v>-15573977</v>
      </c>
      <c r="F220" s="302">
        <v>0</v>
      </c>
      <c r="G220" s="1" t="s">
        <v>508</v>
      </c>
      <c r="H220" s="1" t="s">
        <v>1647</v>
      </c>
      <c r="J220" s="29"/>
      <c r="K220" s="303" t="s">
        <v>1012</v>
      </c>
      <c r="L220" s="303" t="s">
        <v>1012</v>
      </c>
      <c r="M220" s="303" t="s">
        <v>2852</v>
      </c>
      <c r="N220" s="303">
        <v>-5867476.9800000004</v>
      </c>
      <c r="O220" s="303">
        <v>0</v>
      </c>
      <c r="P220" s="303" t="s">
        <v>799</v>
      </c>
      <c r="Q220" s="303" t="s">
        <v>1292</v>
      </c>
      <c r="R220" s="303"/>
    </row>
    <row r="221" spans="2:18" x14ac:dyDescent="0.3">
      <c r="B221" s="1" t="s">
        <v>2066</v>
      </c>
      <c r="C221" s="1" t="s">
        <v>2066</v>
      </c>
      <c r="D221" s="1" t="s">
        <v>2517</v>
      </c>
      <c r="E221" s="302">
        <v>0</v>
      </c>
      <c r="F221" s="1805">
        <v>5566887.8600000003</v>
      </c>
      <c r="G221" s="1" t="s">
        <v>763</v>
      </c>
      <c r="H221" s="1" t="s">
        <v>2517</v>
      </c>
      <c r="J221" s="29"/>
      <c r="K221" s="303" t="s">
        <v>1012</v>
      </c>
      <c r="L221" s="303" t="s">
        <v>1012</v>
      </c>
      <c r="M221" s="303" t="s">
        <v>2853</v>
      </c>
      <c r="N221" s="303">
        <v>0</v>
      </c>
      <c r="O221" s="303">
        <v>-3333555.44</v>
      </c>
      <c r="P221" s="303" t="s">
        <v>799</v>
      </c>
      <c r="Q221" s="303" t="s">
        <v>1292</v>
      </c>
      <c r="R221" s="303"/>
    </row>
    <row r="222" spans="2:18" x14ac:dyDescent="0.3">
      <c r="B222" s="1" t="s">
        <v>2066</v>
      </c>
      <c r="C222" s="1" t="s">
        <v>3079</v>
      </c>
      <c r="D222" s="1" t="s">
        <v>3082</v>
      </c>
      <c r="E222" s="302">
        <v>0</v>
      </c>
      <c r="F222" s="1805">
        <v>2933405.65</v>
      </c>
      <c r="G222" s="1" t="s">
        <v>997</v>
      </c>
      <c r="H222" s="1" t="s">
        <v>761</v>
      </c>
      <c r="J222" s="29"/>
      <c r="K222" s="303" t="s">
        <v>2128</v>
      </c>
      <c r="L222" s="303" t="s">
        <v>2131</v>
      </c>
      <c r="M222" s="303" t="s">
        <v>2856</v>
      </c>
      <c r="N222" s="303">
        <v>710.9</v>
      </c>
      <c r="O222" s="303">
        <v>390.9</v>
      </c>
      <c r="P222" s="303" t="s">
        <v>1812</v>
      </c>
      <c r="Q222" s="303" t="s">
        <v>1887</v>
      </c>
      <c r="R222" s="303"/>
    </row>
    <row r="223" spans="2:18" x14ac:dyDescent="0.3">
      <c r="B223" s="1" t="s">
        <v>2066</v>
      </c>
      <c r="C223" s="1" t="s">
        <v>3079</v>
      </c>
      <c r="D223" s="1" t="s">
        <v>3081</v>
      </c>
      <c r="E223" s="533">
        <v>0</v>
      </c>
      <c r="F223" s="2552">
        <v>235470.1</v>
      </c>
      <c r="G223" s="1" t="s">
        <v>997</v>
      </c>
      <c r="H223" s="1" t="s">
        <v>761</v>
      </c>
      <c r="J223" s="29"/>
      <c r="K223" s="303" t="s">
        <v>2128</v>
      </c>
      <c r="L223" s="303" t="s">
        <v>2214</v>
      </c>
      <c r="M223" s="303" t="s">
        <v>2859</v>
      </c>
      <c r="N223" s="303">
        <v>5963</v>
      </c>
      <c r="O223" s="303">
        <v>0</v>
      </c>
      <c r="P223" s="303" t="s">
        <v>363</v>
      </c>
      <c r="Q223" s="303" t="s">
        <v>2015</v>
      </c>
      <c r="R223" s="303"/>
    </row>
    <row r="224" spans="2:18" x14ac:dyDescent="0.3">
      <c r="B224" s="1" t="s">
        <v>2066</v>
      </c>
      <c r="C224" s="1" t="s">
        <v>3079</v>
      </c>
      <c r="D224" s="1" t="s">
        <v>3080</v>
      </c>
      <c r="E224" s="302">
        <v>0</v>
      </c>
      <c r="F224" s="1805">
        <v>235470.11</v>
      </c>
      <c r="G224" s="1" t="s">
        <v>997</v>
      </c>
      <c r="H224" s="1" t="s">
        <v>761</v>
      </c>
      <c r="J224" s="29"/>
      <c r="K224" s="303" t="s">
        <v>1012</v>
      </c>
      <c r="L224" s="303" t="s">
        <v>1012</v>
      </c>
      <c r="M224" s="303" t="s">
        <v>2864</v>
      </c>
      <c r="N224" s="303">
        <v>309</v>
      </c>
      <c r="O224" s="303">
        <v>-338.46</v>
      </c>
      <c r="P224" s="303" t="s">
        <v>799</v>
      </c>
      <c r="Q224" s="303" t="s">
        <v>1292</v>
      </c>
      <c r="R224" s="303"/>
    </row>
    <row r="225" spans="2:18" x14ac:dyDescent="0.3">
      <c r="B225" s="1" t="s">
        <v>2128</v>
      </c>
      <c r="C225" s="1" t="s">
        <v>2257</v>
      </c>
      <c r="D225" s="1" t="s">
        <v>2475</v>
      </c>
      <c r="E225" s="302">
        <v>3000</v>
      </c>
      <c r="F225" s="1805">
        <v>3000</v>
      </c>
      <c r="G225" s="1" t="s">
        <v>1812</v>
      </c>
      <c r="H225" s="1" t="s">
        <v>1887</v>
      </c>
      <c r="J225" s="29"/>
      <c r="K225" s="303" t="s">
        <v>2066</v>
      </c>
      <c r="L225" s="303" t="s">
        <v>2066</v>
      </c>
      <c r="M225" s="303" t="s">
        <v>2868</v>
      </c>
      <c r="N225" s="303">
        <v>0</v>
      </c>
      <c r="O225" s="303">
        <v>146295.60999999999</v>
      </c>
      <c r="P225" s="303" t="s">
        <v>763</v>
      </c>
      <c r="Q225" s="303" t="s">
        <v>2868</v>
      </c>
      <c r="R225" s="303"/>
    </row>
    <row r="226" spans="2:18" x14ac:dyDescent="0.3">
      <c r="B226" s="1" t="s">
        <v>2128</v>
      </c>
      <c r="C226" s="1" t="s">
        <v>2257</v>
      </c>
      <c r="D226" s="1" t="s">
        <v>2474</v>
      </c>
      <c r="E226" s="302">
        <v>3000</v>
      </c>
      <c r="F226" s="1805">
        <v>3000</v>
      </c>
      <c r="G226" s="1" t="s">
        <v>1812</v>
      </c>
      <c r="H226" s="1" t="s">
        <v>1887</v>
      </c>
      <c r="J226" s="29"/>
      <c r="K226" s="303" t="s">
        <v>2080</v>
      </c>
      <c r="L226" s="303" t="s">
        <v>2080</v>
      </c>
      <c r="M226" s="303" t="s">
        <v>2870</v>
      </c>
      <c r="N226" s="303">
        <v>973507.08</v>
      </c>
      <c r="O226" s="303">
        <v>0</v>
      </c>
      <c r="P226" s="303" t="s">
        <v>743</v>
      </c>
      <c r="Q226" s="303" t="s">
        <v>1513</v>
      </c>
      <c r="R226" s="303"/>
    </row>
    <row r="227" spans="2:18" x14ac:dyDescent="0.3">
      <c r="B227" s="1" t="s">
        <v>2066</v>
      </c>
      <c r="C227" s="1" t="s">
        <v>2066</v>
      </c>
      <c r="D227" s="1" t="s">
        <v>3078</v>
      </c>
      <c r="E227" s="533">
        <v>0</v>
      </c>
      <c r="F227" s="2552">
        <v>1506</v>
      </c>
      <c r="G227" s="1" t="s">
        <v>763</v>
      </c>
      <c r="H227" s="1" t="s">
        <v>771</v>
      </c>
      <c r="J227" s="29"/>
      <c r="K227" s="303" t="s">
        <v>2066</v>
      </c>
      <c r="L227" s="303" t="s">
        <v>2066</v>
      </c>
      <c r="M227" s="303" t="s">
        <v>2874</v>
      </c>
      <c r="N227" s="303">
        <v>0</v>
      </c>
      <c r="O227" s="303">
        <v>6599</v>
      </c>
      <c r="P227" s="303" t="s">
        <v>997</v>
      </c>
      <c r="Q227" s="303" t="s">
        <v>762</v>
      </c>
      <c r="R227" s="303"/>
    </row>
    <row r="228" spans="2:18" x14ac:dyDescent="0.3">
      <c r="B228" s="1" t="s">
        <v>2128</v>
      </c>
      <c r="C228" s="1" t="s">
        <v>2257</v>
      </c>
      <c r="D228" s="1" t="s">
        <v>3076</v>
      </c>
      <c r="E228" s="302">
        <v>0</v>
      </c>
      <c r="F228" s="1805">
        <v>82969</v>
      </c>
      <c r="G228" s="1" t="s">
        <v>1812</v>
      </c>
      <c r="H228" s="1" t="s">
        <v>1887</v>
      </c>
      <c r="J228" s="29"/>
      <c r="K228" s="303" t="s">
        <v>1012</v>
      </c>
      <c r="L228" s="303" t="s">
        <v>1012</v>
      </c>
      <c r="M228" s="303" t="s">
        <v>2878</v>
      </c>
      <c r="N228" s="303">
        <v>-14396</v>
      </c>
      <c r="O228" s="303">
        <v>0</v>
      </c>
      <c r="P228" s="303" t="s">
        <v>799</v>
      </c>
      <c r="Q228" s="303" t="s">
        <v>1292</v>
      </c>
      <c r="R228" s="303"/>
    </row>
    <row r="229" spans="2:18" x14ac:dyDescent="0.3">
      <c r="B229" s="1" t="s">
        <v>2066</v>
      </c>
      <c r="C229" s="1" t="s">
        <v>2066</v>
      </c>
      <c r="D229" s="1" t="s">
        <v>3077</v>
      </c>
      <c r="E229" s="302">
        <v>0</v>
      </c>
      <c r="F229" s="1805">
        <v>0</v>
      </c>
      <c r="G229" s="1" t="s">
        <v>763</v>
      </c>
      <c r="H229" s="1" t="s">
        <v>235</v>
      </c>
      <c r="J229" s="29"/>
      <c r="K229" s="303" t="s">
        <v>2045</v>
      </c>
      <c r="L229" s="303" t="s">
        <v>2885</v>
      </c>
      <c r="M229" s="2348" t="s">
        <v>2887</v>
      </c>
      <c r="N229" s="303">
        <v>130.33000000000001</v>
      </c>
      <c r="O229" s="303">
        <v>130.33000000000001</v>
      </c>
      <c r="P229" s="303" t="s">
        <v>508</v>
      </c>
      <c r="Q229" s="303" t="s">
        <v>1303</v>
      </c>
      <c r="R229" s="303"/>
    </row>
    <row r="230" spans="2:18" x14ac:dyDescent="0.3">
      <c r="B230" s="1" t="s">
        <v>2128</v>
      </c>
      <c r="C230" s="1" t="s">
        <v>2129</v>
      </c>
      <c r="D230" s="1" t="s">
        <v>2481</v>
      </c>
      <c r="E230" s="302">
        <v>3572</v>
      </c>
      <c r="F230" s="1805">
        <v>3572</v>
      </c>
      <c r="G230" s="1" t="s">
        <v>1812</v>
      </c>
      <c r="H230" s="1" t="s">
        <v>1887</v>
      </c>
      <c r="J230" s="29"/>
      <c r="K230" s="303" t="s">
        <v>2045</v>
      </c>
      <c r="L230" s="303" t="s">
        <v>2889</v>
      </c>
      <c r="M230" s="2348" t="s">
        <v>2890</v>
      </c>
      <c r="N230" s="303">
        <v>-16893.57</v>
      </c>
      <c r="O230" s="303">
        <v>0</v>
      </c>
      <c r="P230" s="303" t="s">
        <v>508</v>
      </c>
      <c r="Q230" s="303" t="s">
        <v>1303</v>
      </c>
      <c r="R230" s="303"/>
    </row>
    <row r="231" spans="2:18" x14ac:dyDescent="0.3">
      <c r="B231" s="1" t="s">
        <v>2128</v>
      </c>
      <c r="C231" s="1" t="s">
        <v>2129</v>
      </c>
      <c r="D231" s="1" t="s">
        <v>2480</v>
      </c>
      <c r="E231" s="302">
        <v>7286.25</v>
      </c>
      <c r="F231" s="1805">
        <v>7286.25</v>
      </c>
      <c r="G231" s="1" t="s">
        <v>1812</v>
      </c>
      <c r="H231" s="1" t="s">
        <v>1887</v>
      </c>
      <c r="J231" s="29"/>
      <c r="K231" s="303" t="s">
        <v>1013</v>
      </c>
      <c r="L231" s="303" t="s">
        <v>2892</v>
      </c>
      <c r="M231" s="2348" t="s">
        <v>2893</v>
      </c>
      <c r="N231" s="303">
        <v>9822.2099999999991</v>
      </c>
      <c r="O231" s="303">
        <v>0</v>
      </c>
      <c r="P231" s="303" t="s">
        <v>959</v>
      </c>
      <c r="Q231" s="303" t="s">
        <v>1277</v>
      </c>
      <c r="R231" s="303"/>
    </row>
    <row r="232" spans="2:18" x14ac:dyDescent="0.3">
      <c r="B232" s="1" t="s">
        <v>2128</v>
      </c>
      <c r="C232" s="1" t="s">
        <v>2129</v>
      </c>
      <c r="D232" s="1" t="s">
        <v>2479</v>
      </c>
      <c r="E232" s="302">
        <v>7250</v>
      </c>
      <c r="F232" s="1805">
        <v>7250</v>
      </c>
      <c r="G232" s="1" t="s">
        <v>1812</v>
      </c>
      <c r="H232" s="1" t="s">
        <v>1887</v>
      </c>
      <c r="J232" s="29"/>
      <c r="K232" s="303" t="s">
        <v>1013</v>
      </c>
      <c r="L232" s="303" t="s">
        <v>2896</v>
      </c>
      <c r="M232" s="2348" t="s">
        <v>2897</v>
      </c>
      <c r="N232" s="303">
        <v>116677.17</v>
      </c>
      <c r="O232" s="303">
        <v>0</v>
      </c>
      <c r="P232" s="303" t="s">
        <v>959</v>
      </c>
      <c r="Q232" s="303" t="s">
        <v>1277</v>
      </c>
      <c r="R232" s="303"/>
    </row>
    <row r="233" spans="2:18" x14ac:dyDescent="0.3">
      <c r="B233" s="1" t="s">
        <v>2470</v>
      </c>
      <c r="C233" s="1" t="s">
        <v>2470</v>
      </c>
      <c r="D233" s="1" t="s">
        <v>2471</v>
      </c>
      <c r="E233" s="533">
        <v>5004254.82</v>
      </c>
      <c r="F233" s="2552">
        <v>5007918.18</v>
      </c>
      <c r="G233" s="1" t="s">
        <v>1520</v>
      </c>
      <c r="H233" s="1" t="s">
        <v>1521</v>
      </c>
      <c r="J233" s="29"/>
      <c r="K233" s="303" t="s">
        <v>2045</v>
      </c>
      <c r="L233" s="303" t="s">
        <v>2885</v>
      </c>
      <c r="M233" s="2348" t="s">
        <v>2898</v>
      </c>
      <c r="N233" s="303">
        <v>-5152</v>
      </c>
      <c r="O233" s="303">
        <v>-5152</v>
      </c>
      <c r="P233" s="303" t="s">
        <v>508</v>
      </c>
      <c r="Q233" s="303" t="s">
        <v>1303</v>
      </c>
      <c r="R233" s="303"/>
    </row>
    <row r="234" spans="2:18" x14ac:dyDescent="0.3">
      <c r="B234" s="1" t="s">
        <v>953</v>
      </c>
      <c r="C234" s="1" t="s">
        <v>2112</v>
      </c>
      <c r="D234" s="1" t="s">
        <v>2458</v>
      </c>
      <c r="E234" s="302">
        <v>-4807</v>
      </c>
      <c r="F234" s="1823">
        <v>0</v>
      </c>
      <c r="G234" s="1" t="s">
        <v>508</v>
      </c>
      <c r="H234" s="1" t="s">
        <v>1303</v>
      </c>
      <c r="J234" s="29"/>
      <c r="K234" s="303" t="s">
        <v>2045</v>
      </c>
      <c r="L234" s="303" t="s">
        <v>2889</v>
      </c>
      <c r="M234" s="2348" t="s">
        <v>2899</v>
      </c>
      <c r="N234" s="303">
        <v>0</v>
      </c>
      <c r="O234" s="303">
        <v>90</v>
      </c>
      <c r="P234" s="303" t="s">
        <v>508</v>
      </c>
      <c r="Q234" s="303" t="s">
        <v>1303</v>
      </c>
      <c r="R234" s="303"/>
    </row>
    <row r="235" spans="2:18" x14ac:dyDescent="0.3">
      <c r="B235" s="1" t="s">
        <v>1012</v>
      </c>
      <c r="C235" s="1" t="s">
        <v>1012</v>
      </c>
      <c r="D235" s="1">
        <f t="shared" ref="D235:D238" ca="1" si="7">RAND()</f>
        <v>0.78660433361174731</v>
      </c>
      <c r="E235" s="533">
        <v>0</v>
      </c>
      <c r="F235" s="2552">
        <v>-270.32</v>
      </c>
      <c r="G235" s="1" t="s">
        <v>799</v>
      </c>
      <c r="H235" s="1" t="s">
        <v>1291</v>
      </c>
      <c r="J235" s="29"/>
      <c r="K235" s="303" t="s">
        <v>1013</v>
      </c>
      <c r="L235" s="303" t="s">
        <v>2892</v>
      </c>
      <c r="M235" s="303" t="s">
        <v>2904</v>
      </c>
      <c r="N235" s="303">
        <v>5587.9</v>
      </c>
      <c r="O235" s="303">
        <v>0</v>
      </c>
      <c r="P235" s="303" t="s">
        <v>959</v>
      </c>
      <c r="Q235" s="303" t="s">
        <v>1277</v>
      </c>
      <c r="R235" s="303"/>
    </row>
    <row r="236" spans="2:18" x14ac:dyDescent="0.3">
      <c r="B236" s="1" t="s">
        <v>2080</v>
      </c>
      <c r="C236" s="1" t="s">
        <v>2080</v>
      </c>
      <c r="D236" s="1">
        <f t="shared" ca="1" si="7"/>
        <v>0.62752830460725506</v>
      </c>
      <c r="E236" s="302">
        <v>103840</v>
      </c>
      <c r="F236" s="1805">
        <v>0</v>
      </c>
      <c r="G236" s="1" t="s">
        <v>743</v>
      </c>
      <c r="H236" s="1" t="s">
        <v>1513</v>
      </c>
      <c r="J236" s="29"/>
      <c r="K236" s="303" t="s">
        <v>1013</v>
      </c>
      <c r="L236" s="303" t="s">
        <v>2894</v>
      </c>
      <c r="M236" s="303" t="s">
        <v>2905</v>
      </c>
      <c r="N236" s="303">
        <v>830.1</v>
      </c>
      <c r="O236" s="303">
        <v>7548.13</v>
      </c>
      <c r="P236" s="303" t="s">
        <v>959</v>
      </c>
      <c r="Q236" s="303" t="s">
        <v>1277</v>
      </c>
      <c r="R236" s="303"/>
    </row>
    <row r="237" spans="2:18" x14ac:dyDescent="0.3">
      <c r="B237" s="1" t="s">
        <v>1012</v>
      </c>
      <c r="C237" s="1" t="s">
        <v>1012</v>
      </c>
      <c r="D237" s="1">
        <f t="shared" ca="1" si="7"/>
        <v>0.84257648135886343</v>
      </c>
      <c r="E237" s="302">
        <v>-7316</v>
      </c>
      <c r="F237" s="1805">
        <v>0</v>
      </c>
      <c r="G237" s="1" t="s">
        <v>799</v>
      </c>
      <c r="H237" s="1" t="s">
        <v>1292</v>
      </c>
      <c r="J237" s="29"/>
      <c r="K237" s="303" t="s">
        <v>2066</v>
      </c>
      <c r="L237" s="303" t="s">
        <v>2066</v>
      </c>
      <c r="M237" s="303" t="s">
        <v>2906</v>
      </c>
      <c r="N237" s="303">
        <v>0</v>
      </c>
      <c r="O237" s="303">
        <v>44040</v>
      </c>
      <c r="P237" s="303" t="s">
        <v>763</v>
      </c>
      <c r="Q237" s="303" t="s">
        <v>235</v>
      </c>
      <c r="R237" s="303"/>
    </row>
    <row r="238" spans="2:18" x14ac:dyDescent="0.3">
      <c r="B238" s="1" t="s">
        <v>1012</v>
      </c>
      <c r="C238" s="1" t="s">
        <v>1012</v>
      </c>
      <c r="D238" s="1">
        <f t="shared" ca="1" si="7"/>
        <v>0.67052528625043428</v>
      </c>
      <c r="E238" s="302">
        <v>-92040</v>
      </c>
      <c r="F238" s="1805">
        <v>0</v>
      </c>
      <c r="G238" s="1" t="s">
        <v>799</v>
      </c>
      <c r="H238" s="1" t="s">
        <v>1292</v>
      </c>
      <c r="J238" s="29"/>
      <c r="K238" s="303" t="s">
        <v>1013</v>
      </c>
      <c r="L238" s="303" t="s">
        <v>2896</v>
      </c>
      <c r="M238" s="303" t="s">
        <v>2908</v>
      </c>
      <c r="N238" s="303">
        <v>620416.01</v>
      </c>
      <c r="O238" s="303">
        <v>0</v>
      </c>
      <c r="P238" s="303" t="s">
        <v>959</v>
      </c>
      <c r="Q238" s="303" t="s">
        <v>1277</v>
      </c>
      <c r="R238" s="303"/>
    </row>
    <row r="239" spans="2:18" x14ac:dyDescent="0.3">
      <c r="B239" s="1" t="s">
        <v>2045</v>
      </c>
      <c r="C239" s="1" t="s">
        <v>3726</v>
      </c>
      <c r="D239" s="1" t="s">
        <v>3070</v>
      </c>
      <c r="E239" s="302">
        <v>0</v>
      </c>
      <c r="F239" s="1805">
        <v>202401.4</v>
      </c>
      <c r="G239" s="1" t="s">
        <v>363</v>
      </c>
      <c r="H239" s="1" t="s">
        <v>2018</v>
      </c>
      <c r="J239" s="29"/>
      <c r="K239" s="303" t="s">
        <v>1013</v>
      </c>
      <c r="L239" s="303" t="s">
        <v>2892</v>
      </c>
      <c r="M239" s="303" t="s">
        <v>2909</v>
      </c>
      <c r="N239" s="303">
        <v>-3395130.67</v>
      </c>
      <c r="O239" s="303">
        <v>0</v>
      </c>
      <c r="P239" s="303" t="s">
        <v>959</v>
      </c>
      <c r="Q239" s="303" t="s">
        <v>1277</v>
      </c>
      <c r="R239" s="303"/>
    </row>
    <row r="240" spans="2:18" x14ac:dyDescent="0.3">
      <c r="B240" s="1" t="s">
        <v>2045</v>
      </c>
      <c r="C240" s="1" t="s">
        <v>2187</v>
      </c>
      <c r="D240" s="1" t="s">
        <v>2403</v>
      </c>
      <c r="E240" s="302">
        <v>23273.759999999998</v>
      </c>
      <c r="F240" s="302">
        <v>0</v>
      </c>
      <c r="G240" s="1" t="s">
        <v>363</v>
      </c>
      <c r="H240" s="1" t="s">
        <v>2018</v>
      </c>
      <c r="J240" s="29"/>
      <c r="K240" s="303" t="s">
        <v>1013</v>
      </c>
      <c r="L240" s="303" t="s">
        <v>2894</v>
      </c>
      <c r="M240" s="303" t="s">
        <v>2910</v>
      </c>
      <c r="N240" s="303">
        <v>11062641.960000001</v>
      </c>
      <c r="O240" s="303">
        <v>6614033.96</v>
      </c>
      <c r="P240" s="303" t="s">
        <v>959</v>
      </c>
      <c r="Q240" s="303" t="s">
        <v>1277</v>
      </c>
      <c r="R240" s="303"/>
    </row>
    <row r="241" spans="2:18" x14ac:dyDescent="0.3">
      <c r="B241" s="1" t="s">
        <v>2045</v>
      </c>
      <c r="C241" s="2347" t="s">
        <v>2058</v>
      </c>
      <c r="D241" s="2347" t="s">
        <v>2402</v>
      </c>
      <c r="E241" s="302">
        <v>427.5</v>
      </c>
      <c r="F241" s="302">
        <v>0</v>
      </c>
      <c r="G241" s="1" t="s">
        <v>363</v>
      </c>
      <c r="H241" s="1" t="s">
        <v>2018</v>
      </c>
      <c r="J241" s="29"/>
      <c r="K241" s="303" t="s">
        <v>1013</v>
      </c>
      <c r="L241" s="303" t="s">
        <v>2911</v>
      </c>
      <c r="M241" s="303" t="s">
        <v>2912</v>
      </c>
      <c r="N241" s="303">
        <v>0</v>
      </c>
      <c r="O241" s="303">
        <v>1723824.09</v>
      </c>
      <c r="P241" s="303" t="s">
        <v>959</v>
      </c>
      <c r="Q241" s="303" t="s">
        <v>1277</v>
      </c>
      <c r="R241" s="303"/>
    </row>
    <row r="242" spans="2:18" x14ac:dyDescent="0.3">
      <c r="B242" s="1" t="s">
        <v>2128</v>
      </c>
      <c r="C242" s="1" t="s">
        <v>2131</v>
      </c>
      <c r="D242" s="1" t="s">
        <v>2429</v>
      </c>
      <c r="E242" s="302">
        <v>1424</v>
      </c>
      <c r="F242" s="1805">
        <v>1306</v>
      </c>
      <c r="G242" s="1" t="s">
        <v>1812</v>
      </c>
      <c r="H242" s="1" t="s">
        <v>1887</v>
      </c>
      <c r="J242" s="29"/>
      <c r="K242" s="303" t="s">
        <v>1013</v>
      </c>
      <c r="L242" s="303" t="s">
        <v>2896</v>
      </c>
      <c r="M242" s="303" t="s">
        <v>2913</v>
      </c>
      <c r="N242" s="303">
        <v>76601</v>
      </c>
      <c r="O242" s="303">
        <v>0</v>
      </c>
      <c r="P242" s="303" t="s">
        <v>959</v>
      </c>
      <c r="Q242" s="303" t="s">
        <v>1277</v>
      </c>
      <c r="R242" s="303"/>
    </row>
    <row r="243" spans="2:18" x14ac:dyDescent="0.3">
      <c r="B243" s="1" t="s">
        <v>2080</v>
      </c>
      <c r="C243" s="1" t="s">
        <v>2080</v>
      </c>
      <c r="D243" s="1">
        <f ca="1">RAND()</f>
        <v>0.5486820529585984</v>
      </c>
      <c r="E243" s="533">
        <v>0</v>
      </c>
      <c r="F243" s="2552">
        <v>0.5</v>
      </c>
      <c r="G243" s="1" t="s">
        <v>743</v>
      </c>
      <c r="H243" s="1" t="s">
        <v>1513</v>
      </c>
      <c r="J243" s="29"/>
      <c r="K243" s="303" t="s">
        <v>1013</v>
      </c>
      <c r="L243" s="303" t="s">
        <v>2892</v>
      </c>
      <c r="M243" s="303" t="s">
        <v>2914</v>
      </c>
      <c r="N243" s="303">
        <v>68858</v>
      </c>
      <c r="O243" s="303">
        <v>0</v>
      </c>
      <c r="P243" s="303" t="s">
        <v>959</v>
      </c>
      <c r="Q243" s="303" t="s">
        <v>1277</v>
      </c>
      <c r="R243" s="303"/>
    </row>
    <row r="244" spans="2:18" x14ac:dyDescent="0.3">
      <c r="B244" s="1" t="s">
        <v>2066</v>
      </c>
      <c r="C244" s="1" t="s">
        <v>2066</v>
      </c>
      <c r="D244" s="1" t="s">
        <v>2425</v>
      </c>
      <c r="E244" s="302">
        <v>0</v>
      </c>
      <c r="F244" s="1826">
        <v>12204.86</v>
      </c>
      <c r="G244" s="1" t="s">
        <v>763</v>
      </c>
      <c r="H244" s="1" t="s">
        <v>765</v>
      </c>
      <c r="J244" s="29"/>
      <c r="K244" s="303" t="s">
        <v>1013</v>
      </c>
      <c r="L244" s="303" t="s">
        <v>2894</v>
      </c>
      <c r="M244" s="303" t="s">
        <v>2915</v>
      </c>
      <c r="N244" s="303">
        <v>179937</v>
      </c>
      <c r="O244" s="303">
        <v>179937</v>
      </c>
      <c r="P244" s="303" t="s">
        <v>959</v>
      </c>
      <c r="Q244" s="303" t="s">
        <v>1277</v>
      </c>
      <c r="R244" s="303"/>
    </row>
    <row r="245" spans="2:18" x14ac:dyDescent="0.3">
      <c r="B245" s="1" t="s">
        <v>2066</v>
      </c>
      <c r="C245" s="1" t="s">
        <v>2066</v>
      </c>
      <c r="D245" s="1" t="s">
        <v>3075</v>
      </c>
      <c r="E245" s="533">
        <v>0</v>
      </c>
      <c r="F245" s="2552">
        <v>705075</v>
      </c>
      <c r="G245" s="1" t="s">
        <v>763</v>
      </c>
      <c r="H245" s="1" t="s">
        <v>235</v>
      </c>
      <c r="J245" s="29"/>
      <c r="K245" s="303" t="s">
        <v>2045</v>
      </c>
      <c r="L245" s="303" t="s">
        <v>2920</v>
      </c>
      <c r="M245" s="2348" t="s">
        <v>2921</v>
      </c>
      <c r="N245" s="303">
        <v>0</v>
      </c>
      <c r="O245" s="303">
        <v>-3549</v>
      </c>
      <c r="P245" s="303" t="s">
        <v>508</v>
      </c>
      <c r="Q245" s="303" t="s">
        <v>1303</v>
      </c>
      <c r="R245" s="303"/>
    </row>
    <row r="246" spans="2:18" x14ac:dyDescent="0.3">
      <c r="B246" s="1" t="s">
        <v>2169</v>
      </c>
      <c r="C246" s="1" t="s">
        <v>2169</v>
      </c>
      <c r="D246" s="1" t="s">
        <v>2420</v>
      </c>
      <c r="E246" s="302">
        <v>0</v>
      </c>
      <c r="F246" s="302">
        <v>-5452119</v>
      </c>
      <c r="G246" s="1" t="s">
        <v>752</v>
      </c>
      <c r="H246" s="1" t="s">
        <v>42</v>
      </c>
      <c r="J246" s="29"/>
      <c r="K246" s="303" t="s">
        <v>1013</v>
      </c>
      <c r="L246" s="303" t="s">
        <v>2911</v>
      </c>
      <c r="M246" s="303" t="s">
        <v>2922</v>
      </c>
      <c r="N246" s="303">
        <v>0</v>
      </c>
      <c r="O246" s="303">
        <v>13137.79</v>
      </c>
      <c r="P246" s="303" t="s">
        <v>959</v>
      </c>
      <c r="Q246" s="303" t="s">
        <v>1277</v>
      </c>
      <c r="R246" s="303"/>
    </row>
    <row r="247" spans="2:18" x14ac:dyDescent="0.3">
      <c r="B247" s="1" t="s">
        <v>1012</v>
      </c>
      <c r="C247" s="1" t="s">
        <v>1012</v>
      </c>
      <c r="D247" s="1">
        <f ca="1">RAND()</f>
        <v>0.31382031206765038</v>
      </c>
      <c r="E247" s="302">
        <v>0</v>
      </c>
      <c r="F247" s="1805">
        <v>8400</v>
      </c>
      <c r="G247" s="1" t="s">
        <v>799</v>
      </c>
      <c r="H247" s="1" t="s">
        <v>1292</v>
      </c>
      <c r="J247" s="29"/>
      <c r="K247" s="303" t="s">
        <v>2045</v>
      </c>
      <c r="L247" s="303" t="s">
        <v>2918</v>
      </c>
      <c r="M247" s="2348" t="s">
        <v>2937</v>
      </c>
      <c r="N247" s="303">
        <v>-1658576</v>
      </c>
      <c r="O247" s="303">
        <v>0</v>
      </c>
      <c r="P247" s="303" t="s">
        <v>508</v>
      </c>
      <c r="Q247" s="303" t="s">
        <v>1303</v>
      </c>
      <c r="R247" s="303"/>
    </row>
    <row r="248" spans="2:18" x14ac:dyDescent="0.3">
      <c r="B248" s="1" t="s">
        <v>2066</v>
      </c>
      <c r="C248" s="1" t="s">
        <v>2066</v>
      </c>
      <c r="D248" s="1" t="s">
        <v>2418</v>
      </c>
      <c r="E248" s="302">
        <v>0</v>
      </c>
      <c r="F248" s="1805">
        <v>286732.23</v>
      </c>
      <c r="G248" s="1" t="s">
        <v>763</v>
      </c>
      <c r="H248" s="1" t="s">
        <v>234</v>
      </c>
      <c r="J248" s="29"/>
      <c r="K248" s="303" t="s">
        <v>2045</v>
      </c>
      <c r="L248" s="303" t="s">
        <v>2920</v>
      </c>
      <c r="M248" s="2348" t="s">
        <v>2938</v>
      </c>
      <c r="N248" s="303">
        <v>0</v>
      </c>
      <c r="O248" s="303">
        <v>-1163483</v>
      </c>
      <c r="P248" s="303" t="s">
        <v>508</v>
      </c>
      <c r="Q248" s="303" t="s">
        <v>1303</v>
      </c>
      <c r="R248" s="303"/>
    </row>
    <row r="249" spans="2:18" x14ac:dyDescent="0.3">
      <c r="B249" s="1" t="s">
        <v>2281</v>
      </c>
      <c r="C249" s="1" t="s">
        <v>2282</v>
      </c>
      <c r="D249" s="1" t="s">
        <v>234</v>
      </c>
      <c r="E249" s="302">
        <v>0</v>
      </c>
      <c r="F249" s="302">
        <v>0.74</v>
      </c>
      <c r="G249" s="1" t="s">
        <v>3766</v>
      </c>
      <c r="J249" s="29"/>
      <c r="K249" s="303" t="s">
        <v>2045</v>
      </c>
      <c r="L249" s="303" t="s">
        <v>2939</v>
      </c>
      <c r="M249" s="2348" t="s">
        <v>2940</v>
      </c>
      <c r="N249" s="303">
        <v>-423.62</v>
      </c>
      <c r="O249" s="303">
        <v>-423.62</v>
      </c>
      <c r="P249" s="303" t="s">
        <v>508</v>
      </c>
      <c r="Q249" s="303" t="s">
        <v>1303</v>
      </c>
      <c r="R249" s="303"/>
    </row>
    <row r="250" spans="2:18" x14ac:dyDescent="0.3">
      <c r="B250" s="1" t="s">
        <v>1012</v>
      </c>
      <c r="C250" s="1" t="s">
        <v>1012</v>
      </c>
      <c r="D250" s="1">
        <f t="shared" ref="D250:D253" ca="1" si="8">RAND()</f>
        <v>0.13816709405813121</v>
      </c>
      <c r="E250" s="302">
        <v>-3473925.26</v>
      </c>
      <c r="F250" s="1805">
        <v>-25266951.75</v>
      </c>
      <c r="G250" s="1" t="s">
        <v>799</v>
      </c>
      <c r="H250" s="1" t="s">
        <v>1292</v>
      </c>
      <c r="J250" s="29"/>
      <c r="K250" s="303" t="s">
        <v>2045</v>
      </c>
      <c r="L250" s="303" t="s">
        <v>2934</v>
      </c>
      <c r="M250" s="2348" t="s">
        <v>2941</v>
      </c>
      <c r="N250" s="303">
        <v>7.0000000000000007E-2</v>
      </c>
      <c r="O250" s="303">
        <v>7.0000000000000007E-2</v>
      </c>
      <c r="P250" s="303" t="s">
        <v>508</v>
      </c>
      <c r="Q250" s="303" t="s">
        <v>1303</v>
      </c>
      <c r="R250" s="303"/>
    </row>
    <row r="251" spans="2:18" x14ac:dyDescent="0.3">
      <c r="B251" s="1" t="s">
        <v>1012</v>
      </c>
      <c r="C251" s="1" t="s">
        <v>1012</v>
      </c>
      <c r="D251" s="1">
        <f t="shared" ca="1" si="8"/>
        <v>0.35049122526164345</v>
      </c>
      <c r="E251" s="302">
        <v>0</v>
      </c>
      <c r="F251" s="1805">
        <v>0</v>
      </c>
      <c r="G251" s="1" t="s">
        <v>799</v>
      </c>
      <c r="H251" s="1" t="s">
        <v>1292</v>
      </c>
      <c r="J251" s="29"/>
      <c r="K251" s="303" t="s">
        <v>2045</v>
      </c>
      <c r="L251" s="303" t="s">
        <v>2920</v>
      </c>
      <c r="M251" s="2348" t="s">
        <v>2944</v>
      </c>
      <c r="N251" s="303">
        <v>0</v>
      </c>
      <c r="O251" s="303">
        <v>-2642</v>
      </c>
      <c r="P251" s="303" t="s">
        <v>508</v>
      </c>
      <c r="Q251" s="303" t="s">
        <v>1303</v>
      </c>
      <c r="R251" s="303"/>
    </row>
    <row r="252" spans="2:18" x14ac:dyDescent="0.3">
      <c r="B252" s="1" t="s">
        <v>1012</v>
      </c>
      <c r="C252" s="1" t="s">
        <v>1012</v>
      </c>
      <c r="D252" s="1">
        <f t="shared" ca="1" si="8"/>
        <v>0.82318081087331785</v>
      </c>
      <c r="E252" s="302">
        <v>-2217934</v>
      </c>
      <c r="F252" s="1805">
        <v>-0.01</v>
      </c>
      <c r="G252" s="1" t="s">
        <v>799</v>
      </c>
      <c r="H252" s="1" t="s">
        <v>1292</v>
      </c>
      <c r="J252" s="29"/>
      <c r="K252" s="303" t="s">
        <v>2045</v>
      </c>
      <c r="L252" s="303" t="s">
        <v>2939</v>
      </c>
      <c r="M252" s="2348" t="s">
        <v>2945</v>
      </c>
      <c r="N252" s="303">
        <v>1909</v>
      </c>
      <c r="O252" s="303">
        <v>1909</v>
      </c>
      <c r="P252" s="303" t="s">
        <v>508</v>
      </c>
      <c r="Q252" s="303" t="s">
        <v>1303</v>
      </c>
      <c r="R252" s="303"/>
    </row>
    <row r="253" spans="2:18" x14ac:dyDescent="0.3">
      <c r="B253" s="1" t="s">
        <v>1012</v>
      </c>
      <c r="C253" s="1" t="s">
        <v>1012</v>
      </c>
      <c r="D253" s="1">
        <f t="shared" ca="1" si="8"/>
        <v>0.47225099842450957</v>
      </c>
      <c r="E253" s="302">
        <v>-297401</v>
      </c>
      <c r="F253" s="1805">
        <v>0</v>
      </c>
      <c r="G253" s="1" t="s">
        <v>799</v>
      </c>
      <c r="H253" s="1" t="s">
        <v>1292</v>
      </c>
      <c r="J253" s="29"/>
      <c r="K253" s="303" t="s">
        <v>2045</v>
      </c>
      <c r="L253" s="303" t="s">
        <v>2939</v>
      </c>
      <c r="M253" s="2348" t="s">
        <v>2946</v>
      </c>
      <c r="N253" s="303">
        <v>4423.93</v>
      </c>
      <c r="O253" s="303">
        <v>4423.93</v>
      </c>
      <c r="P253" s="303" t="s">
        <v>508</v>
      </c>
      <c r="Q253" s="303" t="s">
        <v>1303</v>
      </c>
      <c r="R253" s="303"/>
    </row>
    <row r="254" spans="2:18" x14ac:dyDescent="0.3">
      <c r="B254" s="1804" t="s">
        <v>2066</v>
      </c>
      <c r="C254" s="1804" t="s">
        <v>2066</v>
      </c>
      <c r="D254" s="1822" t="s">
        <v>3073</v>
      </c>
      <c r="E254" s="1805">
        <v>0</v>
      </c>
      <c r="F254" s="1805">
        <v>10983510.35</v>
      </c>
      <c r="G254" s="1804"/>
      <c r="H254" s="1804" t="s">
        <v>1951</v>
      </c>
      <c r="I254" s="1804"/>
      <c r="J254" s="1806"/>
      <c r="K254" s="303" t="s">
        <v>2045</v>
      </c>
      <c r="L254" s="303" t="s">
        <v>2934</v>
      </c>
      <c r="M254" s="2348" t="s">
        <v>2947</v>
      </c>
      <c r="N254" s="303">
        <v>158.5</v>
      </c>
      <c r="O254" s="303">
        <v>158.5</v>
      </c>
      <c r="P254" s="303" t="s">
        <v>508</v>
      </c>
      <c r="Q254" s="303" t="s">
        <v>1303</v>
      </c>
      <c r="R254" s="303"/>
    </row>
    <row r="255" spans="2:18" x14ac:dyDescent="0.3">
      <c r="B255" s="1" t="s">
        <v>2066</v>
      </c>
      <c r="C255" s="1" t="s">
        <v>2066</v>
      </c>
      <c r="D255" s="1" t="s">
        <v>2409</v>
      </c>
      <c r="E255" s="302">
        <v>0</v>
      </c>
      <c r="F255" s="302">
        <v>-1070243.92</v>
      </c>
      <c r="H255" s="1" t="s">
        <v>1953</v>
      </c>
      <c r="J255" s="29"/>
      <c r="K255" s="303" t="s">
        <v>2045</v>
      </c>
      <c r="L255" s="303" t="s">
        <v>2916</v>
      </c>
      <c r="M255" s="2348" t="s">
        <v>2948</v>
      </c>
      <c r="N255" s="303">
        <v>-11569</v>
      </c>
      <c r="O255" s="303">
        <v>-11569</v>
      </c>
      <c r="P255" s="303" t="s">
        <v>508</v>
      </c>
      <c r="Q255" s="303" t="s">
        <v>1303</v>
      </c>
      <c r="R255" s="303"/>
    </row>
    <row r="256" spans="2:18" x14ac:dyDescent="0.3">
      <c r="B256" s="1" t="s">
        <v>2066</v>
      </c>
      <c r="C256" s="1" t="s">
        <v>2066</v>
      </c>
      <c r="D256" s="1" t="s">
        <v>2408</v>
      </c>
      <c r="E256" s="302">
        <v>0</v>
      </c>
      <c r="F256" s="302">
        <v>-20864.91</v>
      </c>
      <c r="H256" s="1" t="s">
        <v>1953</v>
      </c>
      <c r="J256" s="29"/>
      <c r="K256" s="303" t="s">
        <v>2045</v>
      </c>
      <c r="L256" s="303" t="s">
        <v>2918</v>
      </c>
      <c r="M256" s="2348" t="s">
        <v>2949</v>
      </c>
      <c r="N256" s="303">
        <v>30449</v>
      </c>
      <c r="O256" s="303">
        <v>212</v>
      </c>
      <c r="P256" s="303" t="s">
        <v>508</v>
      </c>
      <c r="Q256" s="303" t="s">
        <v>1303</v>
      </c>
      <c r="R256" s="303"/>
    </row>
    <row r="257" spans="2:18" x14ac:dyDescent="0.3">
      <c r="B257" s="1" t="s">
        <v>2281</v>
      </c>
      <c r="C257" s="1" t="s">
        <v>2573</v>
      </c>
      <c r="D257" s="1" t="s">
        <v>3072</v>
      </c>
      <c r="E257" s="302">
        <v>0</v>
      </c>
      <c r="F257" s="302">
        <v>453997</v>
      </c>
      <c r="G257" s="1" t="s">
        <v>3766</v>
      </c>
      <c r="J257" s="29"/>
      <c r="K257" s="303" t="s">
        <v>2045</v>
      </c>
      <c r="L257" s="303" t="s">
        <v>2920</v>
      </c>
      <c r="M257" s="2348" t="s">
        <v>2950</v>
      </c>
      <c r="N257" s="303">
        <v>0</v>
      </c>
      <c r="O257" s="303">
        <v>-276945.56</v>
      </c>
      <c r="P257" s="303" t="s">
        <v>508</v>
      </c>
      <c r="Q257" s="303" t="s">
        <v>1303</v>
      </c>
      <c r="R257" s="303"/>
    </row>
    <row r="258" spans="2:18" x14ac:dyDescent="0.3">
      <c r="B258" s="1" t="s">
        <v>2281</v>
      </c>
      <c r="C258" s="1" t="s">
        <v>2282</v>
      </c>
      <c r="D258" s="1" t="s">
        <v>3071</v>
      </c>
      <c r="E258" s="302">
        <v>0</v>
      </c>
      <c r="F258" s="302">
        <v>-453997</v>
      </c>
      <c r="G258" s="1" t="s">
        <v>3766</v>
      </c>
      <c r="J258" s="29"/>
      <c r="K258" s="303" t="s">
        <v>2045</v>
      </c>
      <c r="L258" s="303" t="s">
        <v>2939</v>
      </c>
      <c r="M258" s="2348" t="s">
        <v>2951</v>
      </c>
      <c r="N258" s="303">
        <v>0.5</v>
      </c>
      <c r="O258" s="303">
        <v>0.5</v>
      </c>
      <c r="P258" s="303" t="s">
        <v>508</v>
      </c>
      <c r="Q258" s="303" t="s">
        <v>1303</v>
      </c>
      <c r="R258" s="303"/>
    </row>
    <row r="259" spans="2:18" x14ac:dyDescent="0.3">
      <c r="B259" s="1" t="s">
        <v>2080</v>
      </c>
      <c r="C259" s="2347" t="s">
        <v>2080</v>
      </c>
      <c r="D259" s="1">
        <f ca="1">RAND()</f>
        <v>7.0637811689796104E-2</v>
      </c>
      <c r="E259" s="302">
        <v>5152</v>
      </c>
      <c r="F259" s="1805">
        <v>5152</v>
      </c>
      <c r="G259" s="1" t="s">
        <v>743</v>
      </c>
      <c r="H259" s="1" t="s">
        <v>1513</v>
      </c>
      <c r="J259" s="29"/>
      <c r="K259" s="303" t="s">
        <v>2045</v>
      </c>
      <c r="L259" s="303" t="s">
        <v>2920</v>
      </c>
      <c r="M259" s="2348" t="s">
        <v>2955</v>
      </c>
      <c r="N259" s="303">
        <v>0</v>
      </c>
      <c r="O259" s="303">
        <v>-76866</v>
      </c>
      <c r="P259" s="303" t="s">
        <v>508</v>
      </c>
      <c r="Q259" s="303" t="s">
        <v>1303</v>
      </c>
      <c r="R259" s="303"/>
    </row>
    <row r="260" spans="2:18" x14ac:dyDescent="0.3">
      <c r="B260" s="1" t="s">
        <v>2045</v>
      </c>
      <c r="C260" s="1" t="s">
        <v>3726</v>
      </c>
      <c r="D260" s="1" t="s">
        <v>3581</v>
      </c>
      <c r="E260" s="302">
        <v>0</v>
      </c>
      <c r="F260" s="1805">
        <v>92067.16</v>
      </c>
      <c r="G260" s="1" t="s">
        <v>363</v>
      </c>
      <c r="H260" s="1" t="s">
        <v>2018</v>
      </c>
      <c r="J260" s="29"/>
      <c r="K260" s="303" t="s">
        <v>2045</v>
      </c>
      <c r="L260" s="303" t="s">
        <v>2916</v>
      </c>
      <c r="M260" s="2348" t="s">
        <v>2958</v>
      </c>
      <c r="N260" s="303">
        <v>3.22</v>
      </c>
      <c r="O260" s="303">
        <v>3.22</v>
      </c>
      <c r="P260" s="303" t="s">
        <v>508</v>
      </c>
      <c r="Q260" s="303" t="s">
        <v>1303</v>
      </c>
      <c r="R260" s="303"/>
    </row>
    <row r="261" spans="2:18" x14ac:dyDescent="0.3">
      <c r="B261" s="1" t="s">
        <v>2045</v>
      </c>
      <c r="C261" s="1" t="s">
        <v>2187</v>
      </c>
      <c r="D261" s="1" t="s">
        <v>2391</v>
      </c>
      <c r="E261" s="302">
        <v>-396.5</v>
      </c>
      <c r="F261" s="302">
        <v>0</v>
      </c>
      <c r="G261" s="1" t="s">
        <v>363</v>
      </c>
      <c r="H261" s="1" t="s">
        <v>2018</v>
      </c>
      <c r="J261" s="29"/>
      <c r="K261" s="303" t="s">
        <v>2045</v>
      </c>
      <c r="L261" s="303" t="s">
        <v>2918</v>
      </c>
      <c r="M261" s="2348" t="s">
        <v>2959</v>
      </c>
      <c r="N261" s="303">
        <v>171634.59</v>
      </c>
      <c r="O261" s="303">
        <v>171634.59</v>
      </c>
      <c r="P261" s="303" t="s">
        <v>508</v>
      </c>
      <c r="Q261" s="303" t="s">
        <v>1303</v>
      </c>
      <c r="R261" s="303"/>
    </row>
    <row r="262" spans="2:18" x14ac:dyDescent="0.3">
      <c r="B262" s="1" t="s">
        <v>2066</v>
      </c>
      <c r="C262" s="1" t="s">
        <v>234</v>
      </c>
      <c r="D262" s="1" t="s">
        <v>2386</v>
      </c>
      <c r="E262" s="302">
        <v>0</v>
      </c>
      <c r="F262" s="1805">
        <v>8180</v>
      </c>
      <c r="G262" s="1" t="s">
        <v>997</v>
      </c>
      <c r="H262" s="1" t="s">
        <v>762</v>
      </c>
      <c r="J262" s="29"/>
      <c r="K262" s="303" t="s">
        <v>2045</v>
      </c>
      <c r="L262" s="303" t="s">
        <v>2920</v>
      </c>
      <c r="M262" s="2348" t="s">
        <v>2960</v>
      </c>
      <c r="N262" s="303">
        <v>0</v>
      </c>
      <c r="O262" s="303">
        <v>691936.21</v>
      </c>
      <c r="P262" s="303" t="s">
        <v>508</v>
      </c>
      <c r="Q262" s="303" t="s">
        <v>1303</v>
      </c>
      <c r="R262" s="303"/>
    </row>
    <row r="263" spans="2:18" x14ac:dyDescent="0.3">
      <c r="B263" s="1" t="s">
        <v>2128</v>
      </c>
      <c r="C263" s="1" t="s">
        <v>2129</v>
      </c>
      <c r="D263" s="1" t="s">
        <v>2379</v>
      </c>
      <c r="E263" s="302">
        <v>0</v>
      </c>
      <c r="F263" s="1805">
        <v>0</v>
      </c>
      <c r="G263" s="1" t="s">
        <v>1812</v>
      </c>
      <c r="H263" s="1" t="s">
        <v>1887</v>
      </c>
      <c r="J263" s="29"/>
      <c r="K263" s="303" t="s">
        <v>1012</v>
      </c>
      <c r="L263" s="303" t="s">
        <v>1012</v>
      </c>
      <c r="M263" s="303" t="s">
        <v>2961</v>
      </c>
      <c r="N263" s="303">
        <v>-17095371.989999998</v>
      </c>
      <c r="O263" s="303">
        <v>-493835.79</v>
      </c>
      <c r="P263" s="303" t="s">
        <v>799</v>
      </c>
      <c r="Q263" s="303" t="s">
        <v>1292</v>
      </c>
      <c r="R263" s="303"/>
    </row>
    <row r="264" spans="2:18" x14ac:dyDescent="0.3">
      <c r="B264" s="1" t="s">
        <v>2066</v>
      </c>
      <c r="C264" s="1" t="s">
        <v>2069</v>
      </c>
      <c r="D264" s="1" t="s">
        <v>2373</v>
      </c>
      <c r="E264" s="302">
        <v>0</v>
      </c>
      <c r="F264" s="1805">
        <v>779573</v>
      </c>
      <c r="G264" s="1" t="s">
        <v>997</v>
      </c>
      <c r="H264" s="1" t="s">
        <v>761</v>
      </c>
      <c r="J264" s="29"/>
      <c r="K264" s="303" t="s">
        <v>2080</v>
      </c>
      <c r="L264" s="303" t="s">
        <v>2080</v>
      </c>
      <c r="M264" s="303" t="s">
        <v>2962</v>
      </c>
      <c r="N264" s="303">
        <v>0</v>
      </c>
      <c r="O264" s="303">
        <v>3564166.98</v>
      </c>
      <c r="P264" s="303" t="s">
        <v>743</v>
      </c>
      <c r="Q264" s="303" t="s">
        <v>1513</v>
      </c>
      <c r="R264" s="303"/>
    </row>
    <row r="265" spans="2:18" x14ac:dyDescent="0.3">
      <c r="B265" s="1" t="s">
        <v>2080</v>
      </c>
      <c r="C265" s="1" t="s">
        <v>2080</v>
      </c>
      <c r="D265" s="1">
        <f ca="1">RAND()</f>
        <v>0.33230346688701029</v>
      </c>
      <c r="E265" s="302">
        <v>169477.5</v>
      </c>
      <c r="F265" s="1805">
        <v>114840</v>
      </c>
      <c r="G265" s="1" t="s">
        <v>743</v>
      </c>
      <c r="H265" s="1" t="s">
        <v>1513</v>
      </c>
      <c r="J265" s="29"/>
      <c r="K265" s="303" t="s">
        <v>1012</v>
      </c>
      <c r="L265" s="303" t="s">
        <v>1012</v>
      </c>
      <c r="M265" s="303" t="s">
        <v>2964</v>
      </c>
      <c r="N265" s="303">
        <v>263759.94</v>
      </c>
      <c r="O265" s="303">
        <v>0</v>
      </c>
      <c r="P265" s="303" t="s">
        <v>799</v>
      </c>
      <c r="Q265" s="303" t="s">
        <v>1292</v>
      </c>
      <c r="R265" s="303"/>
    </row>
    <row r="266" spans="2:18" x14ac:dyDescent="0.3">
      <c r="B266" s="1" t="s">
        <v>2128</v>
      </c>
      <c r="C266" s="1" t="s">
        <v>2131</v>
      </c>
      <c r="D266" s="1" t="s">
        <v>2381</v>
      </c>
      <c r="E266" s="302">
        <v>278.95</v>
      </c>
      <c r="F266" s="1805">
        <v>278.95</v>
      </c>
      <c r="G266" s="1" t="s">
        <v>1812</v>
      </c>
      <c r="H266" s="1" t="s">
        <v>1887</v>
      </c>
      <c r="J266" s="29"/>
      <c r="K266" s="303" t="s">
        <v>2066</v>
      </c>
      <c r="L266" s="303" t="s">
        <v>2066</v>
      </c>
      <c r="M266" s="303" t="s">
        <v>2967</v>
      </c>
      <c r="N266" s="303">
        <v>0</v>
      </c>
      <c r="O266" s="303">
        <v>24358.14</v>
      </c>
      <c r="P266" s="303" t="s">
        <v>763</v>
      </c>
      <c r="Q266" s="303" t="s">
        <v>765</v>
      </c>
      <c r="R266" s="303"/>
    </row>
    <row r="267" spans="2:18" x14ac:dyDescent="0.3">
      <c r="B267" s="1" t="s">
        <v>2045</v>
      </c>
      <c r="C267" s="1" t="s">
        <v>2187</v>
      </c>
      <c r="D267" s="1" t="s">
        <v>2344</v>
      </c>
      <c r="E267" s="302">
        <v>11398</v>
      </c>
      <c r="F267" s="302">
        <v>0</v>
      </c>
      <c r="G267" s="1" t="s">
        <v>363</v>
      </c>
      <c r="H267" s="1" t="s">
        <v>2018</v>
      </c>
      <c r="J267" s="29"/>
      <c r="K267" s="303" t="s">
        <v>2066</v>
      </c>
      <c r="L267" s="303" t="s">
        <v>2066</v>
      </c>
      <c r="M267" s="303" t="s">
        <v>2968</v>
      </c>
      <c r="N267" s="303">
        <v>0</v>
      </c>
      <c r="O267" s="303">
        <v>39065.230000000003</v>
      </c>
      <c r="P267" s="303" t="s">
        <v>763</v>
      </c>
      <c r="Q267" s="303" t="s">
        <v>765</v>
      </c>
      <c r="R267" s="303"/>
    </row>
    <row r="268" spans="2:18" x14ac:dyDescent="0.3">
      <c r="B268" s="1" t="s">
        <v>2045</v>
      </c>
      <c r="C268" s="1" t="s">
        <v>2341</v>
      </c>
      <c r="D268" s="1" t="s">
        <v>2343</v>
      </c>
      <c r="E268" s="302">
        <v>0</v>
      </c>
      <c r="F268" s="302">
        <v>0</v>
      </c>
      <c r="G268" s="1" t="s">
        <v>363</v>
      </c>
      <c r="H268" s="1" t="s">
        <v>2018</v>
      </c>
      <c r="J268" s="29"/>
      <c r="K268" s="303" t="s">
        <v>2080</v>
      </c>
      <c r="L268" s="303" t="s">
        <v>2080</v>
      </c>
      <c r="M268" s="303" t="s">
        <v>2970</v>
      </c>
      <c r="N268" s="303">
        <v>70375.199999999997</v>
      </c>
      <c r="O268" s="303">
        <v>0</v>
      </c>
      <c r="P268" s="303" t="s">
        <v>743</v>
      </c>
      <c r="Q268" s="303" t="s">
        <v>1513</v>
      </c>
      <c r="R268" s="303"/>
    </row>
    <row r="269" spans="2:18" x14ac:dyDescent="0.3">
      <c r="B269" s="29" t="s">
        <v>2045</v>
      </c>
      <c r="C269" s="29" t="s">
        <v>2045</v>
      </c>
      <c r="D269" s="29" t="s">
        <v>2368</v>
      </c>
      <c r="E269" s="303">
        <v>-39493.25</v>
      </c>
      <c r="F269" s="303">
        <v>0</v>
      </c>
      <c r="G269" s="29" t="s">
        <v>508</v>
      </c>
      <c r="H269" s="29" t="s">
        <v>1303</v>
      </c>
      <c r="I269" s="29"/>
      <c r="J269" s="29"/>
      <c r="K269" s="303" t="s">
        <v>2080</v>
      </c>
      <c r="L269" s="303" t="s">
        <v>2080</v>
      </c>
      <c r="M269" s="303" t="s">
        <v>2974</v>
      </c>
      <c r="N269" s="303">
        <v>0</v>
      </c>
      <c r="O269" s="303">
        <v>15089.84</v>
      </c>
      <c r="P269" s="303" t="s">
        <v>743</v>
      </c>
      <c r="Q269" s="303" t="s">
        <v>1513</v>
      </c>
      <c r="R269" s="303"/>
    </row>
    <row r="270" spans="2:18" x14ac:dyDescent="0.3">
      <c r="B270" s="1" t="s">
        <v>2045</v>
      </c>
      <c r="C270" s="1" t="s">
        <v>3726</v>
      </c>
      <c r="D270" s="1" t="s">
        <v>3066</v>
      </c>
      <c r="E270" s="302">
        <v>0</v>
      </c>
      <c r="F270" s="1805">
        <v>-677690</v>
      </c>
      <c r="G270" s="1" t="s">
        <v>508</v>
      </c>
      <c r="H270" s="1" t="s">
        <v>1303</v>
      </c>
      <c r="J270" s="29"/>
      <c r="K270" s="303" t="s">
        <v>2066</v>
      </c>
      <c r="L270" s="303" t="s">
        <v>2066</v>
      </c>
      <c r="M270" s="303" t="s">
        <v>2976</v>
      </c>
      <c r="N270" s="303">
        <v>0</v>
      </c>
      <c r="O270" s="303">
        <v>115694.58</v>
      </c>
      <c r="P270" s="303" t="s">
        <v>763</v>
      </c>
      <c r="Q270" s="303" t="s">
        <v>766</v>
      </c>
      <c r="R270" s="303"/>
    </row>
    <row r="271" spans="2:18" x14ac:dyDescent="0.3">
      <c r="B271" s="1" t="s">
        <v>2045</v>
      </c>
      <c r="C271" s="1" t="s">
        <v>2187</v>
      </c>
      <c r="D271" s="1" t="s">
        <v>2367</v>
      </c>
      <c r="E271" s="302">
        <v>-8530.7199999999993</v>
      </c>
      <c r="F271" s="302">
        <v>0</v>
      </c>
      <c r="G271" s="1" t="s">
        <v>363</v>
      </c>
      <c r="H271" s="1" t="s">
        <v>2018</v>
      </c>
      <c r="J271" s="29"/>
      <c r="K271" s="303" t="s">
        <v>2066</v>
      </c>
      <c r="L271" s="303" t="s">
        <v>2066</v>
      </c>
      <c r="M271" s="303" t="s">
        <v>2985</v>
      </c>
      <c r="N271" s="303">
        <v>0</v>
      </c>
      <c r="O271" s="303">
        <v>41071</v>
      </c>
      <c r="P271" s="303" t="s">
        <v>763</v>
      </c>
      <c r="Q271" s="303" t="s">
        <v>3512</v>
      </c>
      <c r="R271" s="303"/>
    </row>
    <row r="272" spans="2:18" x14ac:dyDescent="0.3">
      <c r="B272" s="1" t="s">
        <v>2045</v>
      </c>
      <c r="C272" s="1" t="s">
        <v>2058</v>
      </c>
      <c r="D272" s="1" t="s">
        <v>2366</v>
      </c>
      <c r="E272" s="302">
        <v>0</v>
      </c>
      <c r="F272" s="302">
        <v>0</v>
      </c>
      <c r="G272" s="1" t="s">
        <v>508</v>
      </c>
      <c r="H272" s="1" t="s">
        <v>1303</v>
      </c>
      <c r="J272" s="29"/>
      <c r="K272" s="303" t="s">
        <v>2080</v>
      </c>
      <c r="L272" s="303" t="s">
        <v>2080</v>
      </c>
      <c r="M272" s="303" t="s">
        <v>3005</v>
      </c>
      <c r="N272" s="303">
        <v>24213.599999999999</v>
      </c>
      <c r="O272" s="303">
        <v>0</v>
      </c>
      <c r="P272" s="303" t="s">
        <v>743</v>
      </c>
      <c r="Q272" s="303" t="s">
        <v>1513</v>
      </c>
      <c r="R272" s="303"/>
    </row>
    <row r="273" spans="2:18" x14ac:dyDescent="0.3">
      <c r="B273" s="1" t="s">
        <v>2045</v>
      </c>
      <c r="C273" s="1" t="s">
        <v>3726</v>
      </c>
      <c r="D273" s="1" t="s">
        <v>3064</v>
      </c>
      <c r="E273" s="302">
        <v>0</v>
      </c>
      <c r="F273" s="1805">
        <v>-389722.92</v>
      </c>
      <c r="G273" s="1" t="s">
        <v>508</v>
      </c>
      <c r="H273" s="1" t="s">
        <v>1303</v>
      </c>
      <c r="J273" s="29"/>
      <c r="K273" s="303" t="s">
        <v>2261</v>
      </c>
      <c r="L273" s="303" t="s">
        <v>2261</v>
      </c>
      <c r="M273" s="303" t="s">
        <v>3023</v>
      </c>
      <c r="N273" s="303">
        <v>25000</v>
      </c>
      <c r="O273" s="303">
        <v>0</v>
      </c>
      <c r="P273" s="303" t="s">
        <v>363</v>
      </c>
      <c r="Q273" s="303" t="s">
        <v>2018</v>
      </c>
      <c r="R273" s="303"/>
    </row>
    <row r="274" spans="2:18" x14ac:dyDescent="0.3">
      <c r="B274" s="1" t="s">
        <v>2045</v>
      </c>
      <c r="C274" s="1" t="s">
        <v>2058</v>
      </c>
      <c r="D274" s="1" t="s">
        <v>2346</v>
      </c>
      <c r="E274" s="302">
        <v>0</v>
      </c>
      <c r="F274" s="302">
        <v>0</v>
      </c>
      <c r="G274" s="1" t="s">
        <v>363</v>
      </c>
      <c r="H274" s="1" t="s">
        <v>2018</v>
      </c>
      <c r="J274" s="29"/>
      <c r="K274" s="303" t="s">
        <v>953</v>
      </c>
      <c r="L274" s="303" t="s">
        <v>2112</v>
      </c>
      <c r="M274" s="2348" t="s">
        <v>3024</v>
      </c>
      <c r="N274" s="303">
        <v>0</v>
      </c>
      <c r="O274" s="303">
        <v>-1783</v>
      </c>
      <c r="P274" s="303" t="s">
        <v>508</v>
      </c>
      <c r="Q274" s="303" t="s">
        <v>1303</v>
      </c>
      <c r="R274" s="303"/>
    </row>
    <row r="275" spans="2:18" x14ac:dyDescent="0.3">
      <c r="B275" s="1" t="s">
        <v>2066</v>
      </c>
      <c r="C275" s="1" t="s">
        <v>2066</v>
      </c>
      <c r="D275" s="1" t="s">
        <v>2337</v>
      </c>
      <c r="E275" s="302">
        <v>0</v>
      </c>
      <c r="F275" s="1805">
        <v>677690</v>
      </c>
      <c r="G275" s="1" t="s">
        <v>763</v>
      </c>
      <c r="H275" s="1" t="s">
        <v>235</v>
      </c>
      <c r="J275" s="29"/>
      <c r="K275" s="303" t="s">
        <v>2128</v>
      </c>
      <c r="L275" s="303" t="s">
        <v>2131</v>
      </c>
      <c r="M275" s="303" t="s">
        <v>3029</v>
      </c>
      <c r="N275" s="303">
        <v>392</v>
      </c>
      <c r="O275" s="303">
        <v>0</v>
      </c>
      <c r="P275" s="303" t="s">
        <v>1812</v>
      </c>
      <c r="Q275" s="303" t="s">
        <v>1887</v>
      </c>
      <c r="R275" s="303"/>
    </row>
    <row r="276" spans="2:18" x14ac:dyDescent="0.3">
      <c r="B276" s="1" t="s">
        <v>2066</v>
      </c>
      <c r="C276" s="1" t="s">
        <v>2066</v>
      </c>
      <c r="D276" s="1" t="s">
        <v>3063</v>
      </c>
      <c r="E276" s="302">
        <v>0</v>
      </c>
      <c r="F276" s="1805">
        <v>1187246.79</v>
      </c>
      <c r="G276" s="1" t="s">
        <v>763</v>
      </c>
      <c r="H276" s="1" t="s">
        <v>235</v>
      </c>
      <c r="J276" s="29"/>
      <c r="K276" s="303" t="s">
        <v>2128</v>
      </c>
      <c r="L276" s="303" t="s">
        <v>2214</v>
      </c>
      <c r="M276" s="303" t="s">
        <v>3032</v>
      </c>
      <c r="N276" s="303">
        <v>4393</v>
      </c>
      <c r="O276" s="303">
        <v>2667</v>
      </c>
      <c r="P276" s="303" t="s">
        <v>363</v>
      </c>
      <c r="Q276" s="303"/>
      <c r="R276" s="303"/>
    </row>
    <row r="277" spans="2:18" x14ac:dyDescent="0.3">
      <c r="B277" s="1" t="s">
        <v>2080</v>
      </c>
      <c r="C277" s="1" t="s">
        <v>2080</v>
      </c>
      <c r="D277" s="1">
        <f ca="1">RAND()</f>
        <v>0.64531380976483477</v>
      </c>
      <c r="E277" s="302">
        <v>1871535</v>
      </c>
      <c r="F277" s="1805">
        <v>1243845</v>
      </c>
      <c r="G277" s="1" t="s">
        <v>743</v>
      </c>
      <c r="H277" s="1" t="s">
        <v>1513</v>
      </c>
      <c r="J277" s="29"/>
      <c r="K277" s="303" t="s">
        <v>2080</v>
      </c>
      <c r="L277" s="303" t="s">
        <v>2080</v>
      </c>
      <c r="M277" s="303" t="s">
        <v>3033</v>
      </c>
      <c r="N277" s="303">
        <v>38876.28</v>
      </c>
      <c r="O277" s="303">
        <v>0</v>
      </c>
      <c r="P277" s="303" t="s">
        <v>743</v>
      </c>
      <c r="Q277" s="303" t="s">
        <v>1513</v>
      </c>
      <c r="R277" s="303"/>
    </row>
    <row r="278" spans="2:18" x14ac:dyDescent="0.3">
      <c r="B278" s="1" t="s">
        <v>2066</v>
      </c>
      <c r="C278" s="1" t="s">
        <v>2066</v>
      </c>
      <c r="D278" s="1" t="s">
        <v>2361</v>
      </c>
      <c r="E278" s="302">
        <v>0</v>
      </c>
      <c r="F278" s="1805">
        <v>316630</v>
      </c>
      <c r="G278" s="1" t="s">
        <v>997</v>
      </c>
      <c r="H278" s="1" t="s">
        <v>1033</v>
      </c>
      <c r="J278" s="29"/>
      <c r="K278" s="303" t="s">
        <v>2066</v>
      </c>
      <c r="L278" s="303" t="s">
        <v>2066</v>
      </c>
      <c r="M278" s="303" t="s">
        <v>2975</v>
      </c>
      <c r="N278" s="303"/>
      <c r="O278" s="303">
        <f>+'Recharge Summary'!H24</f>
        <v>554725</v>
      </c>
      <c r="P278" s="303" t="s">
        <v>763</v>
      </c>
      <c r="Q278" s="303" t="s">
        <v>766</v>
      </c>
      <c r="R278" s="303"/>
    </row>
    <row r="279" spans="2:18" x14ac:dyDescent="0.3">
      <c r="B279" s="1" t="s">
        <v>2080</v>
      </c>
      <c r="C279" s="1" t="s">
        <v>2080</v>
      </c>
      <c r="D279" s="1">
        <f t="shared" ref="D279:D281" ca="1" si="9">RAND()</f>
        <v>0.49791760450109501</v>
      </c>
      <c r="E279" s="302">
        <v>210866</v>
      </c>
      <c r="F279" s="1805">
        <v>213226.1</v>
      </c>
      <c r="G279" s="1" t="s">
        <v>743</v>
      </c>
      <c r="H279" s="1" t="s">
        <v>1513</v>
      </c>
      <c r="J279" s="29"/>
      <c r="K279" s="303" t="s">
        <v>2066</v>
      </c>
      <c r="L279" s="303" t="s">
        <v>2066</v>
      </c>
      <c r="M279" s="303" t="s">
        <v>2752</v>
      </c>
      <c r="N279" s="303"/>
      <c r="O279" s="303">
        <f>+'Recharge Summary'!H27</f>
        <v>295250</v>
      </c>
      <c r="P279" s="303" t="s">
        <v>763</v>
      </c>
      <c r="Q279" s="303" t="s">
        <v>794</v>
      </c>
      <c r="R279" s="303"/>
    </row>
    <row r="280" spans="2:18" x14ac:dyDescent="0.3">
      <c r="B280" s="1" t="s">
        <v>1012</v>
      </c>
      <c r="C280" s="1" t="s">
        <v>1012</v>
      </c>
      <c r="D280" s="1">
        <f t="shared" ca="1" si="9"/>
        <v>0.36024433955986745</v>
      </c>
      <c r="E280" s="302">
        <v>0</v>
      </c>
      <c r="F280" s="1805">
        <v>-3347.82</v>
      </c>
      <c r="G280" s="1" t="s">
        <v>799</v>
      </c>
      <c r="H280" s="1" t="s">
        <v>1291</v>
      </c>
      <c r="J280" s="29"/>
      <c r="K280" s="303" t="s">
        <v>2066</v>
      </c>
      <c r="L280" s="303" t="s">
        <v>2066</v>
      </c>
      <c r="M280" s="303" t="s">
        <v>2858</v>
      </c>
      <c r="N280" s="303"/>
      <c r="O280" s="303">
        <f>+'Recharge Summary'!H30</f>
        <v>232304</v>
      </c>
      <c r="P280" s="303" t="s">
        <v>763</v>
      </c>
      <c r="Q280" s="303" t="s">
        <v>3523</v>
      </c>
      <c r="R280" s="303"/>
    </row>
    <row r="281" spans="2:18" x14ac:dyDescent="0.3">
      <c r="B281" s="1" t="s">
        <v>2080</v>
      </c>
      <c r="C281" s="1" t="s">
        <v>2080</v>
      </c>
      <c r="D281" s="1">
        <f t="shared" ca="1" si="9"/>
        <v>0.48194248052664568</v>
      </c>
      <c r="E281" s="302">
        <v>27840</v>
      </c>
      <c r="F281" s="1805">
        <v>0</v>
      </c>
      <c r="G281" s="1" t="s">
        <v>743</v>
      </c>
      <c r="H281" s="1" t="s">
        <v>1513</v>
      </c>
      <c r="J281" s="29"/>
      <c r="K281" s="303" t="s">
        <v>2066</v>
      </c>
      <c r="L281" s="303" t="s">
        <v>2066</v>
      </c>
      <c r="M281" s="303" t="s">
        <v>2874</v>
      </c>
      <c r="N281" s="303"/>
      <c r="O281" s="303">
        <f>+'Recharge Summary'!H33</f>
        <v>32968</v>
      </c>
      <c r="P281" s="303" t="s">
        <v>997</v>
      </c>
      <c r="Q281" s="303" t="s">
        <v>762</v>
      </c>
      <c r="R281" s="303"/>
    </row>
    <row r="282" spans="2:18" x14ac:dyDescent="0.3">
      <c r="B282" s="1" t="s">
        <v>2323</v>
      </c>
      <c r="C282" s="1" t="s">
        <v>2323</v>
      </c>
      <c r="D282" s="1" t="s">
        <v>2325</v>
      </c>
      <c r="E282" s="302">
        <v>0</v>
      </c>
      <c r="F282" s="1805">
        <v>63969.49</v>
      </c>
      <c r="G282" s="1" t="s">
        <v>763</v>
      </c>
      <c r="H282" s="1" t="s">
        <v>795</v>
      </c>
      <c r="J282" s="29"/>
      <c r="K282" s="303"/>
      <c r="L282" s="303"/>
      <c r="M282" s="303"/>
      <c r="N282" s="303"/>
      <c r="O282" s="303"/>
      <c r="P282" s="303"/>
      <c r="Q282" s="303"/>
      <c r="R282" s="303"/>
    </row>
    <row r="283" spans="2:18" x14ac:dyDescent="0.3">
      <c r="B283" s="1" t="s">
        <v>2323</v>
      </c>
      <c r="C283" s="1" t="s">
        <v>2323</v>
      </c>
      <c r="D283" s="1" t="s">
        <v>2324</v>
      </c>
      <c r="E283" s="302">
        <v>0</v>
      </c>
      <c r="F283" s="1805">
        <v>5197.1499999999996</v>
      </c>
      <c r="G283" s="1" t="s">
        <v>763</v>
      </c>
      <c r="H283" s="1" t="s">
        <v>795</v>
      </c>
      <c r="J283" s="29"/>
      <c r="K283" s="303"/>
      <c r="L283" s="303"/>
      <c r="M283" s="303"/>
      <c r="N283" s="303"/>
      <c r="O283" s="303"/>
      <c r="P283" s="303"/>
      <c r="Q283" s="303"/>
      <c r="R283" s="303"/>
    </row>
    <row r="284" spans="2:18" x14ac:dyDescent="0.3">
      <c r="B284" s="1" t="s">
        <v>2128</v>
      </c>
      <c r="C284" s="1" t="s">
        <v>2131</v>
      </c>
      <c r="D284" s="1" t="s">
        <v>3062</v>
      </c>
      <c r="E284" s="302">
        <v>0</v>
      </c>
      <c r="F284" s="1805">
        <v>48579.1</v>
      </c>
      <c r="G284" s="1" t="s">
        <v>1812</v>
      </c>
      <c r="H284" s="1" t="s">
        <v>1887</v>
      </c>
      <c r="J284" s="29"/>
      <c r="K284" s="303"/>
      <c r="L284" s="303"/>
      <c r="M284" s="303"/>
      <c r="N284" s="303"/>
      <c r="O284" s="303"/>
      <c r="P284" s="303"/>
      <c r="Q284" s="303"/>
      <c r="R284" s="303"/>
    </row>
    <row r="285" spans="2:18" x14ac:dyDescent="0.3">
      <c r="B285" s="1" t="s">
        <v>2066</v>
      </c>
      <c r="C285" s="1" t="s">
        <v>2066</v>
      </c>
      <c r="D285" s="1" t="s">
        <v>2322</v>
      </c>
      <c r="E285" s="302">
        <v>0</v>
      </c>
      <c r="F285" s="1805">
        <v>837702.8</v>
      </c>
      <c r="G285" s="1" t="s">
        <v>763</v>
      </c>
      <c r="H285" s="1" t="s">
        <v>2322</v>
      </c>
      <c r="J285" s="29"/>
      <c r="K285" s="303"/>
      <c r="L285" s="303"/>
      <c r="M285" s="303"/>
      <c r="N285" s="303"/>
      <c r="O285" s="303"/>
      <c r="P285" s="303"/>
      <c r="Q285" s="303"/>
      <c r="R285" s="303"/>
    </row>
    <row r="286" spans="2:18" x14ac:dyDescent="0.3">
      <c r="B286" s="1" t="s">
        <v>2080</v>
      </c>
      <c r="C286" s="1" t="s">
        <v>2080</v>
      </c>
      <c r="D286" s="1">
        <f ca="1">RAND()</f>
        <v>0.88704008925292643</v>
      </c>
      <c r="E286" s="302">
        <v>0</v>
      </c>
      <c r="F286" s="1805">
        <v>0</v>
      </c>
      <c r="G286" s="1" t="s">
        <v>743</v>
      </c>
      <c r="H286" s="1" t="s">
        <v>1513</v>
      </c>
      <c r="J286" s="29"/>
      <c r="K286" s="303"/>
      <c r="L286" s="303"/>
      <c r="M286" s="303"/>
      <c r="N286" s="303"/>
      <c r="O286" s="303"/>
      <c r="P286" s="303"/>
      <c r="Q286" s="303"/>
      <c r="R286" s="303"/>
    </row>
    <row r="287" spans="2:18" x14ac:dyDescent="0.3">
      <c r="B287" s="1" t="s">
        <v>2128</v>
      </c>
      <c r="C287" s="1" t="s">
        <v>2214</v>
      </c>
      <c r="D287" s="1" t="s">
        <v>2321</v>
      </c>
      <c r="E287" s="302">
        <v>0</v>
      </c>
      <c r="F287" s="1805">
        <v>0</v>
      </c>
      <c r="G287" s="1" t="s">
        <v>1812</v>
      </c>
      <c r="H287" s="1" t="s">
        <v>1887</v>
      </c>
      <c r="J287" s="29"/>
      <c r="K287" s="303"/>
      <c r="L287" s="303"/>
      <c r="M287" s="303"/>
      <c r="N287" s="303"/>
      <c r="O287" s="303"/>
      <c r="P287" s="303"/>
      <c r="Q287" s="303"/>
      <c r="R287" s="303"/>
    </row>
    <row r="288" spans="2:18" x14ac:dyDescent="0.3">
      <c r="B288" s="1" t="s">
        <v>2080</v>
      </c>
      <c r="C288" s="1" t="s">
        <v>2080</v>
      </c>
      <c r="D288" s="1">
        <f ca="1">RAND()</f>
        <v>0.4186743045538337</v>
      </c>
      <c r="E288" s="302">
        <v>0</v>
      </c>
      <c r="F288" s="1826">
        <v>0.08</v>
      </c>
      <c r="G288" s="1" t="s">
        <v>743</v>
      </c>
      <c r="H288" s="1" t="s">
        <v>1513</v>
      </c>
      <c r="J288" s="29"/>
      <c r="K288" s="303"/>
      <c r="L288" s="303"/>
      <c r="M288" s="303"/>
      <c r="N288" s="303"/>
      <c r="O288" s="303"/>
      <c r="P288" s="303"/>
      <c r="Q288" s="303"/>
      <c r="R288" s="303"/>
    </row>
    <row r="289" spans="2:18" x14ac:dyDescent="0.3">
      <c r="B289" s="1" t="s">
        <v>100</v>
      </c>
      <c r="C289" s="1" t="s">
        <v>100</v>
      </c>
      <c r="D289" s="1" t="s">
        <v>2312</v>
      </c>
      <c r="E289" s="302">
        <v>93458728</v>
      </c>
      <c r="F289" s="1805">
        <v>122267474</v>
      </c>
      <c r="G289" s="1" t="s">
        <v>1520</v>
      </c>
      <c r="H289" s="1" t="s">
        <v>1523</v>
      </c>
      <c r="J289" s="29"/>
      <c r="K289" s="303"/>
      <c r="L289" s="303"/>
      <c r="M289" s="303"/>
      <c r="N289" s="303"/>
      <c r="O289" s="303"/>
      <c r="P289" s="303"/>
      <c r="Q289" s="303"/>
      <c r="R289" s="303"/>
    </row>
    <row r="290" spans="2:18" x14ac:dyDescent="0.3">
      <c r="B290" s="1" t="s">
        <v>1012</v>
      </c>
      <c r="C290" s="1" t="s">
        <v>1012</v>
      </c>
      <c r="D290" s="1" t="s">
        <v>2317</v>
      </c>
      <c r="E290" s="302">
        <v>0.1</v>
      </c>
      <c r="F290" s="302">
        <v>214.7</v>
      </c>
      <c r="G290" s="1" t="s">
        <v>363</v>
      </c>
      <c r="H290" s="1" t="s">
        <v>2023</v>
      </c>
      <c r="J290" s="29"/>
      <c r="K290" s="303"/>
      <c r="L290" s="303"/>
      <c r="M290" s="303"/>
      <c r="N290" s="303"/>
      <c r="O290" s="303"/>
      <c r="P290" s="303"/>
      <c r="Q290" s="303"/>
      <c r="R290" s="303"/>
    </row>
    <row r="291" spans="2:18" x14ac:dyDescent="0.3">
      <c r="B291" s="1" t="s">
        <v>2298</v>
      </c>
      <c r="C291" s="1" t="s">
        <v>2302</v>
      </c>
      <c r="D291" s="1" t="s">
        <v>2306</v>
      </c>
      <c r="E291" s="302">
        <v>0</v>
      </c>
      <c r="F291" s="1805">
        <v>-904622.16</v>
      </c>
      <c r="G291" s="1" t="s">
        <v>748</v>
      </c>
      <c r="H291" s="1" t="s">
        <v>1004</v>
      </c>
      <c r="J291" s="29"/>
      <c r="K291" s="303"/>
      <c r="L291" s="303"/>
      <c r="M291" s="303"/>
      <c r="N291" s="303"/>
      <c r="O291" s="303"/>
      <c r="P291" s="303"/>
      <c r="Q291" s="303"/>
      <c r="R291" s="303"/>
    </row>
    <row r="292" spans="2:18" x14ac:dyDescent="0.3">
      <c r="B292" s="1" t="s">
        <v>2298</v>
      </c>
      <c r="C292" s="1" t="s">
        <v>2302</v>
      </c>
      <c r="D292" s="1" t="s">
        <v>2305</v>
      </c>
      <c r="E292" s="302">
        <v>0</v>
      </c>
      <c r="F292" s="1805">
        <f>-4013245*0-4288002.32</f>
        <v>-4288002.32</v>
      </c>
      <c r="G292" s="1" t="s">
        <v>748</v>
      </c>
      <c r="H292" s="1" t="s">
        <v>749</v>
      </c>
      <c r="J292" s="29"/>
      <c r="K292" s="303"/>
      <c r="L292" s="303"/>
      <c r="M292" s="303"/>
      <c r="N292" s="303"/>
      <c r="O292" s="303"/>
      <c r="P292" s="303"/>
      <c r="Q292" s="303"/>
      <c r="R292" s="303"/>
    </row>
    <row r="293" spans="2:18" x14ac:dyDescent="0.3">
      <c r="B293" s="1" t="s">
        <v>2298</v>
      </c>
      <c r="C293" s="1" t="s">
        <v>2300</v>
      </c>
      <c r="D293" s="1" t="s">
        <v>2304</v>
      </c>
      <c r="E293" s="302">
        <v>0</v>
      </c>
      <c r="F293" s="1805">
        <v>-729987.1</v>
      </c>
      <c r="G293" s="1" t="s">
        <v>748</v>
      </c>
      <c r="H293" s="1" t="s">
        <v>1003</v>
      </c>
      <c r="J293" s="29"/>
      <c r="K293" s="303"/>
      <c r="L293" s="303"/>
      <c r="M293" s="303"/>
      <c r="N293" s="303"/>
      <c r="O293" s="303"/>
      <c r="P293" s="303"/>
      <c r="Q293" s="303"/>
      <c r="R293" s="303"/>
    </row>
    <row r="294" spans="2:18" x14ac:dyDescent="0.3">
      <c r="B294" s="1" t="s">
        <v>2298</v>
      </c>
      <c r="C294" s="1" t="s">
        <v>2302</v>
      </c>
      <c r="D294" s="1" t="s">
        <v>2303</v>
      </c>
      <c r="E294" s="302">
        <v>0</v>
      </c>
      <c r="F294" s="1805">
        <f>-253965.23*0-840206.36</f>
        <v>-840206.36</v>
      </c>
      <c r="G294" s="1" t="s">
        <v>748</v>
      </c>
      <c r="H294" s="1" t="s">
        <v>749</v>
      </c>
      <c r="J294" s="29"/>
      <c r="K294" s="303"/>
      <c r="L294" s="303"/>
      <c r="M294" s="303"/>
      <c r="N294" s="303"/>
      <c r="O294" s="303"/>
      <c r="P294" s="303"/>
      <c r="Q294" s="303"/>
      <c r="R294" s="303"/>
    </row>
    <row r="295" spans="2:18" x14ac:dyDescent="0.3">
      <c r="B295" s="1" t="s">
        <v>2298</v>
      </c>
      <c r="C295" s="1" t="s">
        <v>2300</v>
      </c>
      <c r="D295" s="1" t="s">
        <v>2301</v>
      </c>
      <c r="E295" s="302">
        <v>0</v>
      </c>
      <c r="F295" s="1805">
        <v>-42592703.700000003</v>
      </c>
      <c r="G295" s="1" t="s">
        <v>748</v>
      </c>
      <c r="H295" s="1" t="s">
        <v>1003</v>
      </c>
      <c r="J295" s="29"/>
      <c r="K295" s="303"/>
      <c r="L295" s="303"/>
      <c r="M295" s="303"/>
      <c r="N295" s="303"/>
      <c r="O295" s="303"/>
      <c r="P295" s="303"/>
      <c r="Q295" s="303"/>
      <c r="R295" s="303"/>
    </row>
    <row r="296" spans="2:18" x14ac:dyDescent="0.3">
      <c r="B296" s="1" t="s">
        <v>1012</v>
      </c>
      <c r="C296" s="1" t="s">
        <v>1012</v>
      </c>
      <c r="D296" s="1">
        <f ca="1">RAND()</f>
        <v>0.57846213931447954</v>
      </c>
      <c r="E296" s="302">
        <v>-72883.039999999994</v>
      </c>
      <c r="F296" s="1805">
        <v>0</v>
      </c>
      <c r="G296" s="1" t="s">
        <v>799</v>
      </c>
      <c r="H296" s="1" t="s">
        <v>1292</v>
      </c>
      <c r="J296" s="29"/>
      <c r="K296" s="303"/>
      <c r="L296" s="303"/>
      <c r="M296" s="303"/>
      <c r="N296" s="303"/>
      <c r="O296" s="303"/>
      <c r="P296" s="303"/>
      <c r="Q296" s="303"/>
      <c r="R296" s="303"/>
    </row>
    <row r="297" spans="2:18" x14ac:dyDescent="0.3">
      <c r="B297" s="1" t="s">
        <v>953</v>
      </c>
      <c r="C297" s="1" t="s">
        <v>953</v>
      </c>
      <c r="D297" s="1" t="s">
        <v>2293</v>
      </c>
      <c r="E297" s="302">
        <v>-4765580</v>
      </c>
      <c r="F297" s="302">
        <v>0</v>
      </c>
      <c r="G297" s="1" t="s">
        <v>508</v>
      </c>
      <c r="H297" s="1" t="s">
        <v>1303</v>
      </c>
      <c r="J297" s="29"/>
      <c r="K297" s="303"/>
      <c r="L297" s="303"/>
      <c r="M297" s="303"/>
      <c r="N297" s="303"/>
      <c r="O297" s="303"/>
      <c r="P297" s="303"/>
      <c r="Q297" s="303"/>
      <c r="R297" s="303"/>
    </row>
    <row r="298" spans="2:18" x14ac:dyDescent="0.3">
      <c r="B298" s="1" t="s">
        <v>1960</v>
      </c>
      <c r="C298" s="1" t="s">
        <v>1960</v>
      </c>
      <c r="D298" s="1" t="s">
        <v>2291</v>
      </c>
      <c r="E298" s="302">
        <v>-15000000</v>
      </c>
      <c r="F298" s="302">
        <v>-15000000</v>
      </c>
      <c r="J298" s="29"/>
      <c r="K298" s="303"/>
      <c r="L298" s="303"/>
      <c r="M298" s="303"/>
      <c r="N298" s="303"/>
      <c r="O298" s="303"/>
      <c r="P298" s="303"/>
      <c r="Q298" s="303"/>
      <c r="R298" s="303"/>
    </row>
    <row r="299" spans="2:18" x14ac:dyDescent="0.3">
      <c r="B299" s="1" t="s">
        <v>2080</v>
      </c>
      <c r="C299" s="1" t="s">
        <v>2273</v>
      </c>
      <c r="D299" s="1">
        <f ca="1">RAND()</f>
        <v>0.9496048944025216</v>
      </c>
      <c r="E299" s="302">
        <v>-6947999.1699999999</v>
      </c>
      <c r="F299" s="1805">
        <v>0</v>
      </c>
      <c r="G299" s="1" t="s">
        <v>743</v>
      </c>
      <c r="H299" s="1" t="s">
        <v>1513</v>
      </c>
      <c r="J299" s="29"/>
      <c r="K299" s="303"/>
      <c r="L299" s="303"/>
      <c r="M299" s="303"/>
      <c r="N299" s="303"/>
      <c r="O299" s="303"/>
      <c r="P299" s="303"/>
      <c r="Q299" s="303"/>
      <c r="R299" s="303"/>
    </row>
    <row r="300" spans="2:18" x14ac:dyDescent="0.3">
      <c r="B300" s="1" t="s">
        <v>2066</v>
      </c>
      <c r="C300" s="1" t="s">
        <v>2066</v>
      </c>
      <c r="D300" s="1" t="s">
        <v>2290</v>
      </c>
      <c r="E300" s="302">
        <v>0</v>
      </c>
      <c r="F300" s="1805">
        <v>3557</v>
      </c>
      <c r="G300" s="1" t="s">
        <v>763</v>
      </c>
      <c r="H300" s="1" t="s">
        <v>772</v>
      </c>
      <c r="J300" s="29"/>
      <c r="K300" s="303"/>
      <c r="L300" s="303"/>
      <c r="M300" s="303"/>
      <c r="N300" s="303"/>
      <c r="O300" s="303"/>
      <c r="P300" s="303"/>
      <c r="Q300" s="303"/>
      <c r="R300" s="303"/>
    </row>
    <row r="301" spans="2:18" x14ac:dyDescent="0.3">
      <c r="B301" s="1" t="s">
        <v>2066</v>
      </c>
      <c r="C301" s="1" t="s">
        <v>2066</v>
      </c>
      <c r="D301" s="1" t="s">
        <v>3061</v>
      </c>
      <c r="E301" s="302">
        <v>0</v>
      </c>
      <c r="F301" s="1805">
        <f>70004.78*0+83724.01</f>
        <v>83724.009999999995</v>
      </c>
      <c r="G301" s="1" t="s">
        <v>763</v>
      </c>
      <c r="H301" s="1" t="s">
        <v>3503</v>
      </c>
      <c r="J301" s="29"/>
      <c r="K301" s="303"/>
      <c r="L301" s="303"/>
      <c r="M301" s="303"/>
      <c r="N301" s="303"/>
      <c r="O301" s="303"/>
      <c r="P301" s="303"/>
      <c r="Q301" s="303"/>
      <c r="R301" s="303"/>
    </row>
    <row r="302" spans="2:18" x14ac:dyDescent="0.3">
      <c r="B302" s="1" t="s">
        <v>2169</v>
      </c>
      <c r="C302" s="1" t="s">
        <v>2169</v>
      </c>
      <c r="D302" s="1" t="s">
        <v>3058</v>
      </c>
      <c r="E302" s="302">
        <v>0</v>
      </c>
      <c r="F302" s="302">
        <v>-19306.740000000002</v>
      </c>
      <c r="G302" s="1" t="s">
        <v>752</v>
      </c>
      <c r="H302" s="1" t="s">
        <v>3058</v>
      </c>
      <c r="J302" s="29"/>
      <c r="K302" s="303"/>
      <c r="L302" s="303"/>
      <c r="M302" s="303"/>
      <c r="N302" s="303"/>
      <c r="O302" s="303"/>
      <c r="P302" s="303"/>
      <c r="Q302" s="303"/>
      <c r="R302" s="303"/>
    </row>
    <row r="303" spans="2:18" x14ac:dyDescent="0.3">
      <c r="B303" s="1" t="s">
        <v>1012</v>
      </c>
      <c r="C303" s="1" t="s">
        <v>1012</v>
      </c>
      <c r="D303" s="1">
        <f t="shared" ref="D303:D304" ca="1" si="10">RAND()</f>
        <v>4.6139065026416959E-2</v>
      </c>
      <c r="E303" s="533">
        <v>-10856</v>
      </c>
      <c r="F303" s="2552">
        <v>0</v>
      </c>
      <c r="G303" s="1" t="s">
        <v>799</v>
      </c>
      <c r="H303" s="1" t="s">
        <v>1292</v>
      </c>
      <c r="J303" s="29"/>
      <c r="K303" s="303"/>
      <c r="L303" s="303"/>
      <c r="M303" s="303"/>
      <c r="N303" s="303"/>
      <c r="O303" s="303"/>
      <c r="P303" s="303"/>
      <c r="Q303" s="303"/>
      <c r="R303" s="303"/>
    </row>
    <row r="304" spans="2:18" x14ac:dyDescent="0.3">
      <c r="B304" s="1" t="s">
        <v>1012</v>
      </c>
      <c r="C304" s="1" t="s">
        <v>1012</v>
      </c>
      <c r="D304" s="1">
        <f t="shared" ca="1" si="10"/>
        <v>9.329889150129711E-2</v>
      </c>
      <c r="E304" s="302">
        <v>0</v>
      </c>
      <c r="F304" s="1805">
        <v>-659968.44999999995</v>
      </c>
      <c r="G304" s="1" t="s">
        <v>799</v>
      </c>
      <c r="H304" s="1" t="s">
        <v>1291</v>
      </c>
      <c r="J304" s="29"/>
      <c r="K304" s="303"/>
      <c r="L304" s="303"/>
      <c r="M304" s="303"/>
      <c r="N304" s="303"/>
      <c r="O304" s="303"/>
      <c r="P304" s="303"/>
      <c r="Q304" s="303"/>
      <c r="R304" s="303"/>
    </row>
    <row r="305" spans="2:18" x14ac:dyDescent="0.3">
      <c r="B305" s="1" t="s">
        <v>2066</v>
      </c>
      <c r="C305" s="1" t="s">
        <v>2066</v>
      </c>
      <c r="D305" s="1" t="s">
        <v>2264</v>
      </c>
      <c r="E305" s="533">
        <v>0</v>
      </c>
      <c r="F305" s="2552">
        <v>89083</v>
      </c>
      <c r="G305" s="1" t="s">
        <v>1812</v>
      </c>
      <c r="H305" s="1" t="s">
        <v>1887</v>
      </c>
      <c r="J305" s="29"/>
      <c r="K305" s="303"/>
      <c r="L305" s="303"/>
      <c r="M305" s="303"/>
      <c r="N305" s="303"/>
      <c r="O305" s="303"/>
      <c r="P305" s="303"/>
      <c r="Q305" s="303"/>
      <c r="R305" s="303"/>
    </row>
    <row r="306" spans="2:18" x14ac:dyDescent="0.3">
      <c r="B306" s="1" t="s">
        <v>2261</v>
      </c>
      <c r="C306" s="1" t="s">
        <v>2261</v>
      </c>
      <c r="D306" s="1" t="s">
        <v>2263</v>
      </c>
      <c r="E306" s="302">
        <v>600000</v>
      </c>
      <c r="F306" s="302">
        <v>744600</v>
      </c>
      <c r="G306" s="1" t="s">
        <v>1643</v>
      </c>
      <c r="H306" s="1" t="s">
        <v>1466</v>
      </c>
      <c r="J306" s="29"/>
      <c r="K306" s="303"/>
      <c r="L306" s="303"/>
      <c r="M306" s="303"/>
      <c r="N306" s="303"/>
      <c r="O306" s="303"/>
      <c r="P306" s="303"/>
      <c r="Q306" s="303"/>
      <c r="R306" s="303"/>
    </row>
    <row r="307" spans="2:18" x14ac:dyDescent="0.3">
      <c r="B307" s="1" t="s">
        <v>2261</v>
      </c>
      <c r="C307" s="1" t="s">
        <v>2261</v>
      </c>
      <c r="D307" s="1" t="s">
        <v>2262</v>
      </c>
      <c r="E307" s="302">
        <v>1064000</v>
      </c>
      <c r="F307" s="302">
        <v>1064000</v>
      </c>
      <c r="G307" s="1" t="s">
        <v>1643</v>
      </c>
      <c r="H307" s="1" t="s">
        <v>1466</v>
      </c>
      <c r="J307" s="29"/>
      <c r="K307" s="303"/>
      <c r="L307" s="303"/>
      <c r="M307" s="303"/>
      <c r="N307" s="303"/>
      <c r="O307" s="303"/>
      <c r="P307" s="303"/>
      <c r="Q307" s="303"/>
      <c r="R307" s="303"/>
    </row>
    <row r="308" spans="2:18" x14ac:dyDescent="0.3">
      <c r="B308" s="1" t="s">
        <v>2128</v>
      </c>
      <c r="C308" s="1" t="s">
        <v>2129</v>
      </c>
      <c r="D308" s="1" t="s">
        <v>2260</v>
      </c>
      <c r="E308" s="302">
        <v>15000</v>
      </c>
      <c r="F308" s="1805">
        <v>15000</v>
      </c>
      <c r="G308" s="1" t="s">
        <v>1812</v>
      </c>
      <c r="H308" s="1" t="s">
        <v>1887</v>
      </c>
      <c r="J308" s="29"/>
      <c r="K308" s="303"/>
      <c r="L308" s="303"/>
      <c r="M308" s="303"/>
      <c r="N308" s="303"/>
      <c r="O308" s="303"/>
      <c r="P308" s="303"/>
      <c r="Q308" s="303"/>
      <c r="R308" s="303"/>
    </row>
    <row r="309" spans="2:18" x14ac:dyDescent="0.3">
      <c r="B309" s="1" t="s">
        <v>2128</v>
      </c>
      <c r="C309" s="1" t="s">
        <v>2131</v>
      </c>
      <c r="D309" s="1" t="s">
        <v>2239</v>
      </c>
      <c r="E309" s="302">
        <v>300</v>
      </c>
      <c r="F309" s="1805">
        <v>300</v>
      </c>
      <c r="G309" s="1" t="s">
        <v>1812</v>
      </c>
      <c r="H309" s="1" t="s">
        <v>1887</v>
      </c>
      <c r="J309" s="29"/>
      <c r="K309" s="303"/>
      <c r="L309" s="303"/>
      <c r="M309" s="303"/>
      <c r="N309" s="303"/>
      <c r="O309" s="303"/>
      <c r="P309" s="303"/>
      <c r="Q309" s="303"/>
      <c r="R309" s="303"/>
    </row>
    <row r="310" spans="2:18" x14ac:dyDescent="0.3">
      <c r="B310" s="1" t="s">
        <v>2128</v>
      </c>
      <c r="C310" s="1" t="s">
        <v>2131</v>
      </c>
      <c r="D310" s="1" t="s">
        <v>2259</v>
      </c>
      <c r="E310" s="302">
        <v>334</v>
      </c>
      <c r="F310" s="1805">
        <v>306</v>
      </c>
      <c r="G310" s="1" t="s">
        <v>1812</v>
      </c>
      <c r="H310" s="1" t="s">
        <v>1887</v>
      </c>
      <c r="J310" s="29"/>
      <c r="K310" s="303"/>
      <c r="L310" s="303"/>
      <c r="M310" s="303"/>
      <c r="N310" s="303"/>
      <c r="O310" s="303"/>
      <c r="P310" s="303"/>
      <c r="Q310" s="303"/>
      <c r="R310" s="303"/>
    </row>
    <row r="311" spans="2:18" x14ac:dyDescent="0.3">
      <c r="B311" s="1" t="s">
        <v>2128</v>
      </c>
      <c r="C311" s="1" t="s">
        <v>2257</v>
      </c>
      <c r="D311" s="1" t="s">
        <v>2258</v>
      </c>
      <c r="E311" s="302">
        <v>10848</v>
      </c>
      <c r="F311" s="1805">
        <v>3996</v>
      </c>
      <c r="G311" s="1" t="s">
        <v>1812</v>
      </c>
      <c r="H311" s="1" t="s">
        <v>1887</v>
      </c>
      <c r="J311" s="29"/>
      <c r="K311" s="303"/>
      <c r="L311" s="303"/>
      <c r="M311" s="303"/>
      <c r="N311" s="303"/>
      <c r="O311" s="303"/>
      <c r="P311" s="303"/>
      <c r="Q311" s="303"/>
      <c r="R311" s="303"/>
    </row>
    <row r="312" spans="2:18" x14ac:dyDescent="0.3">
      <c r="B312" s="1" t="s">
        <v>2128</v>
      </c>
      <c r="C312" s="1" t="s">
        <v>2257</v>
      </c>
      <c r="D312" s="1" t="s">
        <v>3054</v>
      </c>
      <c r="E312" s="302">
        <v>0</v>
      </c>
      <c r="F312" s="1805">
        <v>48864</v>
      </c>
      <c r="G312" s="1" t="s">
        <v>1812</v>
      </c>
      <c r="H312" s="1" t="s">
        <v>1887</v>
      </c>
      <c r="J312" s="29"/>
      <c r="K312" s="303"/>
      <c r="L312" s="303"/>
      <c r="M312" s="303"/>
      <c r="N312" s="303"/>
      <c r="O312" s="303"/>
      <c r="P312" s="303"/>
      <c r="Q312" s="303"/>
      <c r="R312" s="303"/>
    </row>
    <row r="313" spans="2:18" x14ac:dyDescent="0.3">
      <c r="B313" s="1" t="s">
        <v>2080</v>
      </c>
      <c r="C313" s="1" t="s">
        <v>2080</v>
      </c>
      <c r="D313" s="1">
        <f ca="1">RAND()</f>
        <v>0.98322938907170854</v>
      </c>
      <c r="E313" s="302">
        <v>0</v>
      </c>
      <c r="F313" s="1805">
        <v>17505.349999999999</v>
      </c>
      <c r="G313" s="1" t="s">
        <v>743</v>
      </c>
      <c r="H313" s="1" t="s">
        <v>1513</v>
      </c>
      <c r="J313" s="29"/>
      <c r="K313" s="303"/>
      <c r="L313" s="303"/>
      <c r="M313" s="303"/>
      <c r="N313" s="303"/>
      <c r="O313" s="303"/>
      <c r="P313" s="303"/>
      <c r="Q313" s="303"/>
      <c r="R313" s="303"/>
    </row>
    <row r="314" spans="2:18" x14ac:dyDescent="0.3">
      <c r="B314" s="1" t="s">
        <v>2427</v>
      </c>
      <c r="C314" s="1" t="s">
        <v>2427</v>
      </c>
      <c r="D314" s="1" t="s">
        <v>3055</v>
      </c>
      <c r="E314" s="302">
        <v>0</v>
      </c>
      <c r="F314" s="1805">
        <v>-12702.41</v>
      </c>
      <c r="G314" s="1" t="s">
        <v>748</v>
      </c>
      <c r="H314" s="1" t="s">
        <v>750</v>
      </c>
      <c r="J314" s="29"/>
      <c r="K314" s="303"/>
      <c r="L314" s="303"/>
      <c r="M314" s="303"/>
      <c r="N314" s="303"/>
      <c r="O314" s="303"/>
      <c r="P314" s="303"/>
      <c r="Q314" s="303"/>
      <c r="R314" s="303"/>
    </row>
    <row r="315" spans="2:18" x14ac:dyDescent="0.3">
      <c r="B315" s="1" t="s">
        <v>1013</v>
      </c>
      <c r="C315" s="1" t="s">
        <v>3735</v>
      </c>
      <c r="D315" s="1" t="s">
        <v>3737</v>
      </c>
      <c r="E315" s="302">
        <v>0</v>
      </c>
      <c r="F315" s="1805">
        <f>293.18*0</f>
        <v>0</v>
      </c>
      <c r="G315" s="1" t="s">
        <v>363</v>
      </c>
      <c r="H315" s="1" t="s">
        <v>2018</v>
      </c>
      <c r="J315" s="29"/>
      <c r="K315" s="303"/>
      <c r="L315" s="303"/>
      <c r="M315" s="303"/>
      <c r="N315" s="303"/>
      <c r="O315" s="303"/>
      <c r="P315" s="303"/>
      <c r="Q315" s="303"/>
      <c r="R315" s="303"/>
    </row>
    <row r="316" spans="2:18" x14ac:dyDescent="0.3">
      <c r="B316" s="1" t="s">
        <v>1013</v>
      </c>
      <c r="C316" s="1" t="s">
        <v>3735</v>
      </c>
      <c r="D316" s="1" t="s">
        <v>3736</v>
      </c>
      <c r="E316" s="302">
        <v>0</v>
      </c>
      <c r="F316" s="1805">
        <f>264829.94*0</f>
        <v>0</v>
      </c>
      <c r="G316" s="1" t="s">
        <v>363</v>
      </c>
      <c r="H316" s="1" t="s">
        <v>2018</v>
      </c>
      <c r="J316" s="29"/>
      <c r="K316" s="303"/>
      <c r="L316" s="303"/>
      <c r="M316" s="303"/>
      <c r="N316" s="303"/>
      <c r="O316" s="303"/>
      <c r="P316" s="303"/>
      <c r="Q316" s="303"/>
      <c r="R316" s="303"/>
    </row>
    <row r="317" spans="2:18" x14ac:dyDescent="0.3">
      <c r="B317" s="1" t="s">
        <v>2169</v>
      </c>
      <c r="C317" s="1" t="s">
        <v>2169</v>
      </c>
      <c r="D317" s="1" t="s">
        <v>3738</v>
      </c>
      <c r="E317" s="302">
        <v>0</v>
      </c>
      <c r="F317" s="302">
        <v>-125243</v>
      </c>
      <c r="J317" s="29"/>
      <c r="K317" s="303"/>
      <c r="L317" s="303"/>
      <c r="M317" s="303"/>
      <c r="N317" s="303"/>
      <c r="O317" s="303"/>
      <c r="P317" s="303"/>
      <c r="Q317" s="303"/>
      <c r="R317" s="303"/>
    </row>
    <row r="318" spans="2:18" x14ac:dyDescent="0.3">
      <c r="B318" s="1" t="s">
        <v>1013</v>
      </c>
      <c r="C318" s="1" t="s">
        <v>1013</v>
      </c>
      <c r="D318" s="1" t="s">
        <v>2253</v>
      </c>
      <c r="E318" s="302">
        <v>35941</v>
      </c>
      <c r="F318" s="1826">
        <v>161184</v>
      </c>
      <c r="G318" s="1" t="s">
        <v>747</v>
      </c>
      <c r="J318" s="29"/>
      <c r="K318" s="303"/>
      <c r="L318" s="303"/>
      <c r="M318" s="303"/>
      <c r="N318" s="303"/>
      <c r="O318" s="303"/>
      <c r="P318" s="303"/>
      <c r="Q318" s="303"/>
      <c r="R318" s="303"/>
    </row>
    <row r="319" spans="2:18" x14ac:dyDescent="0.3">
      <c r="B319" s="1" t="s">
        <v>953</v>
      </c>
      <c r="C319" s="1" t="s">
        <v>3731</v>
      </c>
      <c r="D319" s="1" t="s">
        <v>3734</v>
      </c>
      <c r="E319" s="302">
        <v>0</v>
      </c>
      <c r="F319" s="1805">
        <f>-346189.94*0</f>
        <v>0</v>
      </c>
      <c r="G319" s="1" t="s">
        <v>508</v>
      </c>
      <c r="H319" s="1" t="s">
        <v>3767</v>
      </c>
      <c r="J319" s="29"/>
      <c r="K319" s="303"/>
      <c r="L319" s="303"/>
      <c r="M319" s="303"/>
      <c r="N319" s="303"/>
      <c r="O319" s="303"/>
      <c r="P319" s="303"/>
      <c r="Q319" s="303"/>
      <c r="R319" s="303"/>
    </row>
    <row r="320" spans="2:18" x14ac:dyDescent="0.3">
      <c r="B320" s="1" t="s">
        <v>953</v>
      </c>
      <c r="C320" s="1" t="s">
        <v>3731</v>
      </c>
      <c r="D320" s="1" t="s">
        <v>3733</v>
      </c>
      <c r="E320" s="302">
        <v>0</v>
      </c>
      <c r="F320" s="1805">
        <f>-543288.98*0</f>
        <v>0</v>
      </c>
      <c r="G320" s="1" t="s">
        <v>508</v>
      </c>
      <c r="H320" s="1" t="s">
        <v>3767</v>
      </c>
      <c r="J320" s="29"/>
      <c r="K320" s="303"/>
      <c r="L320" s="303"/>
      <c r="M320" s="303"/>
      <c r="N320" s="303"/>
      <c r="O320" s="303"/>
      <c r="P320" s="303"/>
      <c r="Q320" s="303"/>
      <c r="R320" s="303"/>
    </row>
    <row r="321" spans="2:18" x14ac:dyDescent="0.3">
      <c r="B321" s="1" t="s">
        <v>953</v>
      </c>
      <c r="C321" s="1" t="s">
        <v>3731</v>
      </c>
      <c r="D321" s="1" t="s">
        <v>3732</v>
      </c>
      <c r="E321" s="302">
        <v>0</v>
      </c>
      <c r="F321" s="1805">
        <f>-16524819.84*0</f>
        <v>0</v>
      </c>
      <c r="G321" s="1" t="s">
        <v>508</v>
      </c>
      <c r="H321" s="1" t="s">
        <v>3767</v>
      </c>
      <c r="J321" s="29"/>
      <c r="K321" s="303"/>
      <c r="L321" s="303"/>
      <c r="M321" s="303"/>
      <c r="N321" s="303"/>
      <c r="O321" s="303"/>
      <c r="P321" s="303"/>
      <c r="Q321" s="303"/>
      <c r="R321" s="303"/>
    </row>
    <row r="322" spans="2:18" x14ac:dyDescent="0.3">
      <c r="B322" s="1" t="s">
        <v>1013</v>
      </c>
      <c r="C322" s="2347" t="s">
        <v>3727</v>
      </c>
      <c r="D322" s="2347" t="s">
        <v>3730</v>
      </c>
      <c r="E322" s="302">
        <v>0</v>
      </c>
      <c r="F322" s="1805">
        <f>295724.72*0</f>
        <v>0</v>
      </c>
      <c r="G322" s="1" t="s">
        <v>747</v>
      </c>
      <c r="H322" s="1" t="s">
        <v>3612</v>
      </c>
      <c r="J322" s="29"/>
      <c r="K322" s="303"/>
      <c r="L322" s="303"/>
      <c r="M322" s="303"/>
      <c r="N322" s="303"/>
      <c r="O322" s="303"/>
      <c r="P322" s="303"/>
      <c r="Q322" s="303"/>
      <c r="R322" s="303"/>
    </row>
    <row r="323" spans="2:18" x14ac:dyDescent="0.3">
      <c r="B323" s="1" t="s">
        <v>1013</v>
      </c>
      <c r="C323" s="1" t="s">
        <v>3727</v>
      </c>
      <c r="D323" s="1" t="s">
        <v>3729</v>
      </c>
      <c r="E323" s="302">
        <v>0</v>
      </c>
      <c r="F323" s="1805">
        <f>472443.85*0</f>
        <v>0</v>
      </c>
      <c r="G323" s="1" t="s">
        <v>747</v>
      </c>
      <c r="H323" s="1" t="s">
        <v>3612</v>
      </c>
      <c r="J323" s="29"/>
      <c r="K323" s="303"/>
      <c r="L323" s="303"/>
      <c r="M323" s="303"/>
      <c r="N323" s="303"/>
      <c r="O323" s="303"/>
      <c r="P323" s="303"/>
      <c r="Q323" s="303"/>
      <c r="R323" s="303"/>
    </row>
    <row r="324" spans="2:18" x14ac:dyDescent="0.3">
      <c r="B324" s="1" t="s">
        <v>1013</v>
      </c>
      <c r="C324" s="2347" t="s">
        <v>3727</v>
      </c>
      <c r="D324" s="2347" t="s">
        <v>3728</v>
      </c>
      <c r="E324" s="302">
        <v>0</v>
      </c>
      <c r="F324" s="1805">
        <f>15783541.9*0</f>
        <v>0</v>
      </c>
      <c r="G324" s="1" t="s">
        <v>747</v>
      </c>
      <c r="H324" s="1" t="s">
        <v>3612</v>
      </c>
      <c r="J324" s="29"/>
      <c r="K324" s="303"/>
      <c r="L324" s="303"/>
      <c r="M324" s="303"/>
      <c r="N324" s="303"/>
      <c r="O324" s="303"/>
      <c r="P324" s="303"/>
      <c r="Q324" s="303"/>
      <c r="R324" s="303"/>
    </row>
    <row r="325" spans="2:18" x14ac:dyDescent="0.3">
      <c r="B325" s="1" t="s">
        <v>1012</v>
      </c>
      <c r="C325" s="2347" t="s">
        <v>1012</v>
      </c>
      <c r="D325" s="1">
        <f t="shared" ref="D325:D327" ca="1" si="11">RAND()</f>
        <v>0.47880807630152844</v>
      </c>
      <c r="E325" s="302">
        <v>0</v>
      </c>
      <c r="F325" s="1805">
        <v>-0.16</v>
      </c>
      <c r="G325" s="1" t="s">
        <v>799</v>
      </c>
      <c r="H325" s="1" t="s">
        <v>1292</v>
      </c>
      <c r="J325" s="29"/>
      <c r="K325" s="303"/>
      <c r="L325" s="303"/>
      <c r="M325" s="303"/>
      <c r="N325" s="303"/>
      <c r="O325" s="303"/>
      <c r="P325" s="303"/>
      <c r="Q325" s="303"/>
      <c r="R325" s="303"/>
    </row>
    <row r="326" spans="2:18" x14ac:dyDescent="0.3">
      <c r="B326" s="1" t="s">
        <v>1012</v>
      </c>
      <c r="C326" s="1" t="s">
        <v>2218</v>
      </c>
      <c r="D326" s="1">
        <f t="shared" ca="1" si="11"/>
        <v>0.58442689921848623</v>
      </c>
      <c r="E326" s="302">
        <v>-109946.8</v>
      </c>
      <c r="F326" s="1805">
        <v>0</v>
      </c>
      <c r="G326" s="1" t="s">
        <v>799</v>
      </c>
      <c r="H326" s="1" t="s">
        <v>1292</v>
      </c>
      <c r="J326" s="29"/>
      <c r="K326" s="303"/>
      <c r="L326" s="303"/>
      <c r="M326" s="303"/>
      <c r="N326" s="303"/>
      <c r="O326" s="303"/>
      <c r="P326" s="303"/>
      <c r="Q326" s="303"/>
      <c r="R326" s="303"/>
    </row>
    <row r="327" spans="2:18" x14ac:dyDescent="0.3">
      <c r="B327" s="1" t="s">
        <v>1012</v>
      </c>
      <c r="C327" s="1" t="s">
        <v>2218</v>
      </c>
      <c r="D327" s="1">
        <f t="shared" ca="1" si="11"/>
        <v>0.38003165382088766</v>
      </c>
      <c r="E327" s="302">
        <v>-157736.71</v>
      </c>
      <c r="F327" s="1805">
        <v>-4223881.53</v>
      </c>
      <c r="G327" s="1" t="s">
        <v>799</v>
      </c>
      <c r="H327" s="1" t="s">
        <v>1292</v>
      </c>
      <c r="J327" s="29"/>
      <c r="K327" s="303"/>
      <c r="L327" s="303"/>
      <c r="M327" s="303"/>
      <c r="N327" s="303"/>
      <c r="O327" s="303"/>
      <c r="P327" s="303"/>
      <c r="Q327" s="303"/>
      <c r="R327" s="303"/>
    </row>
    <row r="328" spans="2:18" x14ac:dyDescent="0.3">
      <c r="B328" s="1" t="s">
        <v>2066</v>
      </c>
      <c r="C328" s="1" t="s">
        <v>2066</v>
      </c>
      <c r="D328" s="1" t="s">
        <v>2223</v>
      </c>
      <c r="E328" s="302">
        <v>0</v>
      </c>
      <c r="F328" s="1805">
        <v>315963</v>
      </c>
      <c r="G328" s="1" t="s">
        <v>763</v>
      </c>
      <c r="H328" s="1" t="s">
        <v>2569</v>
      </c>
      <c r="J328" s="29"/>
      <c r="K328" s="303"/>
      <c r="L328" s="303"/>
      <c r="M328" s="303"/>
      <c r="N328" s="303"/>
      <c r="O328" s="303"/>
      <c r="P328" s="303"/>
      <c r="Q328" s="303"/>
      <c r="R328" s="303"/>
    </row>
    <row r="329" spans="2:18" x14ac:dyDescent="0.3">
      <c r="B329" s="1" t="s">
        <v>953</v>
      </c>
      <c r="C329" s="1" t="s">
        <v>2064</v>
      </c>
      <c r="D329" s="1" t="s">
        <v>2222</v>
      </c>
      <c r="E329" s="302">
        <v>-4227.04</v>
      </c>
      <c r="F329" s="302">
        <v>0</v>
      </c>
      <c r="G329" s="1" t="s">
        <v>508</v>
      </c>
      <c r="H329" s="1" t="s">
        <v>1970</v>
      </c>
      <c r="J329" s="29"/>
      <c r="K329" s="303"/>
      <c r="L329" s="303"/>
      <c r="M329" s="303"/>
      <c r="N329" s="303"/>
      <c r="O329" s="303"/>
      <c r="P329" s="303"/>
      <c r="Q329" s="303"/>
      <c r="R329" s="303"/>
    </row>
    <row r="330" spans="2:18" x14ac:dyDescent="0.3">
      <c r="B330" s="1" t="s">
        <v>1012</v>
      </c>
      <c r="C330" s="1" t="s">
        <v>2216</v>
      </c>
      <c r="D330" s="1">
        <f ca="1">RAND()</f>
        <v>0.13173850933256881</v>
      </c>
      <c r="E330" s="302">
        <v>-690521.39</v>
      </c>
      <c r="F330" s="1805">
        <v>0</v>
      </c>
      <c r="G330" s="1" t="s">
        <v>799</v>
      </c>
      <c r="H330" s="1" t="s">
        <v>1292</v>
      </c>
      <c r="J330" s="29"/>
      <c r="K330" s="303"/>
      <c r="L330" s="303"/>
      <c r="M330" s="303"/>
      <c r="N330" s="303"/>
      <c r="O330" s="303"/>
      <c r="P330" s="303"/>
      <c r="Q330" s="303"/>
      <c r="R330" s="303"/>
    </row>
    <row r="331" spans="2:18" x14ac:dyDescent="0.3">
      <c r="B331" s="1" t="s">
        <v>2128</v>
      </c>
      <c r="C331" s="1" t="s">
        <v>2214</v>
      </c>
      <c r="D331" s="1" t="s">
        <v>2215</v>
      </c>
      <c r="E331" s="302">
        <v>8844.35</v>
      </c>
      <c r="F331" s="2701">
        <v>0</v>
      </c>
      <c r="G331" s="1" t="s">
        <v>1812</v>
      </c>
      <c r="H331" s="1" t="s">
        <v>1887</v>
      </c>
      <c r="J331" s="29"/>
      <c r="K331" s="303"/>
      <c r="L331" s="303"/>
      <c r="M331" s="303"/>
      <c r="N331" s="303"/>
      <c r="O331" s="303"/>
      <c r="P331" s="303"/>
      <c r="Q331" s="303"/>
      <c r="R331" s="303"/>
    </row>
    <row r="332" spans="2:18" x14ac:dyDescent="0.3">
      <c r="B332" s="1" t="s">
        <v>2066</v>
      </c>
      <c r="C332" s="1" t="s">
        <v>2066</v>
      </c>
      <c r="D332" s="1" t="s">
        <v>2213</v>
      </c>
      <c r="E332" s="533">
        <v>0</v>
      </c>
      <c r="F332" s="2552">
        <v>11511.35</v>
      </c>
      <c r="G332" s="1" t="s">
        <v>763</v>
      </c>
      <c r="H332" s="1" t="s">
        <v>2754</v>
      </c>
      <c r="J332" s="29"/>
      <c r="K332" s="303"/>
      <c r="L332" s="303"/>
      <c r="M332" s="303"/>
      <c r="N332" s="303"/>
      <c r="O332" s="303"/>
      <c r="P332" s="303"/>
      <c r="Q332" s="303"/>
      <c r="R332" s="303"/>
    </row>
    <row r="333" spans="2:18" x14ac:dyDescent="0.3">
      <c r="B333" s="1" t="s">
        <v>2066</v>
      </c>
      <c r="C333" s="1" t="s">
        <v>2066</v>
      </c>
      <c r="D333" s="1" t="s">
        <v>2211</v>
      </c>
      <c r="E333" s="302">
        <v>0</v>
      </c>
      <c r="F333" s="302">
        <v>0</v>
      </c>
      <c r="G333" s="1" t="s">
        <v>763</v>
      </c>
      <c r="H333" s="1" t="s">
        <v>754</v>
      </c>
      <c r="J333" s="29"/>
      <c r="K333" s="303"/>
      <c r="L333" s="303"/>
      <c r="M333" s="303"/>
      <c r="N333" s="303"/>
      <c r="O333" s="303"/>
      <c r="P333" s="303"/>
      <c r="Q333" s="303"/>
      <c r="R333" s="303"/>
    </row>
    <row r="334" spans="2:18" x14ac:dyDescent="0.3">
      <c r="B334" s="1" t="s">
        <v>953</v>
      </c>
      <c r="C334" s="1" t="s">
        <v>2064</v>
      </c>
      <c r="D334" s="1" t="s">
        <v>2210</v>
      </c>
      <c r="E334" s="302">
        <v>-277059.64</v>
      </c>
      <c r="F334" s="1805">
        <v>-472696.5</v>
      </c>
      <c r="G334" s="1" t="s">
        <v>508</v>
      </c>
      <c r="H334" s="1" t="s">
        <v>1647</v>
      </c>
      <c r="J334" s="29"/>
      <c r="K334" s="303"/>
      <c r="L334" s="303"/>
      <c r="M334" s="303"/>
      <c r="N334" s="303"/>
      <c r="O334" s="303"/>
      <c r="P334" s="303"/>
      <c r="Q334" s="303"/>
      <c r="R334" s="303"/>
    </row>
    <row r="335" spans="2:18" x14ac:dyDescent="0.3">
      <c r="B335" s="1" t="s">
        <v>2066</v>
      </c>
      <c r="C335" s="1" t="s">
        <v>2066</v>
      </c>
      <c r="D335" s="1" t="s">
        <v>2209</v>
      </c>
      <c r="E335" s="302">
        <v>0</v>
      </c>
      <c r="F335" s="1805">
        <v>11208189.470000001</v>
      </c>
      <c r="G335" s="1" t="s">
        <v>997</v>
      </c>
      <c r="H335" s="1" t="s">
        <v>761</v>
      </c>
      <c r="J335" s="29"/>
      <c r="K335" s="303"/>
      <c r="L335" s="303"/>
      <c r="M335" s="303"/>
      <c r="N335" s="303"/>
      <c r="O335" s="303"/>
      <c r="P335" s="303"/>
      <c r="Q335" s="303"/>
      <c r="R335" s="303"/>
    </row>
    <row r="336" spans="2:18" x14ac:dyDescent="0.3">
      <c r="B336" s="1" t="s">
        <v>2080</v>
      </c>
      <c r="C336" s="1" t="s">
        <v>2080</v>
      </c>
      <c r="D336" s="1">
        <f t="shared" ref="D336:D337" ca="1" si="12">RAND()</f>
        <v>0.94566162261450892</v>
      </c>
      <c r="E336" s="302">
        <v>0</v>
      </c>
      <c r="F336" s="1805">
        <v>0</v>
      </c>
      <c r="G336" s="1" t="s">
        <v>743</v>
      </c>
      <c r="H336" s="1" t="s">
        <v>1513</v>
      </c>
      <c r="J336" s="29"/>
      <c r="K336" s="303"/>
      <c r="L336" s="303"/>
      <c r="M336" s="303"/>
      <c r="N336" s="303"/>
      <c r="O336" s="303"/>
      <c r="P336" s="303"/>
      <c r="Q336" s="303"/>
      <c r="R336" s="303"/>
    </row>
    <row r="337" spans="2:18" x14ac:dyDescent="0.3">
      <c r="B337" s="1" t="s">
        <v>2080</v>
      </c>
      <c r="C337" s="1" t="s">
        <v>2080</v>
      </c>
      <c r="D337" s="1">
        <f t="shared" ca="1" si="12"/>
        <v>0.65733153946620548</v>
      </c>
      <c r="E337" s="533">
        <v>466556.32</v>
      </c>
      <c r="F337" s="2552">
        <v>0</v>
      </c>
      <c r="G337" s="1" t="s">
        <v>743</v>
      </c>
      <c r="H337" s="1" t="s">
        <v>1513</v>
      </c>
      <c r="J337" s="29"/>
      <c r="K337" s="303"/>
      <c r="L337" s="303"/>
      <c r="M337" s="303"/>
      <c r="N337" s="303"/>
      <c r="O337" s="303"/>
      <c r="P337" s="303"/>
      <c r="Q337" s="303"/>
      <c r="R337" s="303"/>
    </row>
    <row r="338" spans="2:18" x14ac:dyDescent="0.3">
      <c r="B338" s="1" t="s">
        <v>2045</v>
      </c>
      <c r="C338" s="1" t="s">
        <v>2045</v>
      </c>
      <c r="D338" s="1" t="s">
        <v>2205</v>
      </c>
      <c r="E338" s="533">
        <v>0</v>
      </c>
      <c r="F338" s="533">
        <v>0</v>
      </c>
      <c r="G338" s="1" t="s">
        <v>363</v>
      </c>
      <c r="H338" s="1" t="s">
        <v>2018</v>
      </c>
      <c r="J338" s="29"/>
      <c r="K338" s="303"/>
      <c r="L338" s="303"/>
      <c r="M338" s="303"/>
      <c r="N338" s="303"/>
      <c r="O338" s="303"/>
      <c r="P338" s="303"/>
      <c r="Q338" s="303"/>
      <c r="R338" s="303"/>
    </row>
    <row r="339" spans="2:18" x14ac:dyDescent="0.3">
      <c r="B339" s="1" t="s">
        <v>1012</v>
      </c>
      <c r="C339" s="1" t="s">
        <v>1012</v>
      </c>
      <c r="D339" s="1">
        <f ca="1">RAND()</f>
        <v>0.75240249361763545</v>
      </c>
      <c r="E339" s="533">
        <v>-792</v>
      </c>
      <c r="F339" s="2552">
        <v>0</v>
      </c>
      <c r="G339" s="1" t="s">
        <v>799</v>
      </c>
      <c r="H339" s="1" t="s">
        <v>1292</v>
      </c>
      <c r="J339" s="29"/>
      <c r="K339" s="303"/>
      <c r="L339" s="303"/>
      <c r="M339" s="303"/>
      <c r="N339" s="303"/>
      <c r="O339" s="303"/>
      <c r="P339" s="303"/>
      <c r="Q339" s="303"/>
      <c r="R339" s="303"/>
    </row>
    <row r="340" spans="2:18" x14ac:dyDescent="0.3">
      <c r="B340" s="1" t="s">
        <v>2045</v>
      </c>
      <c r="C340" s="1" t="s">
        <v>3726</v>
      </c>
      <c r="D340" s="1" t="s">
        <v>3051</v>
      </c>
      <c r="E340" s="302">
        <v>0</v>
      </c>
      <c r="F340" s="1805">
        <v>1005116.92</v>
      </c>
      <c r="G340" s="1" t="s">
        <v>363</v>
      </c>
      <c r="H340" s="1" t="s">
        <v>2018</v>
      </c>
      <c r="J340" s="29"/>
      <c r="K340" s="303"/>
      <c r="L340" s="303"/>
      <c r="M340" s="303"/>
      <c r="N340" s="303"/>
      <c r="O340" s="303"/>
      <c r="P340" s="303"/>
      <c r="Q340" s="303"/>
      <c r="R340" s="303"/>
    </row>
    <row r="341" spans="2:18" x14ac:dyDescent="0.3">
      <c r="B341" s="1" t="s">
        <v>2045</v>
      </c>
      <c r="C341" s="1" t="s">
        <v>2187</v>
      </c>
      <c r="D341" s="1" t="s">
        <v>2193</v>
      </c>
      <c r="E341" s="533">
        <v>735958.65</v>
      </c>
      <c r="F341" s="533">
        <v>0</v>
      </c>
      <c r="G341" s="1" t="s">
        <v>363</v>
      </c>
      <c r="H341" s="1" t="s">
        <v>2018</v>
      </c>
      <c r="J341" s="29"/>
      <c r="K341" s="303"/>
      <c r="L341" s="303"/>
      <c r="M341" s="303"/>
      <c r="N341" s="303"/>
      <c r="O341" s="303"/>
      <c r="P341" s="303"/>
      <c r="Q341" s="303"/>
      <c r="R341" s="303"/>
    </row>
    <row r="342" spans="2:18" x14ac:dyDescent="0.3">
      <c r="B342" s="1804" t="s">
        <v>2080</v>
      </c>
      <c r="C342" s="1804" t="s">
        <v>2080</v>
      </c>
      <c r="D342" s="1">
        <f ca="1">RAND()</f>
        <v>0.54946324426842108</v>
      </c>
      <c r="E342" s="2552">
        <v>0</v>
      </c>
      <c r="F342" s="2552">
        <v>0</v>
      </c>
      <c r="G342" s="1804" t="s">
        <v>743</v>
      </c>
      <c r="H342" s="1804" t="s">
        <v>1513</v>
      </c>
      <c r="J342" s="29"/>
      <c r="K342" s="303"/>
      <c r="L342" s="303"/>
      <c r="M342" s="303"/>
      <c r="N342" s="303"/>
      <c r="O342" s="303"/>
      <c r="P342" s="303"/>
      <c r="Q342" s="303"/>
      <c r="R342" s="303"/>
    </row>
    <row r="343" spans="2:18" x14ac:dyDescent="0.3">
      <c r="B343" s="1" t="s">
        <v>2066</v>
      </c>
      <c r="C343" s="1" t="s">
        <v>2066</v>
      </c>
      <c r="D343" s="1" t="s">
        <v>2181</v>
      </c>
      <c r="E343" s="533">
        <v>0</v>
      </c>
      <c r="F343" s="2552">
        <v>377000</v>
      </c>
      <c r="G343" s="1" t="s">
        <v>763</v>
      </c>
      <c r="H343" s="1" t="s">
        <v>771</v>
      </c>
      <c r="J343" s="29"/>
      <c r="K343" s="303"/>
      <c r="L343" s="303"/>
      <c r="M343" s="303"/>
      <c r="N343" s="303"/>
      <c r="O343" s="303"/>
      <c r="P343" s="303"/>
      <c r="Q343" s="303"/>
      <c r="R343" s="303"/>
    </row>
    <row r="344" spans="2:18" x14ac:dyDescent="0.3">
      <c r="B344" s="1" t="s">
        <v>2066</v>
      </c>
      <c r="C344" s="1" t="s">
        <v>2067</v>
      </c>
      <c r="D344" s="1" t="s">
        <v>3047</v>
      </c>
      <c r="E344" s="302">
        <v>0</v>
      </c>
      <c r="F344" s="1823">
        <v>-0.41</v>
      </c>
      <c r="G344" s="1" t="s">
        <v>997</v>
      </c>
      <c r="H344" s="1" t="s">
        <v>761</v>
      </c>
      <c r="J344" s="29"/>
      <c r="K344" s="303"/>
      <c r="L344" s="303"/>
      <c r="M344" s="303"/>
      <c r="N344" s="303"/>
      <c r="O344" s="303"/>
      <c r="P344" s="303"/>
      <c r="Q344" s="303"/>
      <c r="R344" s="303"/>
    </row>
    <row r="345" spans="2:18" x14ac:dyDescent="0.3">
      <c r="B345" s="1" t="s">
        <v>2080</v>
      </c>
      <c r="C345" s="1" t="s">
        <v>2080</v>
      </c>
      <c r="D345" s="1">
        <f t="shared" ref="D345:D349" ca="1" si="13">RAND()</f>
        <v>0.38460887392169041</v>
      </c>
      <c r="E345" s="533">
        <v>0</v>
      </c>
      <c r="F345" s="2552">
        <v>1206061.06</v>
      </c>
      <c r="G345" s="1" t="s">
        <v>743</v>
      </c>
      <c r="H345" s="1" t="s">
        <v>1513</v>
      </c>
      <c r="J345" s="29"/>
      <c r="K345" s="1807"/>
      <c r="L345" s="1807"/>
      <c r="M345" s="1807"/>
      <c r="N345" s="1807"/>
      <c r="O345" s="1807"/>
      <c r="P345" s="1807"/>
      <c r="Q345" s="1807"/>
      <c r="R345" s="1807"/>
    </row>
    <row r="346" spans="2:18" x14ac:dyDescent="0.3">
      <c r="B346" s="1" t="s">
        <v>2080</v>
      </c>
      <c r="C346" s="1" t="s">
        <v>2080</v>
      </c>
      <c r="D346" s="1">
        <f t="shared" ca="1" si="13"/>
        <v>0.680831910458923</v>
      </c>
      <c r="E346" s="302">
        <v>0</v>
      </c>
      <c r="F346" s="1805">
        <v>0</v>
      </c>
      <c r="G346" s="1" t="s">
        <v>743</v>
      </c>
      <c r="H346" s="1" t="s">
        <v>1513</v>
      </c>
      <c r="J346" s="29"/>
      <c r="K346" s="303"/>
      <c r="L346" s="303"/>
      <c r="M346" s="303"/>
      <c r="N346" s="303"/>
      <c r="O346" s="303"/>
      <c r="P346" s="303"/>
      <c r="Q346" s="303"/>
      <c r="R346" s="303"/>
    </row>
    <row r="347" spans="2:18" x14ac:dyDescent="0.3">
      <c r="B347" s="1" t="s">
        <v>1012</v>
      </c>
      <c r="C347" s="1" t="s">
        <v>1012</v>
      </c>
      <c r="D347" s="1">
        <f t="shared" ca="1" si="13"/>
        <v>8.7663810909093032E-2</v>
      </c>
      <c r="E347" s="533">
        <v>-106443.94</v>
      </c>
      <c r="F347" s="2552">
        <v>0</v>
      </c>
      <c r="G347" s="1" t="s">
        <v>799</v>
      </c>
      <c r="H347" s="1" t="s">
        <v>1292</v>
      </c>
      <c r="J347" s="29"/>
      <c r="K347" s="303"/>
      <c r="L347" s="303"/>
      <c r="M347" s="303"/>
      <c r="N347" s="303"/>
      <c r="O347" s="303"/>
      <c r="P347" s="303"/>
      <c r="Q347" s="303"/>
      <c r="R347" s="303"/>
    </row>
    <row r="348" spans="2:18" x14ac:dyDescent="0.3">
      <c r="B348" s="1" t="s">
        <v>1012</v>
      </c>
      <c r="C348" s="1" t="s">
        <v>1012</v>
      </c>
      <c r="D348" s="1">
        <f t="shared" ca="1" si="13"/>
        <v>0.11981608349880513</v>
      </c>
      <c r="E348" s="533">
        <v>-638661.64</v>
      </c>
      <c r="F348" s="2552">
        <v>-4358173.55</v>
      </c>
      <c r="G348" s="1" t="s">
        <v>799</v>
      </c>
      <c r="H348" s="1" t="s">
        <v>1292</v>
      </c>
      <c r="J348" s="29"/>
      <c r="K348" s="303"/>
      <c r="L348" s="303"/>
      <c r="M348" s="303"/>
      <c r="N348" s="303"/>
      <c r="O348" s="303"/>
      <c r="P348" s="303"/>
      <c r="Q348" s="303"/>
      <c r="R348" s="303"/>
    </row>
    <row r="349" spans="2:18" x14ac:dyDescent="0.3">
      <c r="B349" s="1" t="s">
        <v>1012</v>
      </c>
      <c r="C349" s="1" t="s">
        <v>1012</v>
      </c>
      <c r="D349" s="1">
        <f t="shared" ca="1" si="13"/>
        <v>0.48306076486878957</v>
      </c>
      <c r="E349" s="2381">
        <v>-106443.94</v>
      </c>
      <c r="F349" s="2552">
        <v>-21929.77</v>
      </c>
      <c r="G349" s="1" t="s">
        <v>799</v>
      </c>
      <c r="H349" s="1" t="s">
        <v>1292</v>
      </c>
      <c r="J349" s="29"/>
      <c r="K349" s="303"/>
      <c r="L349" s="303"/>
      <c r="M349" s="303"/>
      <c r="N349" s="303"/>
      <c r="O349" s="303"/>
      <c r="P349" s="303"/>
      <c r="Q349" s="303"/>
      <c r="R349" s="303"/>
    </row>
    <row r="350" spans="2:18" x14ac:dyDescent="0.3">
      <c r="B350" s="1" t="s">
        <v>2066</v>
      </c>
      <c r="C350" s="1" t="s">
        <v>2066</v>
      </c>
      <c r="D350" s="1" t="s">
        <v>3045</v>
      </c>
      <c r="E350" s="533">
        <v>0</v>
      </c>
      <c r="F350" s="2552">
        <v>6217.86</v>
      </c>
      <c r="G350" s="1" t="s">
        <v>763</v>
      </c>
      <c r="H350" s="1" t="s">
        <v>2172</v>
      </c>
      <c r="J350" s="29"/>
      <c r="K350" s="303"/>
      <c r="L350" s="303"/>
      <c r="M350" s="303"/>
      <c r="N350" s="303"/>
      <c r="O350" s="303"/>
      <c r="P350" s="303"/>
      <c r="Q350" s="303"/>
      <c r="R350" s="303"/>
    </row>
    <row r="351" spans="2:18" x14ac:dyDescent="0.3">
      <c r="B351" s="1" t="s">
        <v>2066</v>
      </c>
      <c r="C351" s="1" t="s">
        <v>2066</v>
      </c>
      <c r="D351" s="1" t="s">
        <v>2172</v>
      </c>
      <c r="E351" s="533">
        <v>0</v>
      </c>
      <c r="F351" s="2552">
        <v>138167.45000000001</v>
      </c>
      <c r="G351" s="1" t="s">
        <v>763</v>
      </c>
      <c r="H351" s="1" t="s">
        <v>2172</v>
      </c>
      <c r="J351" s="29"/>
      <c r="K351" s="303"/>
      <c r="L351" s="303"/>
      <c r="M351" s="303"/>
      <c r="N351" s="303"/>
      <c r="O351" s="303"/>
      <c r="P351" s="303"/>
      <c r="Q351" s="303"/>
      <c r="R351" s="303"/>
    </row>
    <row r="352" spans="2:18" x14ac:dyDescent="0.3">
      <c r="B352" s="1" t="s">
        <v>2169</v>
      </c>
      <c r="C352" s="1" t="s">
        <v>2169</v>
      </c>
      <c r="D352" s="1" t="s">
        <v>2170</v>
      </c>
      <c r="E352" s="533">
        <v>0</v>
      </c>
      <c r="F352" s="533">
        <v>-48166.99</v>
      </c>
      <c r="G352" s="1" t="s">
        <v>752</v>
      </c>
      <c r="H352" s="1" t="s">
        <v>3500</v>
      </c>
      <c r="J352" s="29"/>
      <c r="K352" s="303"/>
      <c r="L352" s="303"/>
      <c r="M352" s="303"/>
      <c r="N352" s="303"/>
      <c r="O352" s="303"/>
      <c r="P352" s="303"/>
      <c r="Q352" s="303"/>
      <c r="R352" s="303"/>
    </row>
    <row r="353" spans="2:18" x14ac:dyDescent="0.3">
      <c r="B353" s="1" t="s">
        <v>2066</v>
      </c>
      <c r="C353" s="1" t="s">
        <v>2066</v>
      </c>
      <c r="D353" s="1" t="s">
        <v>3725</v>
      </c>
      <c r="E353" s="302">
        <v>0</v>
      </c>
      <c r="F353" s="1805">
        <v>356810.55</v>
      </c>
      <c r="G353" s="1" t="s">
        <v>763</v>
      </c>
      <c r="H353" s="1" t="s">
        <v>3517</v>
      </c>
      <c r="J353" s="29"/>
      <c r="K353" s="303"/>
      <c r="L353" s="303"/>
      <c r="M353" s="303"/>
      <c r="N353" s="303"/>
      <c r="O353" s="303"/>
      <c r="P353" s="303"/>
      <c r="Q353" s="303"/>
      <c r="R353" s="303"/>
    </row>
    <row r="354" spans="2:18" x14ac:dyDescent="0.3">
      <c r="B354" s="1804" t="s">
        <v>2066</v>
      </c>
      <c r="C354" s="1804" t="s">
        <v>2066</v>
      </c>
      <c r="D354" s="1804" t="s">
        <v>3043</v>
      </c>
      <c r="E354" s="2552">
        <v>0</v>
      </c>
      <c r="F354" s="2552">
        <v>171480</v>
      </c>
      <c r="G354" s="1804" t="s">
        <v>763</v>
      </c>
      <c r="H354" s="1804" t="s">
        <v>987</v>
      </c>
      <c r="I354" s="1804"/>
      <c r="J354" s="29"/>
      <c r="K354" s="303"/>
      <c r="L354" s="303"/>
      <c r="M354" s="303"/>
      <c r="N354" s="303"/>
      <c r="O354" s="303"/>
      <c r="P354" s="303"/>
      <c r="Q354" s="303"/>
      <c r="R354" s="303"/>
    </row>
    <row r="355" spans="2:18" x14ac:dyDescent="0.3">
      <c r="B355" s="1" t="s">
        <v>2128</v>
      </c>
      <c r="C355" s="1" t="s">
        <v>2131</v>
      </c>
      <c r="D355" s="1" t="s">
        <v>2133</v>
      </c>
      <c r="E355" s="533">
        <v>5302.94</v>
      </c>
      <c r="F355" s="2552">
        <v>2912.94</v>
      </c>
      <c r="G355" s="1" t="s">
        <v>1812</v>
      </c>
      <c r="H355" s="1" t="s">
        <v>1887</v>
      </c>
      <c r="J355" s="29"/>
      <c r="K355" s="303"/>
      <c r="L355" s="303"/>
      <c r="M355" s="303"/>
      <c r="N355" s="303"/>
      <c r="O355" s="303"/>
      <c r="P355" s="303"/>
      <c r="Q355" s="303"/>
      <c r="R355" s="303"/>
    </row>
    <row r="356" spans="2:18" x14ac:dyDescent="0.3">
      <c r="B356" s="1" t="s">
        <v>2128</v>
      </c>
      <c r="C356" s="1" t="s">
        <v>2131</v>
      </c>
      <c r="D356" s="1" t="s">
        <v>2132</v>
      </c>
      <c r="E356" s="533">
        <v>792</v>
      </c>
      <c r="F356" s="2552">
        <v>437</v>
      </c>
      <c r="G356" s="1" t="s">
        <v>1812</v>
      </c>
      <c r="H356" s="1" t="s">
        <v>1887</v>
      </c>
      <c r="J356" s="29"/>
      <c r="K356" s="303"/>
      <c r="L356" s="303"/>
      <c r="M356" s="303"/>
      <c r="N356" s="303"/>
      <c r="O356" s="303"/>
      <c r="P356" s="303"/>
      <c r="Q356" s="303"/>
      <c r="R356" s="303"/>
    </row>
    <row r="357" spans="2:18" x14ac:dyDescent="0.3">
      <c r="B357" s="1" t="s">
        <v>2128</v>
      </c>
      <c r="C357" s="1" t="s">
        <v>2129</v>
      </c>
      <c r="D357" s="1" t="s">
        <v>2130</v>
      </c>
      <c r="E357" s="533">
        <v>0</v>
      </c>
      <c r="F357" s="2552">
        <v>0</v>
      </c>
      <c r="G357" s="1" t="s">
        <v>1812</v>
      </c>
      <c r="H357" s="1" t="s">
        <v>1887</v>
      </c>
      <c r="J357" s="29"/>
      <c r="K357" s="303"/>
      <c r="L357" s="303"/>
      <c r="M357" s="303"/>
      <c r="N357" s="303"/>
      <c r="O357" s="303"/>
      <c r="P357" s="303"/>
      <c r="Q357" s="303"/>
      <c r="R357" s="303"/>
    </row>
    <row r="358" spans="2:18" x14ac:dyDescent="0.3">
      <c r="B358" s="1" t="s">
        <v>1012</v>
      </c>
      <c r="C358" s="1" t="s">
        <v>1012</v>
      </c>
      <c r="D358" s="1" t="s">
        <v>3042</v>
      </c>
      <c r="E358" s="302">
        <v>0</v>
      </c>
      <c r="F358" s="1823">
        <v>0.08</v>
      </c>
      <c r="G358" s="1" t="s">
        <v>363</v>
      </c>
      <c r="H358" s="1" t="s">
        <v>2023</v>
      </c>
      <c r="J358" s="29"/>
      <c r="K358" s="303"/>
      <c r="L358" s="303"/>
      <c r="M358" s="303"/>
      <c r="N358" s="303"/>
      <c r="O358" s="303"/>
      <c r="P358" s="303"/>
      <c r="Q358" s="303"/>
      <c r="R358" s="303"/>
    </row>
    <row r="359" spans="2:18" x14ac:dyDescent="0.3">
      <c r="B359" s="1" t="s">
        <v>2120</v>
      </c>
      <c r="C359" s="1" t="s">
        <v>2120</v>
      </c>
      <c r="D359" s="1" t="s">
        <v>2125</v>
      </c>
      <c r="E359" s="533">
        <v>29125</v>
      </c>
      <c r="F359" s="533">
        <v>0</v>
      </c>
      <c r="G359" s="1" t="s">
        <v>363</v>
      </c>
      <c r="H359" s="1" t="s">
        <v>2023</v>
      </c>
      <c r="J359" s="29"/>
      <c r="K359" s="303"/>
      <c r="L359" s="303"/>
      <c r="M359" s="303"/>
      <c r="N359" s="303"/>
      <c r="O359" s="303"/>
      <c r="P359" s="303"/>
      <c r="Q359" s="303"/>
      <c r="R359" s="303"/>
    </row>
    <row r="360" spans="2:18" x14ac:dyDescent="0.3">
      <c r="B360" s="1" t="s">
        <v>2120</v>
      </c>
      <c r="C360" s="1" t="s">
        <v>2120</v>
      </c>
      <c r="D360" s="1" t="s">
        <v>2121</v>
      </c>
      <c r="E360" s="533">
        <v>0</v>
      </c>
      <c r="F360" s="533">
        <v>0</v>
      </c>
      <c r="G360" s="1" t="s">
        <v>363</v>
      </c>
      <c r="H360" s="1" t="s">
        <v>2023</v>
      </c>
      <c r="J360" s="29"/>
      <c r="K360" s="303"/>
      <c r="L360" s="303"/>
      <c r="M360" s="303"/>
      <c r="N360" s="303"/>
      <c r="O360" s="303"/>
      <c r="P360" s="303"/>
      <c r="Q360" s="303"/>
      <c r="R360" s="303"/>
    </row>
    <row r="361" spans="2:18" x14ac:dyDescent="0.3">
      <c r="B361" s="1" t="s">
        <v>2045</v>
      </c>
      <c r="C361" s="1" t="s">
        <v>2045</v>
      </c>
      <c r="D361" s="1" t="s">
        <v>3041</v>
      </c>
      <c r="E361" s="302">
        <v>0</v>
      </c>
      <c r="F361" s="1823">
        <v>7700000</v>
      </c>
      <c r="G361" s="1" t="s">
        <v>363</v>
      </c>
      <c r="H361" s="1" t="s">
        <v>2016</v>
      </c>
      <c r="J361" s="29"/>
      <c r="K361" s="533"/>
      <c r="L361" s="533"/>
      <c r="M361" s="533"/>
      <c r="N361" s="533"/>
      <c r="O361" s="533"/>
      <c r="P361" s="533"/>
      <c r="Q361" s="533"/>
      <c r="R361" s="533"/>
    </row>
    <row r="362" spans="2:18" x14ac:dyDescent="0.3">
      <c r="B362" s="1" t="s">
        <v>100</v>
      </c>
      <c r="C362" s="1" t="s">
        <v>100</v>
      </c>
      <c r="D362" s="1" t="s">
        <v>2119</v>
      </c>
      <c r="E362" s="533">
        <v>1483740</v>
      </c>
      <c r="F362" s="533">
        <v>764293</v>
      </c>
      <c r="G362" s="1" t="s">
        <v>747</v>
      </c>
      <c r="H362" s="1" t="s">
        <v>1541</v>
      </c>
      <c r="J362" s="29"/>
      <c r="K362" s="533"/>
      <c r="L362" s="533"/>
      <c r="M362" s="533"/>
      <c r="N362" s="533"/>
      <c r="O362" s="533"/>
      <c r="P362" s="533"/>
      <c r="Q362" s="533"/>
      <c r="R362" s="533"/>
    </row>
    <row r="363" spans="2:18" x14ac:dyDescent="0.3">
      <c r="B363" s="398" t="s">
        <v>953</v>
      </c>
      <c r="C363" s="398" t="s">
        <v>2064</v>
      </c>
      <c r="D363" s="398" t="s">
        <v>2117</v>
      </c>
      <c r="E363" s="2323">
        <v>-180000</v>
      </c>
      <c r="F363" s="2323">
        <v>0</v>
      </c>
      <c r="G363" s="398" t="s">
        <v>508</v>
      </c>
      <c r="H363" s="1" t="s">
        <v>1970</v>
      </c>
      <c r="J363" s="398"/>
      <c r="K363" s="533"/>
      <c r="L363" s="533"/>
      <c r="M363" s="533"/>
      <c r="N363" s="533"/>
      <c r="O363" s="533"/>
      <c r="P363" s="533"/>
      <c r="Q363" s="533"/>
      <c r="R363" s="533"/>
    </row>
    <row r="364" spans="2:18" x14ac:dyDescent="0.3">
      <c r="B364" s="398" t="s">
        <v>953</v>
      </c>
      <c r="C364" s="398" t="s">
        <v>2112</v>
      </c>
      <c r="D364" s="398" t="s">
        <v>2113</v>
      </c>
      <c r="E364" s="2323">
        <v>-6919</v>
      </c>
      <c r="F364" s="2323">
        <v>0</v>
      </c>
      <c r="G364" s="398" t="s">
        <v>508</v>
      </c>
      <c r="H364" s="1" t="s">
        <v>1303</v>
      </c>
      <c r="J364" s="398"/>
      <c r="K364" s="533"/>
      <c r="L364" s="533"/>
      <c r="M364" s="533"/>
      <c r="N364" s="533"/>
      <c r="O364" s="533"/>
      <c r="P364" s="533"/>
      <c r="Q364" s="533"/>
      <c r="R364" s="533"/>
    </row>
    <row r="365" spans="2:18" x14ac:dyDescent="0.3">
      <c r="B365" s="29" t="s">
        <v>1012</v>
      </c>
      <c r="C365" s="29" t="s">
        <v>1012</v>
      </c>
      <c r="D365" s="29" t="s">
        <v>2062</v>
      </c>
      <c r="E365" s="303">
        <v>0</v>
      </c>
      <c r="F365" s="303">
        <v>1196.7</v>
      </c>
      <c r="G365" s="29" t="s">
        <v>363</v>
      </c>
      <c r="H365" s="29" t="s">
        <v>2023</v>
      </c>
      <c r="I365" s="29"/>
      <c r="J365" s="29"/>
      <c r="K365" s="533"/>
      <c r="L365" s="533"/>
      <c r="M365" s="533"/>
      <c r="N365" s="533"/>
      <c r="O365" s="533"/>
      <c r="P365" s="533"/>
      <c r="Q365" s="533"/>
      <c r="R365" s="533"/>
    </row>
    <row r="366" spans="2:18" x14ac:dyDescent="0.3">
      <c r="B366" s="3246"/>
      <c r="C366" s="3246"/>
      <c r="D366" s="3246"/>
      <c r="E366" s="3247"/>
      <c r="F366" s="3247"/>
      <c r="G366" s="3246"/>
      <c r="H366" s="3246"/>
      <c r="I366" s="3246"/>
      <c r="J366"/>
      <c r="K366" s="533"/>
      <c r="L366" s="533"/>
      <c r="M366" s="533"/>
      <c r="N366" s="533"/>
      <c r="O366" s="533"/>
      <c r="P366" s="533"/>
      <c r="Q366" s="533"/>
      <c r="R366" s="533"/>
    </row>
    <row r="367" spans="2:18" x14ac:dyDescent="0.3">
      <c r="K367" s="533"/>
      <c r="L367" s="533"/>
      <c r="M367" s="533"/>
      <c r="N367" s="533"/>
      <c r="O367" s="533"/>
      <c r="P367" s="533"/>
      <c r="Q367" s="533"/>
      <c r="R367" s="533"/>
    </row>
    <row r="368" spans="2:18" x14ac:dyDescent="0.3">
      <c r="E368" s="1203"/>
      <c r="K368" s="533"/>
      <c r="L368" s="533"/>
      <c r="M368" s="533"/>
      <c r="N368" s="533"/>
      <c r="O368" s="533"/>
      <c r="P368" s="533"/>
      <c r="Q368" s="533"/>
      <c r="R368" s="533"/>
    </row>
    <row r="369" spans="5:18" x14ac:dyDescent="0.3">
      <c r="E369" s="1203"/>
      <c r="F369" s="1203"/>
      <c r="K369" s="533"/>
      <c r="L369" s="533"/>
      <c r="M369" s="533"/>
      <c r="N369" s="533"/>
      <c r="O369" s="533"/>
      <c r="P369" s="533"/>
      <c r="Q369" s="533"/>
      <c r="R369" s="533"/>
    </row>
    <row r="370" spans="5:18" x14ac:dyDescent="0.3">
      <c r="E370" s="1203"/>
      <c r="K370" s="533"/>
      <c r="L370" s="533"/>
      <c r="M370" s="533"/>
      <c r="N370" s="533"/>
      <c r="O370" s="533"/>
      <c r="P370" s="533"/>
      <c r="Q370" s="533"/>
      <c r="R370" s="533"/>
    </row>
    <row r="371" spans="5:18" x14ac:dyDescent="0.3">
      <c r="F371" s="1203"/>
      <c r="K371" s="533"/>
      <c r="L371" s="533"/>
      <c r="M371" s="533"/>
      <c r="N371" s="533"/>
      <c r="O371" s="533"/>
      <c r="P371" s="533"/>
      <c r="Q371" s="533"/>
      <c r="R371" s="533"/>
    </row>
    <row r="372" spans="5:18" x14ac:dyDescent="0.3">
      <c r="K372" s="533"/>
      <c r="L372" s="533"/>
      <c r="M372" s="533"/>
      <c r="N372" s="533"/>
      <c r="O372" s="533"/>
      <c r="P372" s="533"/>
      <c r="Q372" s="533"/>
      <c r="R372" s="533"/>
    </row>
    <row r="373" spans="5:18" x14ac:dyDescent="0.3">
      <c r="K373" s="533"/>
      <c r="L373" s="533"/>
      <c r="M373" s="533"/>
      <c r="N373" s="533"/>
      <c r="O373" s="533"/>
      <c r="P373" s="533"/>
      <c r="Q373" s="533"/>
      <c r="R373" s="533"/>
    </row>
    <row r="374" spans="5:18" x14ac:dyDescent="0.3">
      <c r="K374" s="533"/>
      <c r="L374" s="533"/>
      <c r="M374" s="533"/>
      <c r="N374" s="533"/>
      <c r="O374" s="533"/>
      <c r="P374" s="533"/>
      <c r="Q374" s="533"/>
      <c r="R374" s="533"/>
    </row>
    <row r="375" spans="5:18" x14ac:dyDescent="0.3">
      <c r="K375" s="533"/>
      <c r="L375" s="533"/>
      <c r="M375" s="533"/>
      <c r="N375" s="533"/>
      <c r="O375" s="533"/>
      <c r="P375" s="533"/>
      <c r="Q375" s="533"/>
      <c r="R375" s="533"/>
    </row>
    <row r="376" spans="5:18" x14ac:dyDescent="0.3">
      <c r="K376" s="533"/>
      <c r="L376" s="533"/>
      <c r="M376" s="533"/>
      <c r="N376" s="533"/>
      <c r="O376" s="533"/>
      <c r="P376" s="533"/>
      <c r="Q376" s="533"/>
      <c r="R376" s="533"/>
    </row>
    <row r="377" spans="5:18" x14ac:dyDescent="0.3">
      <c r="K377" s="533"/>
      <c r="L377" s="533"/>
      <c r="M377" s="533"/>
      <c r="N377" s="533"/>
      <c r="O377" s="533"/>
      <c r="P377" s="533"/>
      <c r="Q377" s="533"/>
      <c r="R377" s="533"/>
    </row>
    <row r="378" spans="5:18" x14ac:dyDescent="0.3">
      <c r="K378" s="533"/>
      <c r="L378" s="533"/>
      <c r="M378" s="533"/>
      <c r="N378" s="533"/>
      <c r="O378" s="533"/>
      <c r="P378" s="533"/>
      <c r="Q378" s="533"/>
      <c r="R378" s="533"/>
    </row>
    <row r="379" spans="5:18" x14ac:dyDescent="0.3">
      <c r="K379" s="533"/>
      <c r="L379" s="533"/>
      <c r="M379" s="533"/>
      <c r="N379" s="533"/>
      <c r="O379" s="533"/>
      <c r="P379" s="1746"/>
      <c r="Q379" s="1746"/>
      <c r="R379" s="533"/>
    </row>
    <row r="380" spans="5:18" x14ac:dyDescent="0.3">
      <c r="K380" s="533"/>
      <c r="L380" s="533"/>
      <c r="M380" s="533"/>
      <c r="N380" s="533"/>
      <c r="O380" s="533"/>
      <c r="P380" s="533"/>
      <c r="Q380" s="533"/>
      <c r="R380" s="533"/>
    </row>
    <row r="381" spans="5:18" x14ac:dyDescent="0.3">
      <c r="K381" s="533"/>
      <c r="L381" s="533"/>
      <c r="M381" s="533"/>
      <c r="N381" s="533"/>
      <c r="O381" s="533"/>
      <c r="P381" s="533"/>
      <c r="Q381" s="533"/>
      <c r="R381" s="533"/>
    </row>
    <row r="382" spans="5:18" x14ac:dyDescent="0.3">
      <c r="K382" s="533"/>
      <c r="L382" s="533"/>
      <c r="M382" s="533"/>
      <c r="N382" s="533"/>
      <c r="O382" s="533"/>
      <c r="P382" s="533"/>
      <c r="Q382" s="533"/>
      <c r="R382" s="533"/>
    </row>
    <row r="383" spans="5:18" x14ac:dyDescent="0.3">
      <c r="K383" s="533"/>
      <c r="L383" s="533"/>
      <c r="M383" s="533"/>
      <c r="N383" s="533"/>
      <c r="O383" s="533"/>
      <c r="P383" s="533"/>
      <c r="Q383" s="533"/>
      <c r="R383" s="533"/>
    </row>
    <row r="384" spans="5:18" x14ac:dyDescent="0.3">
      <c r="K384" s="533"/>
      <c r="L384" s="533"/>
      <c r="M384" s="533"/>
      <c r="N384" s="533"/>
      <c r="O384" s="533"/>
      <c r="P384" s="533"/>
      <c r="Q384" s="533"/>
      <c r="R384" s="533"/>
    </row>
    <row r="385" spans="11:18" x14ac:dyDescent="0.3">
      <c r="K385" s="533"/>
      <c r="L385" s="533"/>
      <c r="M385" s="533"/>
      <c r="N385" s="533"/>
      <c r="O385" s="533"/>
      <c r="P385" s="533"/>
      <c r="Q385" s="533"/>
      <c r="R385" s="533"/>
    </row>
    <row r="386" spans="11:18" x14ac:dyDescent="0.3">
      <c r="K386" s="533"/>
      <c r="L386" s="533"/>
      <c r="M386" s="533"/>
      <c r="N386" s="533"/>
      <c r="O386" s="533"/>
      <c r="P386" s="533"/>
      <c r="Q386" s="533"/>
      <c r="R386" s="533"/>
    </row>
    <row r="387" spans="11:18" x14ac:dyDescent="0.3">
      <c r="K387" s="533"/>
      <c r="L387" s="533"/>
      <c r="M387" s="533"/>
      <c r="N387" s="533"/>
      <c r="O387" s="533"/>
      <c r="P387" s="533"/>
      <c r="Q387" s="533"/>
      <c r="R387" s="533"/>
    </row>
    <row r="388" spans="11:18" x14ac:dyDescent="0.3">
      <c r="K388" s="533"/>
      <c r="L388" s="533"/>
      <c r="M388" s="533"/>
      <c r="N388" s="533"/>
      <c r="O388" s="533"/>
      <c r="P388" s="533"/>
      <c r="Q388" s="533"/>
      <c r="R388" s="533"/>
    </row>
    <row r="389" spans="11:18" x14ac:dyDescent="0.3">
      <c r="K389" s="533"/>
      <c r="L389" s="533"/>
      <c r="M389" s="533"/>
      <c r="N389" s="533"/>
      <c r="O389" s="533"/>
      <c r="P389" s="533"/>
      <c r="Q389" s="533"/>
      <c r="R389" s="533"/>
    </row>
    <row r="390" spans="11:18" x14ac:dyDescent="0.3">
      <c r="K390" s="533"/>
      <c r="L390" s="533"/>
      <c r="M390" s="533"/>
      <c r="N390" s="533"/>
      <c r="O390" s="533"/>
      <c r="P390" s="533"/>
      <c r="Q390" s="533"/>
      <c r="R390" s="533"/>
    </row>
    <row r="391" spans="11:18" x14ac:dyDescent="0.3">
      <c r="K391" s="533"/>
      <c r="L391" s="533"/>
      <c r="M391" s="533"/>
      <c r="N391" s="533"/>
      <c r="O391" s="533"/>
      <c r="P391" s="533"/>
      <c r="Q391" s="533"/>
      <c r="R391" s="533"/>
    </row>
    <row r="392" spans="11:18" x14ac:dyDescent="0.3">
      <c r="K392" s="533"/>
      <c r="L392" s="533"/>
      <c r="M392" s="533"/>
      <c r="N392" s="533"/>
      <c r="O392" s="533"/>
      <c r="P392" s="533"/>
      <c r="Q392" s="533"/>
      <c r="R392" s="533"/>
    </row>
    <row r="393" spans="11:18" x14ac:dyDescent="0.3">
      <c r="K393" s="533"/>
      <c r="L393" s="533"/>
      <c r="M393" s="533"/>
      <c r="N393" s="533"/>
      <c r="O393" s="533"/>
      <c r="P393" s="533"/>
      <c r="Q393" s="533"/>
      <c r="R393" s="533"/>
    </row>
    <row r="394" spans="11:18" x14ac:dyDescent="0.3">
      <c r="K394" s="533"/>
      <c r="L394" s="533"/>
      <c r="M394" s="533"/>
      <c r="N394" s="533"/>
      <c r="O394" s="533"/>
      <c r="P394" s="533"/>
      <c r="Q394" s="533"/>
      <c r="R394" s="533"/>
    </row>
    <row r="395" spans="11:18" x14ac:dyDescent="0.3">
      <c r="K395" s="533"/>
      <c r="L395" s="533"/>
      <c r="M395" s="533"/>
      <c r="N395" s="533"/>
      <c r="O395" s="533"/>
      <c r="P395" s="533"/>
      <c r="Q395" s="533"/>
      <c r="R395" s="533"/>
    </row>
    <row r="396" spans="11:18" x14ac:dyDescent="0.3">
      <c r="K396" s="533"/>
      <c r="L396" s="533"/>
      <c r="M396" s="533"/>
      <c r="N396" s="533"/>
      <c r="O396" s="533"/>
      <c r="P396" s="533"/>
      <c r="Q396" s="533"/>
      <c r="R396" s="533"/>
    </row>
    <row r="397" spans="11:18" x14ac:dyDescent="0.3">
      <c r="K397" s="533"/>
      <c r="L397" s="533"/>
      <c r="M397" s="533"/>
      <c r="N397" s="533"/>
      <c r="O397" s="533"/>
      <c r="P397" s="533"/>
      <c r="Q397" s="533"/>
      <c r="R397" s="533"/>
    </row>
    <row r="398" spans="11:18" x14ac:dyDescent="0.3">
      <c r="K398" s="533"/>
      <c r="L398" s="533"/>
      <c r="M398" s="533"/>
      <c r="N398" s="533"/>
      <c r="O398" s="533"/>
      <c r="P398" s="533"/>
      <c r="Q398" s="533"/>
      <c r="R398" s="533"/>
    </row>
    <row r="399" spans="11:18" x14ac:dyDescent="0.3">
      <c r="K399" s="533"/>
      <c r="L399" s="533"/>
      <c r="M399" s="533"/>
      <c r="N399" s="533"/>
      <c r="O399" s="533"/>
      <c r="P399" s="533"/>
      <c r="Q399" s="533"/>
      <c r="R399" s="533"/>
    </row>
    <row r="400" spans="11:18" x14ac:dyDescent="0.3">
      <c r="K400" s="533"/>
      <c r="L400" s="533"/>
      <c r="M400" s="533"/>
      <c r="N400" s="533"/>
      <c r="O400" s="533"/>
      <c r="P400" s="533"/>
      <c r="Q400" s="533"/>
      <c r="R400" s="533"/>
    </row>
    <row r="401" spans="11:18" x14ac:dyDescent="0.3">
      <c r="K401" s="533"/>
      <c r="L401" s="533"/>
      <c r="M401" s="533"/>
      <c r="N401" s="533"/>
      <c r="O401" s="533"/>
      <c r="P401" s="533"/>
      <c r="Q401" s="533"/>
      <c r="R401" s="533"/>
    </row>
    <row r="402" spans="11:18" x14ac:dyDescent="0.3">
      <c r="K402" s="533"/>
      <c r="L402" s="533"/>
      <c r="M402" s="533"/>
      <c r="N402" s="533"/>
      <c r="O402" s="533"/>
      <c r="P402" s="533"/>
      <c r="Q402" s="533"/>
      <c r="R402" s="533"/>
    </row>
    <row r="403" spans="11:18" x14ac:dyDescent="0.3">
      <c r="K403" s="533"/>
      <c r="L403" s="533"/>
      <c r="M403" s="533"/>
      <c r="N403" s="533"/>
      <c r="O403" s="533"/>
      <c r="P403" s="533"/>
      <c r="Q403" s="533"/>
      <c r="R403" s="533"/>
    </row>
    <row r="404" spans="11:18" x14ac:dyDescent="0.3">
      <c r="K404" s="533"/>
      <c r="L404" s="533"/>
      <c r="M404" s="533"/>
      <c r="N404" s="533"/>
      <c r="O404" s="533"/>
      <c r="P404" s="533"/>
      <c r="Q404" s="533"/>
      <c r="R404" s="533"/>
    </row>
    <row r="405" spans="11:18" x14ac:dyDescent="0.3">
      <c r="K405" s="533"/>
      <c r="L405" s="533"/>
      <c r="M405" s="533"/>
      <c r="N405" s="533"/>
      <c r="O405" s="533"/>
      <c r="P405" s="533"/>
      <c r="Q405" s="533"/>
      <c r="R405" s="533"/>
    </row>
    <row r="406" spans="11:18" x14ac:dyDescent="0.3">
      <c r="K406" s="533"/>
      <c r="L406" s="533"/>
      <c r="M406" s="533"/>
      <c r="N406" s="533"/>
      <c r="O406" s="533"/>
      <c r="P406" s="533"/>
      <c r="Q406" s="533"/>
      <c r="R406" s="533"/>
    </row>
    <row r="407" spans="11:18" x14ac:dyDescent="0.3">
      <c r="K407" s="533"/>
      <c r="L407" s="533"/>
      <c r="M407" s="533"/>
      <c r="N407" s="533"/>
      <c r="O407" s="533"/>
      <c r="P407" s="533"/>
      <c r="Q407" s="533"/>
      <c r="R407" s="533"/>
    </row>
    <row r="408" spans="11:18" x14ac:dyDescent="0.3">
      <c r="K408" s="533"/>
      <c r="L408" s="533"/>
      <c r="M408" s="533"/>
      <c r="N408" s="533"/>
      <c r="O408" s="533"/>
      <c r="P408" s="533"/>
      <c r="Q408" s="533"/>
      <c r="R408" s="533"/>
    </row>
    <row r="409" spans="11:18" x14ac:dyDescent="0.3">
      <c r="K409" s="533"/>
      <c r="L409" s="533"/>
      <c r="M409" s="533"/>
      <c r="N409" s="533"/>
      <c r="O409" s="533"/>
      <c r="P409" s="533"/>
      <c r="Q409" s="533"/>
      <c r="R409" s="533"/>
    </row>
    <row r="410" spans="11:18" x14ac:dyDescent="0.3">
      <c r="K410" s="533"/>
      <c r="L410" s="533"/>
      <c r="M410" s="533"/>
      <c r="N410" s="533"/>
      <c r="O410" s="533"/>
      <c r="P410" s="533"/>
      <c r="Q410" s="533"/>
      <c r="R410" s="533"/>
    </row>
    <row r="411" spans="11:18" x14ac:dyDescent="0.3">
      <c r="K411" s="533"/>
      <c r="L411" s="533"/>
      <c r="M411" s="533"/>
      <c r="N411" s="533"/>
      <c r="O411" s="533"/>
      <c r="P411" s="533"/>
      <c r="Q411" s="533"/>
      <c r="R411" s="533"/>
    </row>
    <row r="412" spans="11:18" x14ac:dyDescent="0.3">
      <c r="K412" s="533"/>
      <c r="L412" s="533"/>
      <c r="M412" s="533"/>
      <c r="N412" s="533"/>
      <c r="O412" s="533"/>
      <c r="P412" s="533"/>
      <c r="Q412" s="533"/>
      <c r="R412" s="533"/>
    </row>
    <row r="413" spans="11:18" x14ac:dyDescent="0.3">
      <c r="K413" s="533"/>
      <c r="L413" s="533"/>
      <c r="M413" s="533"/>
      <c r="N413" s="533"/>
      <c r="O413" s="533"/>
      <c r="P413" s="533"/>
      <c r="Q413" s="533"/>
      <c r="R413" s="533"/>
    </row>
    <row r="414" spans="11:18" x14ac:dyDescent="0.3">
      <c r="K414" s="533"/>
      <c r="L414" s="533"/>
      <c r="M414" s="533"/>
      <c r="N414" s="533"/>
      <c r="O414" s="533"/>
      <c r="P414" s="533"/>
      <c r="Q414" s="533"/>
      <c r="R414" s="533"/>
    </row>
    <row r="415" spans="11:18" x14ac:dyDescent="0.3">
      <c r="K415" s="533"/>
      <c r="L415" s="533"/>
      <c r="M415" s="533"/>
      <c r="N415" s="533"/>
      <c r="O415" s="533"/>
      <c r="P415" s="533"/>
      <c r="Q415" s="533"/>
      <c r="R415" s="533"/>
    </row>
    <row r="416" spans="11:18" x14ac:dyDescent="0.3">
      <c r="K416" s="533"/>
      <c r="L416" s="533"/>
      <c r="M416" s="533"/>
      <c r="N416" s="533"/>
      <c r="O416" s="533"/>
      <c r="P416" s="533"/>
      <c r="Q416" s="533"/>
      <c r="R416" s="533"/>
    </row>
    <row r="417" spans="11:18" x14ac:dyDescent="0.3">
      <c r="K417" s="533"/>
      <c r="L417" s="533"/>
      <c r="M417" s="533"/>
      <c r="N417" s="533"/>
      <c r="O417" s="533"/>
      <c r="P417" s="533"/>
      <c r="Q417" s="533"/>
      <c r="R417" s="533"/>
    </row>
    <row r="418" spans="11:18" x14ac:dyDescent="0.3">
      <c r="K418" s="533"/>
      <c r="L418" s="533"/>
      <c r="M418" s="533"/>
      <c r="N418" s="533"/>
      <c r="O418" s="533"/>
      <c r="P418" s="533"/>
      <c r="Q418" s="533"/>
      <c r="R418" s="533"/>
    </row>
    <row r="419" spans="11:18" x14ac:dyDescent="0.3">
      <c r="K419" s="533"/>
      <c r="L419" s="533"/>
      <c r="M419" s="533"/>
      <c r="N419" s="533"/>
      <c r="O419" s="533"/>
      <c r="P419" s="533"/>
      <c r="Q419" s="533"/>
      <c r="R419" s="533"/>
    </row>
    <row r="420" spans="11:18" x14ac:dyDescent="0.3">
      <c r="K420" s="533"/>
      <c r="L420" s="533"/>
      <c r="M420" s="533"/>
      <c r="N420" s="533"/>
      <c r="O420" s="533"/>
      <c r="P420" s="533"/>
      <c r="Q420" s="533"/>
      <c r="R420" s="533"/>
    </row>
    <row r="421" spans="11:18" x14ac:dyDescent="0.3">
      <c r="K421" s="533"/>
      <c r="L421" s="533"/>
      <c r="M421" s="533"/>
      <c r="N421" s="533"/>
      <c r="O421" s="533"/>
      <c r="P421" s="533"/>
      <c r="Q421" s="533"/>
      <c r="R421" s="533"/>
    </row>
    <row r="422" spans="11:18" x14ac:dyDescent="0.3">
      <c r="K422" s="533"/>
      <c r="L422" s="533"/>
      <c r="M422" s="533"/>
      <c r="N422" s="533"/>
      <c r="O422" s="533"/>
      <c r="P422" s="533"/>
      <c r="Q422" s="533"/>
      <c r="R422" s="533"/>
    </row>
    <row r="423" spans="11:18" x14ac:dyDescent="0.3">
      <c r="K423" s="533"/>
      <c r="L423" s="533"/>
      <c r="M423" s="533"/>
      <c r="N423" s="533"/>
      <c r="O423" s="533"/>
      <c r="P423" s="533"/>
      <c r="Q423" s="533"/>
      <c r="R423" s="533"/>
    </row>
    <row r="424" spans="11:18" x14ac:dyDescent="0.3">
      <c r="K424" s="533"/>
      <c r="L424" s="533"/>
      <c r="M424" s="533"/>
      <c r="N424" s="533"/>
      <c r="O424" s="533"/>
      <c r="P424" s="533"/>
      <c r="Q424" s="533"/>
      <c r="R424" s="533"/>
    </row>
    <row r="425" spans="11:18" x14ac:dyDescent="0.3">
      <c r="K425" s="533"/>
      <c r="L425" s="533"/>
      <c r="M425" s="533"/>
      <c r="N425" s="533"/>
      <c r="O425" s="533"/>
      <c r="P425" s="533"/>
      <c r="Q425" s="533"/>
      <c r="R425" s="533"/>
    </row>
    <row r="426" spans="11:18" x14ac:dyDescent="0.3">
      <c r="K426" s="533"/>
      <c r="L426" s="533"/>
      <c r="M426" s="533"/>
      <c r="N426" s="533"/>
      <c r="O426" s="533"/>
      <c r="P426" s="533"/>
      <c r="Q426" s="533"/>
      <c r="R426" s="533"/>
    </row>
    <row r="427" spans="11:18" x14ac:dyDescent="0.3">
      <c r="K427" s="533"/>
      <c r="L427" s="533"/>
      <c r="M427" s="533"/>
      <c r="N427" s="533"/>
      <c r="O427" s="533"/>
      <c r="P427" s="533"/>
      <c r="Q427" s="533"/>
      <c r="R427" s="533"/>
    </row>
    <row r="428" spans="11:18" x14ac:dyDescent="0.3">
      <c r="K428" s="533"/>
      <c r="L428" s="533"/>
      <c r="M428" s="533"/>
      <c r="N428" s="533"/>
      <c r="O428" s="533"/>
      <c r="P428" s="533"/>
      <c r="Q428" s="533"/>
      <c r="R428" s="533"/>
    </row>
    <row r="429" spans="11:18" x14ac:dyDescent="0.3">
      <c r="K429" s="533"/>
      <c r="L429" s="533"/>
      <c r="M429" s="533"/>
      <c r="N429" s="533"/>
      <c r="O429" s="533"/>
      <c r="P429" s="533"/>
      <c r="Q429" s="533"/>
      <c r="R429" s="533"/>
    </row>
    <row r="430" spans="11:18" x14ac:dyDescent="0.3">
      <c r="K430" s="533"/>
      <c r="L430" s="533"/>
      <c r="M430" s="533"/>
      <c r="N430" s="533"/>
      <c r="O430" s="533"/>
      <c r="P430" s="533"/>
      <c r="Q430" s="533"/>
      <c r="R430" s="533"/>
    </row>
    <row r="431" spans="11:18" x14ac:dyDescent="0.3">
      <c r="K431" s="533"/>
      <c r="L431" s="533"/>
      <c r="M431" s="533"/>
      <c r="N431" s="533"/>
      <c r="O431" s="533"/>
      <c r="P431" s="533"/>
      <c r="Q431" s="533"/>
      <c r="R431" s="533"/>
    </row>
    <row r="432" spans="11:18" x14ac:dyDescent="0.3">
      <c r="K432" s="533"/>
      <c r="L432" s="533"/>
      <c r="M432" s="533"/>
      <c r="N432" s="533"/>
      <c r="O432" s="533"/>
      <c r="P432" s="533"/>
      <c r="Q432" s="533"/>
      <c r="R432" s="533"/>
    </row>
    <row r="433" spans="11:18" x14ac:dyDescent="0.3">
      <c r="K433" s="533"/>
      <c r="L433" s="533"/>
      <c r="M433" s="533"/>
      <c r="N433" s="533"/>
      <c r="O433" s="533"/>
      <c r="P433" s="533"/>
      <c r="Q433" s="533"/>
      <c r="R433" s="533"/>
    </row>
    <row r="434" spans="11:18" x14ac:dyDescent="0.3">
      <c r="K434" s="533"/>
      <c r="L434" s="533"/>
      <c r="M434" s="533"/>
      <c r="N434" s="533"/>
      <c r="O434" s="533"/>
      <c r="P434" s="533"/>
      <c r="Q434" s="533"/>
      <c r="R434" s="533"/>
    </row>
    <row r="435" spans="11:18" x14ac:dyDescent="0.3">
      <c r="K435" s="533"/>
      <c r="L435" s="533"/>
      <c r="M435" s="533"/>
      <c r="N435" s="533"/>
      <c r="O435" s="533"/>
      <c r="P435" s="533"/>
      <c r="Q435" s="533"/>
      <c r="R435" s="533"/>
    </row>
    <row r="436" spans="11:18" x14ac:dyDescent="0.3">
      <c r="K436" s="533"/>
      <c r="L436" s="533"/>
      <c r="M436" s="533"/>
      <c r="N436" s="533"/>
      <c r="O436" s="533"/>
      <c r="P436" s="533"/>
      <c r="Q436" s="533"/>
      <c r="R436" s="533"/>
    </row>
    <row r="437" spans="11:18" x14ac:dyDescent="0.3">
      <c r="K437" s="533"/>
      <c r="L437" s="533"/>
      <c r="M437" s="533"/>
      <c r="N437" s="533"/>
      <c r="O437" s="533"/>
      <c r="P437" s="533"/>
      <c r="Q437" s="533"/>
      <c r="R437" s="533"/>
    </row>
    <row r="438" spans="11:18" x14ac:dyDescent="0.3">
      <c r="K438" s="533"/>
      <c r="L438" s="533"/>
      <c r="M438" s="533"/>
      <c r="N438" s="533"/>
      <c r="O438" s="533"/>
      <c r="P438" s="533"/>
      <c r="Q438" s="533"/>
      <c r="R438" s="533"/>
    </row>
    <row r="439" spans="11:18" x14ac:dyDescent="0.3">
      <c r="K439" s="533"/>
      <c r="L439" s="533"/>
      <c r="M439" s="533"/>
      <c r="N439" s="533"/>
      <c r="O439" s="533"/>
      <c r="P439" s="533"/>
      <c r="Q439" s="533"/>
      <c r="R439" s="533"/>
    </row>
    <row r="440" spans="11:18" x14ac:dyDescent="0.3">
      <c r="K440" s="533"/>
      <c r="L440" s="533"/>
      <c r="M440" s="533"/>
      <c r="N440" s="533"/>
      <c r="O440" s="533"/>
      <c r="P440" s="533"/>
      <c r="Q440" s="533"/>
      <c r="R440" s="533"/>
    </row>
    <row r="441" spans="11:18" x14ac:dyDescent="0.3">
      <c r="K441" s="533"/>
      <c r="L441" s="533"/>
      <c r="M441" s="533"/>
      <c r="N441" s="533"/>
      <c r="O441" s="533"/>
      <c r="P441" s="533"/>
      <c r="Q441" s="533"/>
      <c r="R441" s="533"/>
    </row>
    <row r="442" spans="11:18" x14ac:dyDescent="0.3">
      <c r="K442" s="533"/>
      <c r="L442" s="533"/>
      <c r="M442" s="533"/>
      <c r="N442" s="533"/>
      <c r="O442" s="533"/>
      <c r="P442" s="533"/>
      <c r="Q442" s="533"/>
      <c r="R442" s="533"/>
    </row>
    <row r="443" spans="11:18" x14ac:dyDescent="0.3">
      <c r="K443" s="533"/>
      <c r="L443" s="533"/>
      <c r="M443" s="533"/>
      <c r="N443" s="533"/>
      <c r="O443" s="533"/>
      <c r="P443" s="533"/>
      <c r="Q443" s="533"/>
      <c r="R443" s="533"/>
    </row>
    <row r="444" spans="11:18" x14ac:dyDescent="0.3">
      <c r="K444" s="533"/>
      <c r="L444" s="533"/>
      <c r="M444" s="533"/>
      <c r="N444" s="533"/>
      <c r="O444" s="533"/>
      <c r="P444" s="533"/>
      <c r="Q444" s="533"/>
      <c r="R444" s="533"/>
    </row>
    <row r="445" spans="11:18" x14ac:dyDescent="0.3">
      <c r="K445" s="533"/>
      <c r="L445" s="533"/>
      <c r="M445" s="533"/>
      <c r="N445" s="533"/>
      <c r="O445" s="533"/>
      <c r="P445" s="533"/>
      <c r="Q445" s="533"/>
      <c r="R445" s="533"/>
    </row>
    <row r="446" spans="11:18" x14ac:dyDescent="0.3">
      <c r="K446" s="533"/>
      <c r="L446" s="533"/>
      <c r="M446" s="533"/>
      <c r="N446" s="533"/>
      <c r="O446" s="533"/>
      <c r="P446" s="533"/>
      <c r="Q446" s="533"/>
      <c r="R446" s="533"/>
    </row>
    <row r="447" spans="11:18" x14ac:dyDescent="0.3">
      <c r="K447" s="533"/>
      <c r="L447" s="533"/>
      <c r="M447" s="533"/>
      <c r="N447" s="533"/>
      <c r="O447" s="533"/>
      <c r="P447" s="533"/>
      <c r="Q447" s="533"/>
      <c r="R447" s="533"/>
    </row>
    <row r="448" spans="11:18" x14ac:dyDescent="0.3">
      <c r="K448" s="533"/>
      <c r="L448" s="533"/>
      <c r="M448" s="533"/>
      <c r="N448" s="533"/>
      <c r="O448" s="533"/>
      <c r="P448" s="533"/>
      <c r="Q448" s="533"/>
      <c r="R448" s="533"/>
    </row>
    <row r="449" spans="11:18" x14ac:dyDescent="0.3">
      <c r="K449" s="533"/>
      <c r="L449" s="533"/>
      <c r="M449" s="533"/>
      <c r="N449" s="533"/>
      <c r="O449" s="533"/>
      <c r="P449" s="533"/>
      <c r="Q449" s="533"/>
      <c r="R449" s="533"/>
    </row>
    <row r="450" spans="11:18" x14ac:dyDescent="0.3">
      <c r="K450" s="533"/>
      <c r="L450" s="533"/>
      <c r="M450" s="533"/>
      <c r="N450" s="533"/>
      <c r="O450" s="533"/>
      <c r="P450" s="533"/>
      <c r="Q450" s="533"/>
      <c r="R450" s="533"/>
    </row>
    <row r="451" spans="11:18" x14ac:dyDescent="0.3">
      <c r="K451" s="533"/>
      <c r="L451" s="533"/>
      <c r="M451" s="533"/>
      <c r="N451" s="533"/>
      <c r="O451" s="533"/>
      <c r="P451" s="533"/>
      <c r="Q451" s="533"/>
      <c r="R451" s="533"/>
    </row>
    <row r="452" spans="11:18" x14ac:dyDescent="0.3">
      <c r="K452" s="533"/>
      <c r="L452" s="533"/>
      <c r="M452" s="533"/>
      <c r="N452" s="533"/>
      <c r="O452" s="533"/>
      <c r="P452" s="533"/>
      <c r="Q452" s="533"/>
      <c r="R452" s="533"/>
    </row>
    <row r="453" spans="11:18" x14ac:dyDescent="0.3">
      <c r="K453" s="533"/>
      <c r="L453" s="533"/>
      <c r="M453" s="533"/>
      <c r="N453" s="533"/>
      <c r="O453" s="533"/>
      <c r="P453" s="533"/>
      <c r="Q453" s="533"/>
      <c r="R453" s="533"/>
    </row>
    <row r="454" spans="11:18" x14ac:dyDescent="0.3">
      <c r="K454" s="533"/>
      <c r="L454" s="533"/>
      <c r="M454" s="533"/>
      <c r="N454" s="533"/>
      <c r="O454" s="533"/>
      <c r="P454" s="533"/>
      <c r="Q454" s="533"/>
      <c r="R454" s="533"/>
    </row>
    <row r="455" spans="11:18" x14ac:dyDescent="0.3">
      <c r="K455" s="533"/>
      <c r="L455" s="533"/>
      <c r="M455" s="533"/>
      <c r="N455" s="533"/>
      <c r="O455" s="533"/>
      <c r="P455" s="533"/>
      <c r="Q455" s="533"/>
      <c r="R455" s="533"/>
    </row>
    <row r="456" spans="11:18" x14ac:dyDescent="0.3">
      <c r="K456" s="533"/>
      <c r="L456" s="533"/>
      <c r="M456" s="533"/>
      <c r="N456" s="533"/>
      <c r="O456" s="533"/>
      <c r="P456" s="533"/>
      <c r="Q456" s="533"/>
      <c r="R456" s="533"/>
    </row>
    <row r="457" spans="11:18" x14ac:dyDescent="0.3">
      <c r="K457" s="533"/>
      <c r="L457" s="533"/>
      <c r="M457" s="533"/>
      <c r="N457" s="533"/>
      <c r="O457" s="533"/>
      <c r="P457" s="533"/>
      <c r="Q457" s="533"/>
      <c r="R457" s="533"/>
    </row>
    <row r="458" spans="11:18" x14ac:dyDescent="0.3">
      <c r="K458" s="533"/>
      <c r="L458" s="533"/>
      <c r="M458" s="533"/>
      <c r="N458" s="533"/>
      <c r="O458" s="533"/>
      <c r="P458" s="533"/>
      <c r="Q458" s="533"/>
      <c r="R458" s="533"/>
    </row>
    <row r="459" spans="11:18" x14ac:dyDescent="0.3">
      <c r="K459" s="533"/>
      <c r="L459" s="533"/>
      <c r="M459" s="533"/>
      <c r="N459" s="533"/>
      <c r="O459" s="533"/>
      <c r="P459" s="533"/>
      <c r="Q459" s="533"/>
      <c r="R459" s="533"/>
    </row>
    <row r="460" spans="11:18" x14ac:dyDescent="0.3">
      <c r="K460" s="533"/>
      <c r="L460" s="533"/>
      <c r="M460" s="533"/>
      <c r="N460" s="533"/>
      <c r="O460" s="533"/>
      <c r="P460" s="533"/>
      <c r="Q460" s="533"/>
      <c r="R460" s="533"/>
    </row>
    <row r="461" spans="11:18" x14ac:dyDescent="0.3">
      <c r="K461" s="533"/>
      <c r="L461" s="533"/>
      <c r="M461" s="533"/>
      <c r="N461" s="533"/>
      <c r="O461" s="533"/>
      <c r="P461" s="533"/>
      <c r="Q461" s="533"/>
      <c r="R461" s="533"/>
    </row>
    <row r="462" spans="11:18" x14ac:dyDescent="0.3">
      <c r="K462" s="533"/>
      <c r="L462" s="533"/>
      <c r="M462" s="533"/>
      <c r="N462" s="533"/>
      <c r="O462" s="533"/>
      <c r="P462" s="533"/>
      <c r="Q462" s="533"/>
      <c r="R462" s="533"/>
    </row>
    <row r="463" spans="11:18" x14ac:dyDescent="0.3">
      <c r="K463" s="533"/>
      <c r="L463" s="533"/>
      <c r="M463" s="533"/>
      <c r="N463" s="533"/>
      <c r="O463" s="533"/>
      <c r="P463" s="533"/>
      <c r="Q463" s="533"/>
      <c r="R463" s="533"/>
    </row>
    <row r="464" spans="11:18" x14ac:dyDescent="0.3">
      <c r="K464" s="533"/>
      <c r="L464" s="533"/>
      <c r="M464" s="533"/>
      <c r="N464" s="533"/>
      <c r="O464" s="533"/>
      <c r="P464" s="533"/>
      <c r="Q464" s="533"/>
      <c r="R464" s="533"/>
    </row>
    <row r="465" spans="11:18" x14ac:dyDescent="0.3">
      <c r="K465" s="533"/>
      <c r="L465" s="533"/>
      <c r="M465" s="533"/>
      <c r="N465" s="533"/>
      <c r="O465" s="533"/>
      <c r="P465" s="533"/>
      <c r="Q465" s="533"/>
      <c r="R465" s="533"/>
    </row>
    <row r="466" spans="11:18" x14ac:dyDescent="0.3">
      <c r="K466" s="533"/>
      <c r="L466" s="533"/>
      <c r="M466" s="533"/>
      <c r="N466" s="533"/>
      <c r="O466" s="533"/>
      <c r="P466" s="533"/>
      <c r="Q466" s="533"/>
      <c r="R466" s="533"/>
    </row>
    <row r="467" spans="11:18" x14ac:dyDescent="0.3">
      <c r="K467" s="533"/>
      <c r="L467" s="533"/>
      <c r="M467" s="533"/>
      <c r="N467" s="533"/>
      <c r="O467" s="533"/>
      <c r="P467" s="533"/>
      <c r="Q467" s="533"/>
      <c r="R467" s="533"/>
    </row>
    <row r="468" spans="11:18" x14ac:dyDescent="0.3">
      <c r="K468" s="533"/>
      <c r="L468" s="533"/>
      <c r="M468" s="533"/>
      <c r="N468" s="533"/>
      <c r="O468" s="533"/>
      <c r="P468" s="533"/>
      <c r="Q468" s="533"/>
      <c r="R468" s="533"/>
    </row>
    <row r="469" spans="11:18" x14ac:dyDescent="0.3">
      <c r="K469" s="533"/>
      <c r="L469" s="533"/>
      <c r="M469" s="533"/>
      <c r="N469" s="533"/>
      <c r="O469" s="533"/>
      <c r="P469" s="533"/>
      <c r="Q469" s="533"/>
      <c r="R469" s="533"/>
    </row>
    <row r="470" spans="11:18" x14ac:dyDescent="0.3">
      <c r="K470" s="533"/>
      <c r="L470" s="533"/>
      <c r="M470" s="533"/>
      <c r="N470" s="533"/>
      <c r="O470" s="533"/>
      <c r="P470" s="533"/>
      <c r="Q470" s="533"/>
      <c r="R470" s="533"/>
    </row>
    <row r="471" spans="11:18" x14ac:dyDescent="0.3">
      <c r="K471" s="533"/>
      <c r="L471" s="533"/>
      <c r="M471" s="533"/>
      <c r="N471" s="533"/>
      <c r="O471" s="533"/>
      <c r="P471" s="533"/>
      <c r="Q471" s="533"/>
      <c r="R471" s="533"/>
    </row>
    <row r="472" spans="11:18" x14ac:dyDescent="0.3">
      <c r="K472" s="533"/>
      <c r="L472" s="533"/>
      <c r="M472" s="533"/>
      <c r="N472" s="533"/>
      <c r="O472" s="533"/>
      <c r="P472" s="533"/>
      <c r="Q472" s="533"/>
      <c r="R472" s="533"/>
    </row>
    <row r="473" spans="11:18" x14ac:dyDescent="0.3">
      <c r="K473" s="533"/>
      <c r="L473" s="533"/>
      <c r="M473" s="533"/>
      <c r="N473" s="533"/>
      <c r="O473" s="533"/>
      <c r="P473" s="533"/>
      <c r="Q473" s="533"/>
      <c r="R473" s="533"/>
    </row>
    <row r="474" spans="11:18" x14ac:dyDescent="0.3">
      <c r="K474" s="533"/>
      <c r="L474" s="533"/>
      <c r="M474" s="533"/>
      <c r="N474" s="533"/>
      <c r="O474" s="533"/>
      <c r="P474" s="533"/>
      <c r="Q474" s="533"/>
      <c r="R474" s="533"/>
    </row>
    <row r="475" spans="11:18" x14ac:dyDescent="0.3">
      <c r="K475" s="533"/>
      <c r="L475" s="533"/>
      <c r="M475" s="533"/>
      <c r="N475" s="533"/>
      <c r="O475" s="533"/>
      <c r="P475" s="533"/>
      <c r="Q475" s="533"/>
      <c r="R475" s="533"/>
    </row>
    <row r="476" spans="11:18" x14ac:dyDescent="0.3">
      <c r="K476" s="533"/>
      <c r="L476" s="533"/>
      <c r="M476" s="533"/>
      <c r="N476" s="533"/>
      <c r="O476" s="533"/>
      <c r="P476" s="533"/>
      <c r="Q476" s="533"/>
      <c r="R476" s="533"/>
    </row>
    <row r="477" spans="11:18" x14ac:dyDescent="0.3">
      <c r="K477" s="533"/>
      <c r="L477" s="533"/>
      <c r="M477" s="533"/>
      <c r="N477" s="533"/>
      <c r="O477" s="533"/>
      <c r="P477" s="533"/>
      <c r="Q477" s="533"/>
      <c r="R477" s="533"/>
    </row>
    <row r="478" spans="11:18" x14ac:dyDescent="0.3">
      <c r="K478" s="533"/>
      <c r="L478" s="533"/>
      <c r="M478" s="533"/>
      <c r="N478" s="533"/>
      <c r="O478" s="533"/>
      <c r="P478" s="533"/>
      <c r="Q478" s="533"/>
      <c r="R478" s="533"/>
    </row>
    <row r="479" spans="11:18" x14ac:dyDescent="0.3">
      <c r="K479" s="533"/>
      <c r="L479" s="533"/>
      <c r="M479" s="533"/>
      <c r="N479" s="533"/>
      <c r="O479" s="533"/>
      <c r="P479" s="533"/>
      <c r="Q479" s="533"/>
      <c r="R479" s="533"/>
    </row>
    <row r="480" spans="11:18" x14ac:dyDescent="0.3">
      <c r="K480" s="533"/>
      <c r="L480" s="533"/>
      <c r="M480" s="533"/>
      <c r="N480" s="533"/>
      <c r="O480" s="533"/>
      <c r="P480" s="533"/>
      <c r="Q480" s="533"/>
      <c r="R480" s="533"/>
    </row>
    <row r="481" spans="11:18" x14ac:dyDescent="0.3">
      <c r="K481" s="533"/>
      <c r="L481" s="533"/>
      <c r="M481" s="533"/>
      <c r="N481" s="533"/>
      <c r="O481" s="533"/>
      <c r="P481" s="533"/>
      <c r="Q481" s="533"/>
      <c r="R481" s="533"/>
    </row>
    <row r="482" spans="11:18" x14ac:dyDescent="0.3">
      <c r="K482" s="533"/>
      <c r="L482" s="533"/>
      <c r="M482" s="533"/>
      <c r="N482" s="533"/>
      <c r="O482" s="533"/>
      <c r="P482" s="533"/>
      <c r="Q482" s="533"/>
      <c r="R482" s="533"/>
    </row>
    <row r="483" spans="11:18" x14ac:dyDescent="0.3">
      <c r="K483" s="533"/>
      <c r="L483" s="533"/>
      <c r="M483" s="533"/>
      <c r="N483" s="533"/>
      <c r="O483" s="533"/>
      <c r="P483" s="533"/>
      <c r="Q483" s="533"/>
      <c r="R483" s="533"/>
    </row>
    <row r="484" spans="11:18" x14ac:dyDescent="0.3">
      <c r="K484" s="533"/>
      <c r="L484" s="533"/>
      <c r="M484" s="533"/>
      <c r="N484" s="533"/>
      <c r="O484" s="533"/>
      <c r="P484" s="533"/>
      <c r="Q484" s="533"/>
      <c r="R484" s="533"/>
    </row>
    <row r="485" spans="11:18" x14ac:dyDescent="0.3">
      <c r="K485" s="533"/>
      <c r="L485" s="533"/>
      <c r="M485" s="533"/>
      <c r="N485" s="533"/>
      <c r="O485" s="533"/>
      <c r="P485" s="533"/>
      <c r="Q485" s="533"/>
      <c r="R485" s="533"/>
    </row>
    <row r="486" spans="11:18" x14ac:dyDescent="0.3">
      <c r="K486" s="533"/>
      <c r="L486" s="533"/>
      <c r="M486" s="533"/>
      <c r="N486" s="533"/>
      <c r="O486" s="533"/>
      <c r="P486" s="533"/>
      <c r="Q486" s="533"/>
      <c r="R486" s="533"/>
    </row>
    <row r="487" spans="11:18" x14ac:dyDescent="0.3">
      <c r="K487" s="533"/>
      <c r="L487" s="533"/>
      <c r="M487" s="533"/>
      <c r="N487" s="533"/>
      <c r="O487" s="533"/>
      <c r="P487" s="533"/>
      <c r="Q487" s="533"/>
      <c r="R487" s="533"/>
    </row>
    <row r="488" spans="11:18" x14ac:dyDescent="0.3">
      <c r="K488" s="533"/>
      <c r="L488" s="533"/>
      <c r="M488" s="533"/>
      <c r="N488" s="533"/>
      <c r="O488" s="533"/>
      <c r="P488" s="533"/>
      <c r="Q488" s="533"/>
      <c r="R488" s="533"/>
    </row>
    <row r="489" spans="11:18" x14ac:dyDescent="0.3">
      <c r="K489" s="533"/>
      <c r="L489" s="533"/>
      <c r="M489" s="533"/>
      <c r="N489" s="533"/>
      <c r="O489" s="533"/>
      <c r="P489" s="533"/>
      <c r="Q489" s="533"/>
      <c r="R489" s="533"/>
    </row>
    <row r="490" spans="11:18" x14ac:dyDescent="0.3">
      <c r="K490" s="533"/>
      <c r="L490" s="533"/>
      <c r="M490" s="533"/>
      <c r="N490" s="533"/>
      <c r="O490" s="533"/>
      <c r="P490" s="533"/>
      <c r="Q490" s="533"/>
      <c r="R490" s="533"/>
    </row>
    <row r="491" spans="11:18" x14ac:dyDescent="0.3">
      <c r="K491" s="533"/>
      <c r="L491" s="533"/>
      <c r="M491" s="533"/>
      <c r="N491" s="533"/>
      <c r="O491" s="533"/>
      <c r="P491" s="533"/>
      <c r="Q491" s="533"/>
      <c r="R491" s="533"/>
    </row>
    <row r="492" spans="11:18" x14ac:dyDescent="0.3">
      <c r="K492" s="533"/>
      <c r="L492" s="533"/>
      <c r="M492" s="533"/>
      <c r="N492" s="533"/>
      <c r="O492" s="533"/>
      <c r="P492" s="533"/>
      <c r="Q492" s="533"/>
      <c r="R492" s="533"/>
    </row>
    <row r="493" spans="11:18" x14ac:dyDescent="0.3">
      <c r="K493" s="533"/>
      <c r="L493" s="533"/>
      <c r="M493" s="533"/>
      <c r="N493" s="533"/>
      <c r="O493" s="533"/>
      <c r="P493" s="533"/>
      <c r="Q493" s="533"/>
      <c r="R493" s="533"/>
    </row>
    <row r="494" spans="11:18" x14ac:dyDescent="0.3">
      <c r="K494" s="533"/>
      <c r="L494" s="533"/>
      <c r="M494" s="533"/>
      <c r="N494" s="533"/>
      <c r="O494" s="533"/>
      <c r="P494" s="533"/>
      <c r="Q494" s="533"/>
      <c r="R494" s="533"/>
    </row>
    <row r="495" spans="11:18" x14ac:dyDescent="0.3">
      <c r="K495" s="533"/>
      <c r="L495" s="533"/>
      <c r="M495" s="533"/>
      <c r="N495" s="533"/>
      <c r="O495" s="533"/>
      <c r="P495" s="533"/>
      <c r="Q495" s="533"/>
      <c r="R495" s="533"/>
    </row>
    <row r="496" spans="11:18" x14ac:dyDescent="0.3">
      <c r="K496" s="533"/>
      <c r="L496" s="533"/>
      <c r="M496" s="533"/>
      <c r="N496" s="533"/>
      <c r="O496" s="533"/>
      <c r="P496" s="533"/>
      <c r="Q496" s="533"/>
      <c r="R496" s="533"/>
    </row>
    <row r="497" spans="11:18" x14ac:dyDescent="0.3">
      <c r="K497" s="533"/>
      <c r="L497" s="533"/>
      <c r="M497" s="533"/>
      <c r="N497" s="533"/>
      <c r="O497" s="533"/>
      <c r="P497" s="533"/>
      <c r="Q497" s="533"/>
      <c r="R497" s="533"/>
    </row>
    <row r="498" spans="11:18" x14ac:dyDescent="0.3">
      <c r="K498" s="533"/>
      <c r="L498" s="533"/>
      <c r="M498" s="533"/>
      <c r="N498" s="533"/>
      <c r="O498" s="533"/>
      <c r="P498" s="533"/>
      <c r="Q498" s="533"/>
      <c r="R498" s="533"/>
    </row>
    <row r="499" spans="11:18" x14ac:dyDescent="0.3">
      <c r="K499" s="533"/>
      <c r="L499" s="533"/>
      <c r="M499" s="533"/>
      <c r="N499" s="533"/>
      <c r="O499" s="533"/>
      <c r="P499" s="533"/>
      <c r="Q499" s="533"/>
      <c r="R499" s="533"/>
    </row>
    <row r="500" spans="11:18" x14ac:dyDescent="0.3">
      <c r="K500" s="533"/>
      <c r="L500" s="533"/>
      <c r="M500" s="533"/>
      <c r="N500" s="533"/>
      <c r="O500" s="533"/>
      <c r="P500" s="533"/>
      <c r="Q500" s="533"/>
      <c r="R500" s="533"/>
    </row>
    <row r="501" spans="11:18" x14ac:dyDescent="0.3">
      <c r="K501" s="533"/>
      <c r="L501" s="533"/>
      <c r="M501" s="533"/>
      <c r="N501" s="533"/>
      <c r="O501" s="533"/>
      <c r="P501" s="533"/>
      <c r="Q501" s="533"/>
      <c r="R501" s="533"/>
    </row>
    <row r="502" spans="11:18" x14ac:dyDescent="0.3">
      <c r="K502" s="533"/>
      <c r="L502" s="533"/>
      <c r="M502" s="533"/>
      <c r="N502" s="533"/>
      <c r="O502" s="533"/>
      <c r="P502" s="533"/>
      <c r="Q502" s="533"/>
      <c r="R502" s="533"/>
    </row>
    <row r="503" spans="11:18" x14ac:dyDescent="0.3">
      <c r="K503" s="533"/>
      <c r="L503" s="533"/>
      <c r="M503" s="533"/>
      <c r="N503" s="533"/>
      <c r="O503" s="533"/>
      <c r="P503" s="533"/>
      <c r="Q503" s="533"/>
      <c r="R503" s="533"/>
    </row>
    <row r="504" spans="11:18" x14ac:dyDescent="0.3">
      <c r="K504" s="533"/>
      <c r="L504" s="533"/>
      <c r="M504" s="533"/>
      <c r="N504" s="533"/>
      <c r="O504" s="533"/>
      <c r="P504" s="533"/>
      <c r="Q504" s="533"/>
      <c r="R504" s="533"/>
    </row>
    <row r="505" spans="11:18" x14ac:dyDescent="0.3">
      <c r="K505" s="533"/>
      <c r="L505" s="533"/>
      <c r="M505" s="533"/>
      <c r="N505" s="533"/>
      <c r="O505" s="533"/>
      <c r="P505" s="533"/>
      <c r="Q505" s="533"/>
      <c r="R505" s="533"/>
    </row>
    <row r="506" spans="11:18" x14ac:dyDescent="0.3">
      <c r="K506" s="533"/>
      <c r="L506" s="533"/>
      <c r="M506" s="533"/>
      <c r="N506" s="533"/>
      <c r="O506" s="533"/>
      <c r="P506" s="533"/>
      <c r="Q506" s="533"/>
      <c r="R506" s="533"/>
    </row>
    <row r="507" spans="11:18" x14ac:dyDescent="0.3">
      <c r="K507" s="533"/>
      <c r="L507" s="533"/>
      <c r="M507" s="533"/>
      <c r="N507" s="533"/>
      <c r="O507" s="533"/>
      <c r="P507" s="533"/>
      <c r="Q507" s="533"/>
      <c r="R507" s="533"/>
    </row>
    <row r="508" spans="11:18" x14ac:dyDescent="0.3">
      <c r="K508" s="533"/>
      <c r="L508" s="533"/>
      <c r="M508" s="533"/>
      <c r="N508" s="533"/>
      <c r="O508" s="533"/>
      <c r="P508" s="533"/>
      <c r="Q508" s="533"/>
      <c r="R508" s="533"/>
    </row>
    <row r="509" spans="11:18" x14ac:dyDescent="0.3">
      <c r="K509" s="533"/>
      <c r="L509" s="533"/>
      <c r="M509" s="533"/>
      <c r="N509" s="533"/>
      <c r="O509" s="533"/>
      <c r="P509" s="533"/>
      <c r="Q509" s="533"/>
      <c r="R509" s="533"/>
    </row>
    <row r="510" spans="11:18" x14ac:dyDescent="0.3">
      <c r="K510" s="533"/>
      <c r="L510" s="533"/>
      <c r="M510" s="533"/>
      <c r="N510" s="533"/>
      <c r="O510" s="533"/>
      <c r="P510" s="533"/>
      <c r="Q510" s="533"/>
      <c r="R510" s="533"/>
    </row>
    <row r="511" spans="11:18" x14ac:dyDescent="0.3">
      <c r="K511" s="533"/>
      <c r="L511" s="533"/>
      <c r="M511" s="533"/>
      <c r="N511" s="533"/>
      <c r="O511" s="533"/>
      <c r="P511" s="533"/>
      <c r="Q511" s="533"/>
      <c r="R511" s="533"/>
    </row>
    <row r="512" spans="11:18" x14ac:dyDescent="0.3">
      <c r="K512" s="533"/>
      <c r="L512" s="533"/>
      <c r="M512" s="533"/>
      <c r="N512" s="533"/>
      <c r="O512" s="533"/>
      <c r="P512" s="533"/>
      <c r="Q512" s="533"/>
      <c r="R512" s="533"/>
    </row>
    <row r="513" spans="11:18" x14ac:dyDescent="0.3">
      <c r="K513" s="533"/>
      <c r="L513" s="533"/>
      <c r="M513" s="533"/>
      <c r="N513" s="533"/>
      <c r="O513" s="533"/>
      <c r="P513" s="533"/>
      <c r="Q513" s="533"/>
      <c r="R513" s="533"/>
    </row>
    <row r="514" spans="11:18" x14ac:dyDescent="0.3">
      <c r="K514" s="533"/>
      <c r="L514" s="533"/>
      <c r="M514" s="533"/>
      <c r="N514" s="533"/>
      <c r="O514" s="533"/>
      <c r="P514" s="533"/>
      <c r="Q514" s="533"/>
      <c r="R514" s="533"/>
    </row>
    <row r="515" spans="11:18" x14ac:dyDescent="0.3">
      <c r="K515" s="533"/>
      <c r="L515" s="533"/>
      <c r="M515" s="533"/>
      <c r="N515" s="533"/>
      <c r="O515" s="533"/>
      <c r="P515" s="533"/>
      <c r="Q515" s="533"/>
      <c r="R515" s="533"/>
    </row>
    <row r="516" spans="11:18" x14ac:dyDescent="0.3">
      <c r="K516" s="533"/>
      <c r="L516" s="533"/>
      <c r="M516" s="533"/>
      <c r="N516" s="533"/>
      <c r="O516" s="533"/>
      <c r="P516" s="533"/>
      <c r="Q516" s="533"/>
      <c r="R516" s="533"/>
    </row>
    <row r="517" spans="11:18" x14ac:dyDescent="0.3">
      <c r="K517" s="533"/>
      <c r="L517" s="533"/>
      <c r="M517" s="533"/>
      <c r="N517" s="533"/>
      <c r="O517" s="533"/>
      <c r="P517" s="533"/>
      <c r="Q517" s="533"/>
      <c r="R517" s="533"/>
    </row>
    <row r="518" spans="11:18" x14ac:dyDescent="0.3">
      <c r="K518" s="533"/>
      <c r="L518" s="533"/>
      <c r="M518" s="533"/>
      <c r="N518" s="533"/>
      <c r="O518" s="533"/>
      <c r="P518" s="533"/>
      <c r="Q518" s="533"/>
      <c r="R518" s="533"/>
    </row>
    <row r="519" spans="11:18" x14ac:dyDescent="0.3">
      <c r="K519" s="533"/>
      <c r="L519" s="533"/>
      <c r="M519" s="533"/>
      <c r="N519" s="533"/>
      <c r="O519" s="533"/>
      <c r="P519" s="533"/>
      <c r="Q519" s="533"/>
      <c r="R519" s="533"/>
    </row>
    <row r="520" spans="11:18" x14ac:dyDescent="0.3">
      <c r="K520" s="533"/>
      <c r="L520" s="533"/>
      <c r="M520" s="533"/>
      <c r="N520" s="533"/>
      <c r="O520" s="533"/>
      <c r="P520" s="533"/>
      <c r="Q520" s="533"/>
      <c r="R520" s="533"/>
    </row>
    <row r="521" spans="11:18" x14ac:dyDescent="0.3">
      <c r="K521" s="533"/>
      <c r="L521" s="533"/>
      <c r="M521" s="533"/>
      <c r="N521" s="533"/>
      <c r="O521" s="533"/>
      <c r="P521" s="533"/>
      <c r="Q521" s="533"/>
      <c r="R521" s="533"/>
    </row>
    <row r="522" spans="11:18" x14ac:dyDescent="0.3">
      <c r="K522" s="533"/>
      <c r="L522" s="533"/>
      <c r="M522" s="533"/>
      <c r="N522" s="533"/>
      <c r="O522" s="533"/>
      <c r="P522" s="533"/>
      <c r="Q522" s="533"/>
      <c r="R522" s="533"/>
    </row>
    <row r="523" spans="11:18" x14ac:dyDescent="0.3">
      <c r="K523" s="533"/>
      <c r="L523" s="533"/>
      <c r="M523" s="533"/>
      <c r="N523" s="533"/>
      <c r="O523" s="533"/>
      <c r="P523" s="533"/>
      <c r="Q523" s="533"/>
      <c r="R523" s="533"/>
    </row>
    <row r="524" spans="11:18" x14ac:dyDescent="0.3">
      <c r="K524" s="533"/>
      <c r="L524" s="533"/>
      <c r="M524" s="533"/>
      <c r="N524" s="533"/>
      <c r="O524" s="533"/>
      <c r="P524" s="533"/>
      <c r="Q524" s="533"/>
      <c r="R524" s="533"/>
    </row>
    <row r="525" spans="11:18" x14ac:dyDescent="0.3">
      <c r="K525" s="533"/>
      <c r="L525" s="533"/>
      <c r="M525" s="533"/>
      <c r="N525" s="533"/>
      <c r="O525" s="533"/>
      <c r="P525" s="533"/>
      <c r="Q525" s="533"/>
      <c r="R525" s="533"/>
    </row>
    <row r="526" spans="11:18" x14ac:dyDescent="0.3">
      <c r="K526" s="533"/>
      <c r="L526" s="533"/>
      <c r="M526" s="533"/>
      <c r="N526" s="533"/>
      <c r="O526" s="533"/>
      <c r="P526" s="533"/>
      <c r="Q526" s="533"/>
      <c r="R526" s="533"/>
    </row>
    <row r="527" spans="11:18" x14ac:dyDescent="0.3">
      <c r="K527" s="533"/>
      <c r="L527" s="533"/>
      <c r="M527" s="533"/>
      <c r="N527" s="533"/>
      <c r="O527" s="533"/>
      <c r="P527" s="533"/>
      <c r="Q527" s="533"/>
      <c r="R527" s="533"/>
    </row>
    <row r="528" spans="11:18" x14ac:dyDescent="0.3">
      <c r="K528" s="533"/>
      <c r="L528" s="533"/>
      <c r="M528" s="533"/>
      <c r="N528" s="533"/>
      <c r="O528" s="533"/>
      <c r="P528" s="533"/>
      <c r="Q528" s="533"/>
      <c r="R528" s="533"/>
    </row>
    <row r="529" spans="11:18" x14ac:dyDescent="0.3">
      <c r="K529" s="533"/>
      <c r="L529" s="533"/>
      <c r="M529" s="533"/>
      <c r="N529" s="533"/>
      <c r="O529" s="533"/>
      <c r="P529" s="533"/>
      <c r="Q529" s="533"/>
      <c r="R529" s="533"/>
    </row>
    <row r="530" spans="11:18" x14ac:dyDescent="0.3">
      <c r="K530" s="533"/>
      <c r="L530" s="533"/>
      <c r="M530" s="533"/>
      <c r="N530" s="533"/>
      <c r="O530" s="533"/>
      <c r="P530" s="533"/>
      <c r="Q530" s="533"/>
      <c r="R530" s="533"/>
    </row>
    <row r="531" spans="11:18" x14ac:dyDescent="0.3">
      <c r="K531" s="533"/>
      <c r="L531" s="533"/>
      <c r="M531" s="533"/>
      <c r="N531" s="533"/>
      <c r="O531" s="533"/>
      <c r="P531" s="533"/>
      <c r="Q531" s="533"/>
      <c r="R531" s="533"/>
    </row>
    <row r="532" spans="11:18" x14ac:dyDescent="0.3">
      <c r="K532" s="533"/>
      <c r="L532" s="533"/>
      <c r="M532" s="533"/>
      <c r="N532" s="533"/>
      <c r="O532" s="533"/>
      <c r="P532" s="533"/>
      <c r="Q532" s="533"/>
      <c r="R532" s="533"/>
    </row>
    <row r="533" spans="11:18" x14ac:dyDescent="0.3">
      <c r="K533" s="533"/>
      <c r="L533" s="533"/>
      <c r="M533" s="533"/>
      <c r="N533" s="533"/>
      <c r="O533" s="533"/>
      <c r="P533" s="533"/>
      <c r="Q533" s="533"/>
      <c r="R533" s="533"/>
    </row>
    <row r="534" spans="11:18" x14ac:dyDescent="0.3">
      <c r="K534" s="533"/>
      <c r="L534" s="533"/>
      <c r="M534" s="533"/>
      <c r="N534" s="533"/>
      <c r="O534" s="533"/>
      <c r="P534" s="533"/>
      <c r="Q534" s="533"/>
      <c r="R534" s="533"/>
    </row>
    <row r="535" spans="11:18" x14ac:dyDescent="0.3">
      <c r="K535" s="533"/>
      <c r="L535" s="533"/>
      <c r="M535" s="533"/>
      <c r="N535" s="533"/>
      <c r="O535" s="533"/>
      <c r="P535" s="533"/>
      <c r="Q535" s="533"/>
      <c r="R535" s="533"/>
    </row>
    <row r="536" spans="11:18" x14ac:dyDescent="0.3">
      <c r="K536" s="533"/>
      <c r="L536" s="533"/>
      <c r="M536" s="533"/>
      <c r="N536" s="533"/>
      <c r="O536" s="533"/>
      <c r="P536" s="533"/>
      <c r="Q536" s="533"/>
      <c r="R536" s="533"/>
    </row>
    <row r="537" spans="11:18" x14ac:dyDescent="0.3">
      <c r="K537" s="533"/>
      <c r="L537" s="533"/>
      <c r="M537" s="533"/>
      <c r="N537" s="533"/>
      <c r="O537" s="533"/>
      <c r="P537" s="533"/>
      <c r="Q537" s="533"/>
      <c r="R537" s="533"/>
    </row>
    <row r="538" spans="11:18" x14ac:dyDescent="0.3">
      <c r="K538" s="533"/>
      <c r="L538" s="533"/>
      <c r="M538" s="533"/>
      <c r="N538" s="533"/>
      <c r="O538" s="533"/>
      <c r="P538" s="533"/>
      <c r="Q538" s="533"/>
      <c r="R538" s="533"/>
    </row>
    <row r="539" spans="11:18" x14ac:dyDescent="0.3">
      <c r="K539" s="533"/>
      <c r="L539" s="533"/>
      <c r="M539" s="533"/>
      <c r="N539" s="533"/>
      <c r="O539" s="533"/>
      <c r="P539" s="533"/>
      <c r="Q539" s="533"/>
      <c r="R539" s="533"/>
    </row>
    <row r="540" spans="11:18" x14ac:dyDescent="0.3">
      <c r="K540" s="533"/>
      <c r="L540" s="533"/>
      <c r="M540" s="533"/>
      <c r="N540" s="533"/>
      <c r="O540" s="533"/>
      <c r="P540" s="533"/>
      <c r="Q540" s="533"/>
      <c r="R540" s="533"/>
    </row>
    <row r="541" spans="11:18" x14ac:dyDescent="0.3">
      <c r="K541" s="533"/>
      <c r="L541" s="533"/>
      <c r="M541" s="533"/>
      <c r="N541" s="533"/>
      <c r="O541" s="533"/>
      <c r="P541" s="533"/>
      <c r="Q541" s="533"/>
      <c r="R541" s="533"/>
    </row>
    <row r="542" spans="11:18" x14ac:dyDescent="0.3">
      <c r="K542" s="533"/>
      <c r="L542" s="533"/>
      <c r="M542" s="533"/>
      <c r="N542" s="533"/>
      <c r="O542" s="533"/>
      <c r="P542" s="533"/>
      <c r="Q542" s="533"/>
      <c r="R542" s="533"/>
    </row>
    <row r="543" spans="11:18" x14ac:dyDescent="0.3">
      <c r="K543" s="533"/>
      <c r="L543" s="533"/>
      <c r="M543" s="533"/>
      <c r="N543" s="533"/>
      <c r="O543" s="533"/>
      <c r="P543" s="533"/>
      <c r="Q543" s="533"/>
      <c r="R543" s="533"/>
    </row>
    <row r="544" spans="11:18" x14ac:dyDescent="0.3">
      <c r="K544" s="533"/>
      <c r="L544" s="533"/>
      <c r="M544" s="533"/>
      <c r="N544" s="533"/>
      <c r="O544" s="533"/>
      <c r="P544" s="533"/>
      <c r="Q544" s="533"/>
      <c r="R544" s="533"/>
    </row>
    <row r="545" spans="11:18" x14ac:dyDescent="0.3">
      <c r="K545" s="533"/>
      <c r="L545" s="533"/>
      <c r="M545" s="533"/>
      <c r="N545" s="533"/>
      <c r="O545" s="533"/>
      <c r="P545" s="533"/>
      <c r="Q545" s="533"/>
      <c r="R545" s="533"/>
    </row>
    <row r="546" spans="11:18" x14ac:dyDescent="0.3">
      <c r="K546" s="533"/>
      <c r="L546" s="533"/>
      <c r="M546" s="533"/>
      <c r="N546" s="533"/>
      <c r="O546" s="533"/>
      <c r="P546" s="533"/>
      <c r="Q546" s="533"/>
      <c r="R546" s="533"/>
    </row>
    <row r="547" spans="11:18" x14ac:dyDescent="0.3">
      <c r="K547" s="533"/>
      <c r="L547" s="533"/>
      <c r="M547" s="533"/>
      <c r="N547" s="533"/>
      <c r="O547" s="533"/>
      <c r="P547" s="533"/>
      <c r="Q547" s="533"/>
      <c r="R547" s="533"/>
    </row>
    <row r="548" spans="11:18" x14ac:dyDescent="0.3">
      <c r="K548" s="533"/>
      <c r="L548" s="533"/>
      <c r="M548" s="533"/>
      <c r="N548" s="533"/>
      <c r="O548" s="533"/>
      <c r="P548" s="533"/>
      <c r="Q548" s="533"/>
      <c r="R548" s="533"/>
    </row>
    <row r="549" spans="11:18" x14ac:dyDescent="0.3">
      <c r="K549" s="533"/>
      <c r="L549" s="533"/>
      <c r="M549" s="533"/>
      <c r="N549" s="533"/>
      <c r="O549" s="533"/>
      <c r="P549" s="533"/>
      <c r="Q549" s="533"/>
      <c r="R549" s="533"/>
    </row>
    <row r="550" spans="11:18" x14ac:dyDescent="0.3">
      <c r="K550" s="533"/>
      <c r="L550" s="533"/>
      <c r="M550" s="533"/>
      <c r="N550" s="533"/>
      <c r="O550" s="533"/>
      <c r="P550" s="533"/>
      <c r="Q550" s="533"/>
      <c r="R550" s="533"/>
    </row>
    <row r="551" spans="11:18" x14ac:dyDescent="0.3">
      <c r="K551" s="533"/>
      <c r="L551" s="533"/>
      <c r="M551" s="533"/>
      <c r="N551" s="533"/>
      <c r="O551" s="533"/>
      <c r="P551" s="533"/>
      <c r="Q551" s="533"/>
      <c r="R551" s="533"/>
    </row>
    <row r="552" spans="11:18" x14ac:dyDescent="0.3">
      <c r="K552" s="533"/>
      <c r="L552" s="533"/>
      <c r="M552" s="533"/>
      <c r="N552" s="533"/>
      <c r="O552" s="533"/>
      <c r="P552" s="533"/>
      <c r="Q552" s="533"/>
      <c r="R552" s="533"/>
    </row>
    <row r="553" spans="11:18" x14ac:dyDescent="0.3">
      <c r="K553" s="533"/>
      <c r="L553" s="533"/>
      <c r="M553" s="533"/>
      <c r="N553" s="533"/>
      <c r="O553" s="533"/>
      <c r="P553" s="533"/>
      <c r="Q553" s="533"/>
      <c r="R553" s="533"/>
    </row>
    <row r="554" spans="11:18" x14ac:dyDescent="0.3">
      <c r="K554" s="533"/>
      <c r="L554" s="533"/>
      <c r="M554" s="533"/>
      <c r="N554" s="533"/>
      <c r="O554" s="533"/>
      <c r="P554" s="533"/>
      <c r="Q554" s="533"/>
      <c r="R554" s="533"/>
    </row>
    <row r="555" spans="11:18" x14ac:dyDescent="0.3">
      <c r="K555" s="533"/>
      <c r="L555" s="533"/>
      <c r="M555" s="533"/>
      <c r="N555" s="533"/>
      <c r="O555" s="533"/>
      <c r="P555" s="533"/>
      <c r="Q555" s="533"/>
      <c r="R555" s="533"/>
    </row>
    <row r="556" spans="11:18" x14ac:dyDescent="0.3">
      <c r="K556" s="533"/>
      <c r="L556" s="533"/>
      <c r="M556" s="533"/>
      <c r="N556" s="533"/>
      <c r="O556" s="533"/>
      <c r="P556" s="533"/>
      <c r="Q556" s="533"/>
      <c r="R556" s="533"/>
    </row>
    <row r="557" spans="11:18" x14ac:dyDescent="0.3">
      <c r="K557" s="533"/>
      <c r="L557" s="533"/>
      <c r="M557" s="533"/>
      <c r="N557" s="533"/>
      <c r="O557" s="533"/>
      <c r="P557" s="533"/>
      <c r="Q557" s="533"/>
      <c r="R557" s="533"/>
    </row>
    <row r="558" spans="11:18" x14ac:dyDescent="0.3">
      <c r="K558" s="533"/>
      <c r="L558" s="533"/>
      <c r="M558" s="533"/>
      <c r="N558" s="533"/>
      <c r="O558" s="533"/>
      <c r="P558" s="533"/>
      <c r="Q558" s="533"/>
      <c r="R558" s="533"/>
    </row>
    <row r="559" spans="11:18" x14ac:dyDescent="0.3">
      <c r="K559" s="533"/>
      <c r="L559" s="533"/>
      <c r="M559" s="533"/>
      <c r="N559" s="533"/>
      <c r="O559" s="533"/>
      <c r="P559" s="533"/>
      <c r="Q559" s="533"/>
      <c r="R559" s="533"/>
    </row>
    <row r="560" spans="11:18" x14ac:dyDescent="0.3">
      <c r="K560" s="533"/>
      <c r="L560" s="533"/>
      <c r="M560" s="533"/>
      <c r="N560" s="533"/>
      <c r="O560" s="533"/>
      <c r="P560" s="533"/>
      <c r="Q560" s="533"/>
      <c r="R560" s="533"/>
    </row>
    <row r="561" spans="11:18" x14ac:dyDescent="0.3">
      <c r="K561" s="533"/>
      <c r="L561" s="533"/>
      <c r="M561" s="533"/>
      <c r="N561" s="533"/>
      <c r="O561" s="533"/>
      <c r="P561" s="533"/>
      <c r="Q561" s="533"/>
      <c r="R561" s="533"/>
    </row>
    <row r="562" spans="11:18" x14ac:dyDescent="0.3">
      <c r="K562" s="533"/>
      <c r="L562" s="533"/>
      <c r="M562" s="533"/>
      <c r="N562" s="533"/>
      <c r="O562" s="533"/>
      <c r="P562" s="533"/>
      <c r="Q562" s="533"/>
      <c r="R562" s="533"/>
    </row>
    <row r="563" spans="11:18" x14ac:dyDescent="0.3">
      <c r="K563" s="533"/>
      <c r="L563" s="533"/>
      <c r="M563" s="533"/>
      <c r="N563" s="533"/>
      <c r="O563" s="533"/>
      <c r="P563" s="533"/>
      <c r="Q563" s="533"/>
      <c r="R563" s="533"/>
    </row>
    <row r="564" spans="11:18" x14ac:dyDescent="0.3">
      <c r="K564" s="533"/>
      <c r="L564" s="533"/>
      <c r="M564" s="533"/>
      <c r="N564" s="533"/>
      <c r="O564" s="533"/>
      <c r="P564" s="533"/>
      <c r="Q564" s="533"/>
      <c r="R564" s="533"/>
    </row>
    <row r="565" spans="11:18" x14ac:dyDescent="0.3">
      <c r="K565" s="533"/>
      <c r="L565" s="533"/>
      <c r="M565" s="533"/>
      <c r="N565" s="533"/>
      <c r="O565" s="533"/>
      <c r="P565" s="533"/>
      <c r="Q565" s="533"/>
      <c r="R565" s="533"/>
    </row>
    <row r="566" spans="11:18" x14ac:dyDescent="0.3">
      <c r="K566" s="533"/>
      <c r="L566" s="533"/>
      <c r="M566" s="533"/>
      <c r="N566" s="533"/>
      <c r="O566" s="533"/>
      <c r="P566" s="533"/>
      <c r="Q566" s="533"/>
      <c r="R566" s="533"/>
    </row>
    <row r="567" spans="11:18" x14ac:dyDescent="0.3">
      <c r="K567" s="533"/>
      <c r="L567" s="533"/>
      <c r="M567" s="533"/>
      <c r="N567" s="533"/>
      <c r="O567" s="533"/>
      <c r="P567" s="533"/>
      <c r="Q567" s="533"/>
      <c r="R567" s="533"/>
    </row>
    <row r="568" spans="11:18" x14ac:dyDescent="0.3">
      <c r="K568" s="533"/>
      <c r="L568" s="533"/>
      <c r="M568" s="533"/>
      <c r="N568" s="533"/>
      <c r="O568" s="533"/>
      <c r="P568" s="533"/>
      <c r="Q568" s="533"/>
      <c r="R568" s="533"/>
    </row>
    <row r="569" spans="11:18" x14ac:dyDescent="0.3">
      <c r="K569" s="533"/>
      <c r="L569" s="533"/>
      <c r="M569" s="533"/>
      <c r="N569" s="533"/>
      <c r="O569" s="533"/>
      <c r="P569" s="533"/>
      <c r="Q569" s="533"/>
      <c r="R569" s="533"/>
    </row>
    <row r="570" spans="11:18" x14ac:dyDescent="0.3">
      <c r="K570" s="533"/>
      <c r="L570" s="533"/>
      <c r="M570" s="533"/>
      <c r="N570" s="533"/>
      <c r="O570" s="533"/>
      <c r="P570" s="533"/>
      <c r="Q570" s="533"/>
      <c r="R570" s="533"/>
    </row>
    <row r="571" spans="11:18" x14ac:dyDescent="0.3">
      <c r="K571" s="533"/>
      <c r="L571" s="533"/>
      <c r="M571" s="533"/>
      <c r="N571" s="533"/>
      <c r="O571" s="533"/>
      <c r="P571" s="533"/>
      <c r="Q571" s="533"/>
      <c r="R571" s="533"/>
    </row>
    <row r="572" spans="11:18" x14ac:dyDescent="0.3">
      <c r="K572" s="533"/>
      <c r="L572" s="533"/>
      <c r="M572" s="533"/>
      <c r="N572" s="533"/>
      <c r="O572" s="533"/>
      <c r="P572" s="533"/>
      <c r="Q572" s="533"/>
      <c r="R572" s="533"/>
    </row>
    <row r="573" spans="11:18" x14ac:dyDescent="0.3">
      <c r="K573" s="533"/>
      <c r="L573" s="533"/>
      <c r="M573" s="533"/>
      <c r="N573" s="533"/>
      <c r="O573" s="533"/>
      <c r="P573" s="533"/>
      <c r="Q573" s="533"/>
      <c r="R573" s="533"/>
    </row>
    <row r="574" spans="11:18" x14ac:dyDescent="0.3">
      <c r="K574" s="533"/>
      <c r="L574" s="533"/>
      <c r="M574" s="533"/>
      <c r="N574" s="533"/>
      <c r="O574" s="533"/>
      <c r="P574" s="533"/>
      <c r="Q574" s="533"/>
      <c r="R574" s="533"/>
    </row>
    <row r="575" spans="11:18" x14ac:dyDescent="0.3">
      <c r="K575" s="533"/>
      <c r="L575" s="533"/>
      <c r="M575" s="533"/>
      <c r="N575" s="533"/>
      <c r="O575" s="533"/>
      <c r="P575" s="533"/>
      <c r="Q575" s="533"/>
      <c r="R575" s="533"/>
    </row>
    <row r="576" spans="11:18" x14ac:dyDescent="0.3">
      <c r="K576" s="533"/>
      <c r="L576" s="533"/>
      <c r="M576" s="533"/>
      <c r="N576" s="533"/>
      <c r="O576" s="533"/>
      <c r="P576" s="533"/>
      <c r="Q576" s="533"/>
      <c r="R576" s="533"/>
    </row>
    <row r="577" spans="11:18" x14ac:dyDescent="0.3">
      <c r="K577" s="533"/>
      <c r="L577" s="533"/>
      <c r="M577" s="533"/>
      <c r="N577" s="533"/>
      <c r="O577" s="533"/>
      <c r="P577" s="533"/>
      <c r="Q577" s="533"/>
      <c r="R577" s="533"/>
    </row>
    <row r="578" spans="11:18" x14ac:dyDescent="0.3">
      <c r="K578" s="533"/>
      <c r="L578" s="533"/>
      <c r="M578" s="533"/>
      <c r="N578" s="533"/>
      <c r="O578" s="533"/>
      <c r="P578" s="533"/>
      <c r="Q578" s="533"/>
      <c r="R578" s="533"/>
    </row>
    <row r="579" spans="11:18" x14ac:dyDescent="0.3">
      <c r="K579" s="533"/>
      <c r="L579" s="533"/>
      <c r="M579" s="533"/>
      <c r="N579" s="533"/>
      <c r="O579" s="533"/>
      <c r="P579" s="533"/>
      <c r="Q579" s="533"/>
      <c r="R579" s="533"/>
    </row>
    <row r="580" spans="11:18" x14ac:dyDescent="0.3">
      <c r="K580" s="533"/>
      <c r="L580" s="533"/>
      <c r="M580" s="533"/>
      <c r="N580" s="533"/>
      <c r="O580" s="533"/>
      <c r="P580" s="533"/>
      <c r="Q580" s="533"/>
      <c r="R580" s="533"/>
    </row>
    <row r="581" spans="11:18" x14ac:dyDescent="0.3">
      <c r="K581" s="533"/>
      <c r="L581" s="533"/>
      <c r="M581" s="533"/>
      <c r="N581" s="533"/>
      <c r="O581" s="533"/>
      <c r="P581" s="533"/>
      <c r="Q581" s="533"/>
      <c r="R581" s="533"/>
    </row>
    <row r="582" spans="11:18" x14ac:dyDescent="0.3">
      <c r="K582" s="533"/>
      <c r="L582" s="533"/>
      <c r="M582" s="533"/>
      <c r="N582" s="533"/>
      <c r="O582" s="533"/>
      <c r="P582" s="533"/>
      <c r="Q582" s="533"/>
      <c r="R582" s="533"/>
    </row>
    <row r="583" spans="11:18" x14ac:dyDescent="0.3">
      <c r="K583" s="533"/>
      <c r="L583" s="533"/>
      <c r="M583" s="533"/>
      <c r="N583" s="533"/>
      <c r="O583" s="533"/>
      <c r="P583" s="533"/>
      <c r="Q583" s="533"/>
      <c r="R583" s="533"/>
    </row>
    <row r="584" spans="11:18" x14ac:dyDescent="0.3">
      <c r="K584" s="533"/>
      <c r="L584" s="533"/>
      <c r="M584" s="533"/>
      <c r="N584" s="533"/>
      <c r="O584" s="533"/>
      <c r="P584" s="533"/>
      <c r="Q584" s="533"/>
      <c r="R584" s="533"/>
    </row>
    <row r="585" spans="11:18" x14ac:dyDescent="0.3">
      <c r="K585" s="533"/>
      <c r="L585" s="533"/>
      <c r="M585" s="533"/>
      <c r="N585" s="533"/>
      <c r="O585" s="533"/>
      <c r="P585" s="533"/>
      <c r="Q585" s="533"/>
      <c r="R585" s="533"/>
    </row>
    <row r="586" spans="11:18" x14ac:dyDescent="0.3">
      <c r="K586" s="533"/>
      <c r="L586" s="533"/>
      <c r="M586" s="533"/>
      <c r="N586" s="533"/>
      <c r="O586" s="533"/>
      <c r="P586" s="533"/>
      <c r="Q586" s="533"/>
      <c r="R586" s="533"/>
    </row>
    <row r="587" spans="11:18" x14ac:dyDescent="0.3">
      <c r="K587" s="533"/>
      <c r="L587" s="533"/>
      <c r="M587" s="533"/>
      <c r="N587" s="533"/>
      <c r="O587" s="533"/>
      <c r="P587" s="533"/>
      <c r="Q587" s="533"/>
      <c r="R587" s="533"/>
    </row>
    <row r="588" spans="11:18" x14ac:dyDescent="0.3">
      <c r="K588" s="533"/>
      <c r="L588" s="533"/>
      <c r="M588" s="533"/>
      <c r="N588" s="533"/>
      <c r="O588" s="533"/>
      <c r="P588" s="533"/>
      <c r="Q588" s="533"/>
      <c r="R588" s="533"/>
    </row>
    <row r="589" spans="11:18" x14ac:dyDescent="0.3">
      <c r="K589" s="533"/>
      <c r="L589" s="533"/>
      <c r="M589" s="533"/>
      <c r="N589" s="533"/>
      <c r="O589" s="533"/>
      <c r="P589" s="533"/>
      <c r="Q589" s="533"/>
      <c r="R589" s="533"/>
    </row>
    <row r="590" spans="11:18" x14ac:dyDescent="0.3">
      <c r="K590" s="533"/>
      <c r="L590" s="533"/>
      <c r="M590" s="533"/>
      <c r="N590" s="533"/>
      <c r="O590" s="533"/>
      <c r="P590" s="533"/>
      <c r="Q590" s="533"/>
      <c r="R590" s="533"/>
    </row>
    <row r="591" spans="11:18" x14ac:dyDescent="0.3">
      <c r="K591" s="533"/>
      <c r="L591" s="533"/>
      <c r="M591" s="533"/>
      <c r="N591" s="533"/>
      <c r="O591" s="533"/>
      <c r="P591" s="533"/>
      <c r="Q591" s="533"/>
      <c r="R591" s="533"/>
    </row>
    <row r="592" spans="11:18" x14ac:dyDescent="0.3">
      <c r="K592" s="533"/>
      <c r="L592" s="533"/>
      <c r="M592" s="533"/>
      <c r="N592" s="533"/>
      <c r="O592" s="533"/>
      <c r="P592" s="533"/>
      <c r="Q592" s="533"/>
      <c r="R592" s="533"/>
    </row>
    <row r="593" spans="11:18" x14ac:dyDescent="0.3">
      <c r="K593" s="533"/>
      <c r="L593" s="533"/>
      <c r="M593" s="533"/>
      <c r="N593" s="533"/>
      <c r="O593" s="533"/>
      <c r="P593" s="533"/>
      <c r="Q593" s="533"/>
      <c r="R593" s="533"/>
    </row>
    <row r="594" spans="11:18" x14ac:dyDescent="0.3">
      <c r="K594" s="533"/>
      <c r="L594" s="533"/>
      <c r="M594" s="533"/>
      <c r="N594" s="533"/>
      <c r="O594" s="533"/>
      <c r="P594" s="533"/>
      <c r="Q594" s="533"/>
      <c r="R594" s="533"/>
    </row>
    <row r="595" spans="11:18" x14ac:dyDescent="0.3">
      <c r="K595" s="533"/>
      <c r="L595" s="533"/>
      <c r="M595" s="533"/>
      <c r="N595" s="533"/>
      <c r="O595" s="533"/>
      <c r="P595" s="533"/>
      <c r="Q595" s="533"/>
      <c r="R595" s="533"/>
    </row>
    <row r="596" spans="11:18" x14ac:dyDescent="0.3">
      <c r="K596" s="533"/>
      <c r="L596" s="533"/>
      <c r="M596" s="533"/>
      <c r="N596" s="533"/>
      <c r="O596" s="533"/>
      <c r="P596" s="533"/>
      <c r="Q596" s="533"/>
      <c r="R596" s="533"/>
    </row>
    <row r="597" spans="11:18" x14ac:dyDescent="0.3">
      <c r="K597" s="533"/>
      <c r="L597" s="533"/>
      <c r="M597" s="533"/>
      <c r="N597" s="533"/>
      <c r="O597" s="533"/>
      <c r="P597" s="533"/>
      <c r="Q597" s="533"/>
      <c r="R597" s="533"/>
    </row>
    <row r="598" spans="11:18" x14ac:dyDescent="0.3">
      <c r="K598" s="533"/>
      <c r="L598" s="533"/>
      <c r="M598" s="533"/>
      <c r="N598" s="533"/>
      <c r="O598" s="533"/>
      <c r="P598" s="533"/>
      <c r="Q598" s="533"/>
      <c r="R598" s="533"/>
    </row>
    <row r="599" spans="11:18" x14ac:dyDescent="0.3">
      <c r="K599" s="533"/>
      <c r="L599" s="533"/>
      <c r="M599" s="533"/>
      <c r="N599" s="533"/>
      <c r="O599" s="533"/>
      <c r="P599" s="533"/>
      <c r="Q599" s="533"/>
      <c r="R599" s="533"/>
    </row>
    <row r="600" spans="11:18" x14ac:dyDescent="0.3">
      <c r="K600" s="533"/>
      <c r="L600" s="533"/>
      <c r="M600" s="533"/>
      <c r="N600" s="533"/>
      <c r="O600" s="533"/>
      <c r="P600" s="533"/>
      <c r="Q600" s="533"/>
      <c r="R600" s="533"/>
    </row>
    <row r="601" spans="11:18" x14ac:dyDescent="0.3">
      <c r="K601" s="533"/>
      <c r="L601" s="533"/>
      <c r="M601" s="533"/>
      <c r="N601" s="533"/>
      <c r="O601" s="533"/>
      <c r="P601" s="533"/>
      <c r="Q601" s="533"/>
      <c r="R601" s="533"/>
    </row>
    <row r="602" spans="11:18" x14ac:dyDescent="0.3">
      <c r="K602" s="533"/>
      <c r="L602" s="533"/>
      <c r="M602" s="533"/>
      <c r="N602" s="533"/>
      <c r="O602" s="533"/>
      <c r="P602" s="533"/>
      <c r="Q602" s="533"/>
      <c r="R602" s="533"/>
    </row>
    <row r="603" spans="11:18" x14ac:dyDescent="0.3">
      <c r="K603" s="533"/>
      <c r="L603" s="533"/>
      <c r="M603" s="533"/>
      <c r="N603" s="533"/>
      <c r="O603" s="533"/>
      <c r="P603" s="533"/>
      <c r="Q603" s="533"/>
      <c r="R603" s="533"/>
    </row>
    <row r="604" spans="11:18" x14ac:dyDescent="0.3">
      <c r="K604" s="533"/>
      <c r="L604" s="533"/>
      <c r="M604" s="533"/>
      <c r="N604" s="533"/>
      <c r="O604" s="533"/>
      <c r="P604" s="533"/>
      <c r="Q604" s="533"/>
      <c r="R604" s="533"/>
    </row>
    <row r="605" spans="11:18" x14ac:dyDescent="0.3">
      <c r="K605" s="533"/>
      <c r="L605" s="533"/>
      <c r="M605" s="533"/>
      <c r="N605" s="533"/>
      <c r="O605" s="533"/>
      <c r="P605" s="533"/>
      <c r="Q605" s="533"/>
      <c r="R605" s="533"/>
    </row>
    <row r="606" spans="11:18" x14ac:dyDescent="0.3">
      <c r="K606" s="533"/>
      <c r="L606" s="533"/>
      <c r="M606" s="533"/>
      <c r="N606" s="533"/>
      <c r="O606" s="533"/>
      <c r="P606" s="533"/>
      <c r="Q606" s="533"/>
      <c r="R606" s="533"/>
    </row>
    <row r="607" spans="11:18" x14ac:dyDescent="0.3">
      <c r="K607" s="533"/>
      <c r="L607" s="533"/>
      <c r="M607" s="533"/>
      <c r="N607" s="533"/>
      <c r="O607" s="533"/>
      <c r="P607" s="533"/>
      <c r="Q607" s="533"/>
      <c r="R607" s="533"/>
    </row>
    <row r="608" spans="11:18" x14ac:dyDescent="0.3">
      <c r="K608" s="533"/>
      <c r="L608" s="533"/>
      <c r="M608" s="533"/>
      <c r="N608" s="533"/>
      <c r="O608" s="533"/>
      <c r="P608" s="533"/>
      <c r="Q608" s="533"/>
      <c r="R608" s="533"/>
    </row>
    <row r="609" spans="11:18" x14ac:dyDescent="0.3">
      <c r="K609" s="533"/>
      <c r="L609" s="533"/>
      <c r="M609" s="533"/>
      <c r="N609" s="533"/>
      <c r="O609" s="533"/>
      <c r="P609" s="533"/>
      <c r="Q609" s="533"/>
      <c r="R609" s="533"/>
    </row>
    <row r="610" spans="11:18" x14ac:dyDescent="0.3">
      <c r="K610" s="533"/>
      <c r="L610" s="533"/>
      <c r="M610" s="533"/>
      <c r="N610" s="533"/>
      <c r="O610" s="533"/>
      <c r="P610" s="533"/>
      <c r="Q610" s="533"/>
      <c r="R610" s="533"/>
    </row>
    <row r="611" spans="11:18" x14ac:dyDescent="0.3">
      <c r="K611" s="533"/>
      <c r="L611" s="533"/>
      <c r="M611" s="533"/>
      <c r="N611" s="533"/>
      <c r="O611" s="533"/>
      <c r="P611" s="533"/>
      <c r="Q611" s="533"/>
      <c r="R611" s="533"/>
    </row>
    <row r="612" spans="11:18" x14ac:dyDescent="0.3">
      <c r="K612" s="533"/>
      <c r="L612" s="533"/>
      <c r="M612" s="533"/>
      <c r="N612" s="533"/>
      <c r="O612" s="533"/>
      <c r="P612" s="533"/>
      <c r="Q612" s="533"/>
      <c r="R612" s="533"/>
    </row>
    <row r="613" spans="11:18" x14ac:dyDescent="0.3">
      <c r="K613" s="533"/>
      <c r="L613" s="533"/>
      <c r="M613" s="533"/>
      <c r="N613" s="533"/>
      <c r="O613" s="533"/>
      <c r="P613" s="533"/>
      <c r="Q613" s="533"/>
      <c r="R613" s="533"/>
    </row>
    <row r="614" spans="11:18" x14ac:dyDescent="0.3">
      <c r="K614" s="533"/>
      <c r="L614" s="533"/>
      <c r="M614" s="533"/>
      <c r="N614" s="533"/>
      <c r="O614" s="533"/>
      <c r="P614" s="533"/>
      <c r="Q614" s="533"/>
      <c r="R614" s="533"/>
    </row>
    <row r="615" spans="11:18" x14ac:dyDescent="0.3">
      <c r="K615" s="533"/>
      <c r="L615" s="533"/>
      <c r="M615" s="533"/>
      <c r="N615" s="533"/>
      <c r="O615" s="533"/>
      <c r="P615" s="533"/>
      <c r="Q615" s="533"/>
      <c r="R615" s="533"/>
    </row>
    <row r="616" spans="11:18" x14ac:dyDescent="0.3">
      <c r="K616" s="533"/>
      <c r="L616" s="533"/>
      <c r="M616" s="533"/>
      <c r="N616" s="533"/>
      <c r="O616" s="533"/>
      <c r="P616" s="533"/>
      <c r="Q616" s="533"/>
      <c r="R616" s="533"/>
    </row>
    <row r="617" spans="11:18" x14ac:dyDescent="0.3">
      <c r="K617" s="533"/>
      <c r="L617" s="533"/>
      <c r="M617" s="533"/>
      <c r="N617" s="533"/>
      <c r="O617" s="533"/>
      <c r="P617" s="533"/>
      <c r="Q617" s="533"/>
      <c r="R617" s="533"/>
    </row>
    <row r="618" spans="11:18" x14ac:dyDescent="0.3">
      <c r="K618" s="533"/>
      <c r="L618" s="533"/>
      <c r="M618" s="533"/>
      <c r="N618" s="533"/>
      <c r="O618" s="533"/>
      <c r="P618" s="533"/>
      <c r="Q618" s="533"/>
      <c r="R618" s="533"/>
    </row>
    <row r="619" spans="11:18" x14ac:dyDescent="0.3">
      <c r="K619" s="302"/>
      <c r="L619" s="302"/>
      <c r="M619" s="302"/>
      <c r="N619" s="533"/>
      <c r="O619" s="533"/>
      <c r="P619" s="302"/>
      <c r="Q619" s="302"/>
      <c r="R619" s="302"/>
    </row>
    <row r="620" spans="11:18" x14ac:dyDescent="0.3">
      <c r="K620" s="302"/>
      <c r="L620" s="302"/>
      <c r="M620" s="302"/>
      <c r="N620" s="533"/>
      <c r="O620" s="533"/>
      <c r="P620" s="302"/>
      <c r="Q620" s="302"/>
      <c r="R620" s="302"/>
    </row>
    <row r="621" spans="11:18" x14ac:dyDescent="0.3">
      <c r="K621" s="302"/>
      <c r="L621" s="302"/>
      <c r="M621" s="302"/>
      <c r="N621" s="533"/>
      <c r="O621" s="533"/>
      <c r="P621" s="302"/>
      <c r="Q621" s="302"/>
      <c r="R621" s="302"/>
    </row>
    <row r="622" spans="11:18" x14ac:dyDescent="0.3">
      <c r="K622" s="302"/>
      <c r="L622" s="302"/>
      <c r="M622" s="302"/>
      <c r="N622" s="533"/>
      <c r="O622" s="533"/>
      <c r="P622" s="302"/>
      <c r="Q622" s="302"/>
      <c r="R622" s="302"/>
    </row>
    <row r="623" spans="11:18" x14ac:dyDescent="0.3">
      <c r="K623" s="302"/>
      <c r="L623" s="302"/>
      <c r="M623" s="302"/>
      <c r="N623" s="533"/>
      <c r="O623" s="533"/>
      <c r="P623" s="302"/>
      <c r="Q623" s="302"/>
      <c r="R623" s="302"/>
    </row>
    <row r="624" spans="11:18" x14ac:dyDescent="0.3">
      <c r="K624" s="302"/>
      <c r="L624" s="302"/>
      <c r="M624" s="302"/>
      <c r="N624" s="533"/>
      <c r="O624" s="533"/>
      <c r="P624" s="302"/>
      <c r="Q624" s="302"/>
      <c r="R624" s="302"/>
    </row>
    <row r="625" spans="11:18" x14ac:dyDescent="0.3">
      <c r="K625" s="302"/>
      <c r="L625" s="302"/>
      <c r="M625" s="302"/>
      <c r="N625" s="533"/>
      <c r="O625" s="533"/>
      <c r="P625" s="302"/>
      <c r="Q625" s="302"/>
      <c r="R625" s="302"/>
    </row>
    <row r="626" spans="11:18" x14ac:dyDescent="0.3">
      <c r="K626" s="302"/>
      <c r="L626" s="302"/>
      <c r="M626" s="302"/>
      <c r="N626" s="533"/>
      <c r="O626" s="533"/>
      <c r="P626" s="302"/>
      <c r="Q626" s="302"/>
      <c r="R626" s="302"/>
    </row>
    <row r="627" spans="11:18" x14ac:dyDescent="0.3">
      <c r="K627" s="302"/>
      <c r="L627" s="302"/>
      <c r="M627" s="302"/>
      <c r="N627" s="533"/>
      <c r="O627" s="533"/>
      <c r="P627" s="302"/>
      <c r="Q627" s="302"/>
      <c r="R627" s="302"/>
    </row>
    <row r="628" spans="11:18" x14ac:dyDescent="0.3">
      <c r="K628" s="302"/>
      <c r="L628" s="302"/>
      <c r="M628" s="302"/>
      <c r="N628" s="533"/>
      <c r="O628" s="533"/>
      <c r="P628" s="302"/>
      <c r="Q628" s="302"/>
      <c r="R628" s="302"/>
    </row>
    <row r="629" spans="11:18" x14ac:dyDescent="0.3">
      <c r="K629" s="302"/>
      <c r="L629" s="302"/>
      <c r="M629" s="302"/>
      <c r="N629" s="533"/>
      <c r="O629" s="533"/>
      <c r="P629" s="302"/>
      <c r="Q629" s="302"/>
      <c r="R629" s="302"/>
    </row>
    <row r="630" spans="11:18" x14ac:dyDescent="0.3">
      <c r="K630" s="302"/>
      <c r="L630" s="302"/>
      <c r="M630" s="302"/>
      <c r="N630" s="533"/>
      <c r="O630" s="533"/>
      <c r="P630" s="302"/>
      <c r="Q630" s="302"/>
      <c r="R630" s="302"/>
    </row>
    <row r="631" spans="11:18" x14ac:dyDescent="0.3">
      <c r="K631" s="302"/>
      <c r="L631" s="302"/>
      <c r="M631" s="302"/>
      <c r="N631" s="533"/>
      <c r="O631" s="533"/>
      <c r="P631" s="302"/>
      <c r="Q631" s="302"/>
      <c r="R631" s="302"/>
    </row>
    <row r="632" spans="11:18" x14ac:dyDescent="0.3">
      <c r="K632" s="302"/>
      <c r="L632" s="302"/>
      <c r="M632" s="302"/>
      <c r="N632" s="533"/>
      <c r="O632" s="533"/>
      <c r="P632" s="302"/>
      <c r="Q632" s="302"/>
      <c r="R632" s="302"/>
    </row>
    <row r="633" spans="11:18" x14ac:dyDescent="0.3">
      <c r="K633" s="302"/>
      <c r="L633" s="302"/>
      <c r="M633" s="302"/>
      <c r="N633" s="533"/>
      <c r="O633" s="533"/>
      <c r="P633" s="302"/>
      <c r="Q633" s="302"/>
      <c r="R633" s="302"/>
    </row>
    <row r="634" spans="11:18" x14ac:dyDescent="0.3">
      <c r="K634" s="302"/>
      <c r="L634" s="302"/>
      <c r="M634" s="302"/>
      <c r="N634" s="533"/>
      <c r="O634" s="533"/>
      <c r="P634" s="302"/>
      <c r="Q634" s="302"/>
      <c r="R634" s="302"/>
    </row>
    <row r="635" spans="11:18" x14ac:dyDescent="0.3">
      <c r="K635" s="302"/>
      <c r="L635" s="302"/>
      <c r="M635" s="302"/>
      <c r="N635" s="533"/>
      <c r="O635" s="533"/>
      <c r="P635" s="302"/>
      <c r="Q635" s="302"/>
      <c r="R635" s="302"/>
    </row>
    <row r="636" spans="11:18" x14ac:dyDescent="0.3">
      <c r="K636" s="302"/>
      <c r="L636" s="302"/>
      <c r="M636" s="302"/>
      <c r="N636" s="533"/>
      <c r="O636" s="533"/>
      <c r="P636" s="302"/>
      <c r="Q636" s="302"/>
      <c r="R636" s="302"/>
    </row>
    <row r="637" spans="11:18" x14ac:dyDescent="0.3">
      <c r="K637" s="302"/>
      <c r="L637" s="302"/>
      <c r="M637" s="302"/>
      <c r="N637" s="533"/>
      <c r="O637" s="533"/>
      <c r="P637" s="302"/>
      <c r="Q637" s="302"/>
      <c r="R637" s="302"/>
    </row>
    <row r="638" spans="11:18" x14ac:dyDescent="0.3">
      <c r="K638" s="302"/>
      <c r="L638" s="302"/>
      <c r="M638" s="302"/>
      <c r="N638" s="533"/>
      <c r="O638" s="533"/>
      <c r="P638" s="302"/>
      <c r="Q638" s="302"/>
      <c r="R638" s="302"/>
    </row>
    <row r="639" spans="11:18" x14ac:dyDescent="0.3">
      <c r="K639" s="302"/>
      <c r="L639" s="302"/>
      <c r="M639" s="302"/>
      <c r="N639" s="533"/>
      <c r="O639" s="533"/>
      <c r="P639" s="302"/>
      <c r="Q639" s="302"/>
      <c r="R639" s="302"/>
    </row>
    <row r="640" spans="11:18" x14ac:dyDescent="0.3">
      <c r="K640" s="302"/>
      <c r="L640" s="302"/>
      <c r="M640" s="302"/>
      <c r="N640" s="533"/>
      <c r="O640" s="533"/>
      <c r="P640" s="302"/>
      <c r="Q640" s="302"/>
      <c r="R640" s="302"/>
    </row>
    <row r="641" spans="11:18" x14ac:dyDescent="0.3">
      <c r="K641" s="302"/>
      <c r="L641" s="302"/>
      <c r="M641" s="302"/>
      <c r="N641" s="533"/>
      <c r="O641" s="533"/>
      <c r="P641" s="302"/>
      <c r="Q641" s="302"/>
      <c r="R641" s="302"/>
    </row>
    <row r="642" spans="11:18" x14ac:dyDescent="0.3">
      <c r="K642" s="302"/>
      <c r="L642" s="302"/>
      <c r="M642" s="302"/>
      <c r="N642" s="533"/>
      <c r="O642" s="533"/>
      <c r="P642" s="302"/>
      <c r="Q642" s="302"/>
      <c r="R642" s="302"/>
    </row>
    <row r="643" spans="11:18" x14ac:dyDescent="0.3">
      <c r="K643" s="302"/>
      <c r="L643" s="302"/>
      <c r="M643" s="302"/>
      <c r="N643" s="533"/>
      <c r="O643" s="533"/>
      <c r="P643" s="302"/>
      <c r="Q643" s="302"/>
      <c r="R643" s="302"/>
    </row>
    <row r="644" spans="11:18" x14ac:dyDescent="0.3">
      <c r="K644" s="302"/>
      <c r="L644" s="302"/>
      <c r="M644" s="302"/>
      <c r="N644" s="533"/>
      <c r="O644" s="533"/>
      <c r="P644" s="302"/>
      <c r="Q644" s="302"/>
      <c r="R644" s="302"/>
    </row>
    <row r="645" spans="11:18" x14ac:dyDescent="0.3">
      <c r="K645" s="302"/>
      <c r="L645" s="302"/>
      <c r="M645" s="302"/>
      <c r="N645" s="533"/>
      <c r="O645" s="533"/>
      <c r="P645" s="302"/>
      <c r="Q645" s="302"/>
      <c r="R645" s="302"/>
    </row>
    <row r="646" spans="11:18" x14ac:dyDescent="0.3">
      <c r="K646" s="302"/>
      <c r="L646" s="302"/>
      <c r="M646" s="302"/>
      <c r="N646" s="533"/>
      <c r="O646" s="533"/>
      <c r="P646" s="302"/>
      <c r="Q646" s="302"/>
      <c r="R646" s="302"/>
    </row>
    <row r="647" spans="11:18" x14ac:dyDescent="0.3">
      <c r="K647" s="302"/>
      <c r="L647" s="302"/>
      <c r="M647" s="302"/>
      <c r="N647" s="533"/>
      <c r="O647" s="533"/>
      <c r="P647" s="302"/>
      <c r="Q647" s="302"/>
      <c r="R647" s="302"/>
    </row>
    <row r="648" spans="11:18" x14ac:dyDescent="0.3">
      <c r="K648" s="302"/>
      <c r="L648" s="302"/>
      <c r="M648" s="302"/>
      <c r="N648" s="533"/>
      <c r="O648" s="533"/>
      <c r="P648" s="302"/>
      <c r="Q648" s="302"/>
      <c r="R648" s="302"/>
    </row>
    <row r="649" spans="11:18" x14ac:dyDescent="0.3">
      <c r="K649" s="302"/>
      <c r="L649" s="302"/>
      <c r="M649" s="302"/>
      <c r="N649" s="533"/>
      <c r="O649" s="533"/>
      <c r="P649" s="302"/>
      <c r="Q649" s="302"/>
      <c r="R649" s="302"/>
    </row>
    <row r="650" spans="11:18" x14ac:dyDescent="0.3">
      <c r="K650" s="302"/>
      <c r="L650" s="302"/>
      <c r="M650" s="302"/>
      <c r="N650" s="533"/>
      <c r="O650" s="533"/>
      <c r="P650" s="302"/>
      <c r="Q650" s="302"/>
      <c r="R650" s="302"/>
    </row>
    <row r="651" spans="11:18" x14ac:dyDescent="0.3">
      <c r="K651" s="302"/>
      <c r="L651" s="302"/>
      <c r="M651" s="302"/>
      <c r="N651" s="533"/>
      <c r="O651" s="533"/>
      <c r="P651" s="302"/>
      <c r="Q651" s="302"/>
      <c r="R651" s="302"/>
    </row>
    <row r="652" spans="11:18" x14ac:dyDescent="0.3">
      <c r="K652" s="302"/>
      <c r="L652" s="302"/>
      <c r="M652" s="302"/>
      <c r="N652" s="533"/>
      <c r="O652" s="533"/>
      <c r="P652" s="302"/>
      <c r="Q652" s="302"/>
      <c r="R652" s="302"/>
    </row>
    <row r="653" spans="11:18" x14ac:dyDescent="0.3">
      <c r="K653" s="302"/>
      <c r="L653" s="302"/>
      <c r="M653" s="302"/>
      <c r="N653" s="533"/>
      <c r="O653" s="533"/>
      <c r="P653" s="302"/>
      <c r="Q653" s="302"/>
      <c r="R653" s="302"/>
    </row>
    <row r="654" spans="11:18" x14ac:dyDescent="0.3">
      <c r="K654" s="302"/>
      <c r="L654" s="302"/>
      <c r="M654" s="302"/>
      <c r="N654" s="533"/>
      <c r="O654" s="533"/>
      <c r="P654" s="302"/>
      <c r="Q654" s="302"/>
      <c r="R654" s="302"/>
    </row>
    <row r="655" spans="11:18" x14ac:dyDescent="0.3">
      <c r="K655" s="302"/>
      <c r="L655" s="302"/>
      <c r="M655" s="302"/>
      <c r="N655" s="533"/>
      <c r="O655" s="533"/>
      <c r="P655" s="302"/>
      <c r="Q655" s="302"/>
      <c r="R655" s="302"/>
    </row>
    <row r="656" spans="11:18" x14ac:dyDescent="0.3">
      <c r="K656" s="302"/>
      <c r="L656" s="302"/>
      <c r="M656" s="302"/>
      <c r="N656" s="533"/>
      <c r="O656" s="533"/>
      <c r="P656" s="302"/>
      <c r="Q656" s="302"/>
      <c r="R656" s="302"/>
    </row>
    <row r="657" spans="11:18" x14ac:dyDescent="0.3">
      <c r="K657" s="302"/>
      <c r="L657" s="302"/>
      <c r="M657" s="302"/>
      <c r="N657" s="533"/>
      <c r="O657" s="533"/>
      <c r="P657" s="302"/>
      <c r="Q657" s="302"/>
      <c r="R657" s="302"/>
    </row>
    <row r="658" spans="11:18" x14ac:dyDescent="0.3">
      <c r="K658" s="302"/>
      <c r="L658" s="302"/>
      <c r="M658" s="302"/>
      <c r="N658" s="533"/>
      <c r="O658" s="533"/>
      <c r="P658" s="302"/>
      <c r="Q658" s="302"/>
      <c r="R658" s="302"/>
    </row>
    <row r="659" spans="11:18" x14ac:dyDescent="0.3">
      <c r="K659" s="302"/>
      <c r="L659" s="302"/>
      <c r="M659" s="302"/>
      <c r="N659" s="533"/>
      <c r="O659" s="533"/>
      <c r="P659" s="302"/>
      <c r="Q659" s="302"/>
      <c r="R659" s="302"/>
    </row>
    <row r="660" spans="11:18" x14ac:dyDescent="0.3">
      <c r="K660" s="302"/>
      <c r="L660" s="302"/>
      <c r="M660" s="302"/>
      <c r="N660" s="533"/>
      <c r="O660" s="533"/>
      <c r="P660" s="302"/>
      <c r="Q660" s="302"/>
      <c r="R660" s="302"/>
    </row>
    <row r="661" spans="11:18" x14ac:dyDescent="0.3">
      <c r="K661" s="302"/>
      <c r="L661" s="302"/>
      <c r="M661" s="302"/>
      <c r="N661" s="533"/>
      <c r="O661" s="533"/>
      <c r="P661" s="302"/>
      <c r="Q661" s="302"/>
      <c r="R661" s="302"/>
    </row>
    <row r="662" spans="11:18" x14ac:dyDescent="0.3">
      <c r="K662" s="302"/>
      <c r="L662" s="302"/>
      <c r="M662" s="302"/>
      <c r="N662" s="533"/>
      <c r="O662" s="533"/>
      <c r="P662" s="302"/>
      <c r="Q662" s="302"/>
      <c r="R662" s="302"/>
    </row>
    <row r="663" spans="11:18" x14ac:dyDescent="0.3">
      <c r="K663" s="302"/>
      <c r="L663" s="302"/>
      <c r="M663" s="302"/>
      <c r="N663" s="533"/>
      <c r="O663" s="533"/>
      <c r="P663" s="302"/>
      <c r="Q663" s="302"/>
      <c r="R663" s="302"/>
    </row>
    <row r="664" spans="11:18" x14ac:dyDescent="0.3">
      <c r="K664" s="302"/>
      <c r="L664" s="302"/>
      <c r="M664" s="302"/>
      <c r="N664" s="533"/>
      <c r="O664" s="533"/>
      <c r="P664" s="302"/>
      <c r="Q664" s="302"/>
      <c r="R664" s="302"/>
    </row>
    <row r="665" spans="11:18" x14ac:dyDescent="0.3">
      <c r="K665" s="302"/>
      <c r="L665" s="302"/>
      <c r="M665" s="302"/>
      <c r="N665" s="533"/>
      <c r="O665" s="533"/>
      <c r="P665" s="302"/>
      <c r="Q665" s="302"/>
      <c r="R665" s="302"/>
    </row>
    <row r="666" spans="11:18" x14ac:dyDescent="0.3">
      <c r="K666" s="302"/>
      <c r="L666" s="302"/>
      <c r="M666" s="302"/>
      <c r="N666" s="533"/>
      <c r="O666" s="533"/>
      <c r="P666" s="302"/>
      <c r="Q666" s="302"/>
      <c r="R666" s="302"/>
    </row>
    <row r="667" spans="11:18" x14ac:dyDescent="0.3">
      <c r="K667" s="302"/>
      <c r="L667" s="302"/>
      <c r="M667" s="302"/>
      <c r="N667" s="533"/>
      <c r="O667" s="533"/>
      <c r="P667" s="302"/>
      <c r="Q667" s="302"/>
      <c r="R667" s="302"/>
    </row>
    <row r="668" spans="11:18" x14ac:dyDescent="0.3">
      <c r="K668" s="302"/>
      <c r="L668" s="302"/>
      <c r="M668" s="302"/>
      <c r="N668" s="533"/>
      <c r="O668" s="533"/>
      <c r="P668" s="302"/>
      <c r="Q668" s="302"/>
      <c r="R668" s="302"/>
    </row>
    <row r="669" spans="11:18" x14ac:dyDescent="0.3">
      <c r="K669" s="302"/>
      <c r="L669" s="302"/>
      <c r="M669" s="302"/>
      <c r="N669" s="533"/>
      <c r="O669" s="533"/>
      <c r="P669" s="302"/>
      <c r="Q669" s="302"/>
      <c r="R669" s="302"/>
    </row>
    <row r="670" spans="11:18" x14ac:dyDescent="0.3">
      <c r="K670" s="302"/>
      <c r="L670" s="302"/>
      <c r="M670" s="302"/>
      <c r="N670" s="533"/>
      <c r="O670" s="533"/>
      <c r="P670" s="302"/>
      <c r="Q670" s="302"/>
      <c r="R670" s="302"/>
    </row>
    <row r="671" spans="11:18" x14ac:dyDescent="0.3">
      <c r="K671" s="302"/>
      <c r="L671" s="302"/>
      <c r="M671" s="302"/>
      <c r="N671" s="533"/>
      <c r="O671" s="533"/>
      <c r="P671" s="302"/>
      <c r="Q671" s="302"/>
      <c r="R671" s="302"/>
    </row>
    <row r="672" spans="11:18" x14ac:dyDescent="0.3">
      <c r="K672" s="302"/>
      <c r="L672" s="302"/>
      <c r="M672" s="302"/>
      <c r="N672" s="533"/>
      <c r="O672" s="533"/>
      <c r="P672" s="302"/>
      <c r="Q672" s="302"/>
      <c r="R672" s="302"/>
    </row>
    <row r="673" spans="11:18" x14ac:dyDescent="0.3">
      <c r="K673" s="302"/>
      <c r="L673" s="302"/>
      <c r="M673" s="302"/>
      <c r="N673" s="533"/>
      <c r="O673" s="533"/>
      <c r="P673" s="302"/>
      <c r="Q673" s="302"/>
      <c r="R673" s="302"/>
    </row>
    <row r="674" spans="11:18" x14ac:dyDescent="0.3">
      <c r="K674" s="302"/>
      <c r="L674" s="302"/>
      <c r="M674" s="302"/>
      <c r="N674" s="533"/>
      <c r="O674" s="533"/>
      <c r="P674" s="302"/>
      <c r="Q674" s="302"/>
      <c r="R674" s="302"/>
    </row>
    <row r="675" spans="11:18" x14ac:dyDescent="0.3">
      <c r="K675" s="302"/>
      <c r="L675" s="302"/>
      <c r="M675" s="302"/>
      <c r="N675" s="533"/>
      <c r="O675" s="533"/>
      <c r="P675" s="302"/>
      <c r="Q675" s="302"/>
      <c r="R675" s="302"/>
    </row>
    <row r="676" spans="11:18" x14ac:dyDescent="0.3">
      <c r="K676" s="302"/>
      <c r="L676" s="302"/>
      <c r="M676" s="302"/>
      <c r="N676" s="533"/>
      <c r="O676" s="533"/>
      <c r="P676" s="302"/>
      <c r="Q676" s="302"/>
      <c r="R676" s="302"/>
    </row>
    <row r="677" spans="11:18" x14ac:dyDescent="0.3">
      <c r="K677" s="302"/>
      <c r="L677" s="302"/>
      <c r="M677" s="302"/>
      <c r="N677" s="533"/>
      <c r="O677" s="533"/>
      <c r="P677" s="302"/>
      <c r="Q677" s="302"/>
      <c r="R677" s="302"/>
    </row>
    <row r="678" spans="11:18" x14ac:dyDescent="0.3">
      <c r="K678" s="302"/>
      <c r="L678" s="302"/>
      <c r="M678" s="302"/>
      <c r="N678" s="533"/>
      <c r="O678" s="533"/>
      <c r="P678" s="302"/>
      <c r="Q678" s="302"/>
      <c r="R678" s="302"/>
    </row>
    <row r="679" spans="11:18" x14ac:dyDescent="0.3">
      <c r="K679" s="302"/>
      <c r="L679" s="302"/>
      <c r="M679" s="302"/>
      <c r="N679" s="533"/>
      <c r="O679" s="533"/>
      <c r="P679" s="302"/>
      <c r="Q679" s="302"/>
      <c r="R679" s="302"/>
    </row>
    <row r="680" spans="11:18" x14ac:dyDescent="0.3">
      <c r="K680" s="302"/>
      <c r="L680" s="302"/>
      <c r="M680" s="302"/>
      <c r="N680" s="533"/>
      <c r="O680" s="533"/>
      <c r="P680" s="302"/>
      <c r="Q680" s="302"/>
      <c r="R680" s="302"/>
    </row>
    <row r="681" spans="11:18" x14ac:dyDescent="0.3">
      <c r="K681" s="302"/>
      <c r="L681" s="302"/>
      <c r="M681" s="302"/>
      <c r="N681" s="533"/>
      <c r="O681" s="533"/>
      <c r="P681" s="302"/>
      <c r="Q681" s="302"/>
      <c r="R681" s="302"/>
    </row>
    <row r="682" spans="11:18" x14ac:dyDescent="0.3">
      <c r="K682" s="302"/>
      <c r="L682" s="302"/>
      <c r="M682" s="302"/>
      <c r="N682" s="533"/>
      <c r="O682" s="533"/>
      <c r="P682" s="302"/>
      <c r="Q682" s="302"/>
      <c r="R682" s="302"/>
    </row>
    <row r="683" spans="11:18" x14ac:dyDescent="0.3">
      <c r="K683" s="302"/>
      <c r="L683" s="302"/>
      <c r="M683" s="302"/>
      <c r="N683" s="533"/>
      <c r="O683" s="533"/>
      <c r="P683" s="302"/>
      <c r="Q683" s="302"/>
      <c r="R683" s="302"/>
    </row>
    <row r="684" spans="11:18" x14ac:dyDescent="0.3">
      <c r="K684" s="302"/>
      <c r="L684" s="302"/>
      <c r="M684" s="302"/>
      <c r="N684" s="533"/>
      <c r="O684" s="533"/>
      <c r="P684" s="302"/>
      <c r="Q684" s="302"/>
      <c r="R684" s="302"/>
    </row>
    <row r="685" spans="11:18" x14ac:dyDescent="0.3">
      <c r="K685" s="302"/>
      <c r="L685" s="302"/>
      <c r="M685" s="302"/>
      <c r="N685" s="533"/>
      <c r="O685" s="533"/>
      <c r="P685" s="302"/>
      <c r="Q685" s="302"/>
      <c r="R685" s="302"/>
    </row>
    <row r="686" spans="11:18" x14ac:dyDescent="0.3">
      <c r="K686" s="302"/>
      <c r="L686" s="302"/>
      <c r="M686" s="302"/>
      <c r="N686" s="533"/>
      <c r="O686" s="533"/>
      <c r="P686" s="302"/>
      <c r="Q686" s="302"/>
      <c r="R686" s="302"/>
    </row>
    <row r="687" spans="11:18" x14ac:dyDescent="0.3">
      <c r="K687" s="302"/>
      <c r="L687" s="302"/>
      <c r="M687" s="302"/>
      <c r="N687" s="533"/>
      <c r="O687" s="533"/>
      <c r="P687" s="302"/>
      <c r="Q687" s="302"/>
      <c r="R687" s="302"/>
    </row>
    <row r="688" spans="11:18" x14ac:dyDescent="0.3">
      <c r="K688" s="302"/>
      <c r="L688" s="302"/>
      <c r="M688" s="302"/>
      <c r="N688" s="533"/>
      <c r="O688" s="533"/>
      <c r="P688" s="302"/>
      <c r="Q688" s="302"/>
      <c r="R688" s="302"/>
    </row>
    <row r="689" spans="11:18" x14ac:dyDescent="0.3">
      <c r="K689" s="302"/>
      <c r="L689" s="302"/>
      <c r="M689" s="302"/>
      <c r="N689" s="533"/>
      <c r="O689" s="533"/>
      <c r="P689" s="302"/>
      <c r="Q689" s="302"/>
      <c r="R689" s="302"/>
    </row>
    <row r="690" spans="11:18" x14ac:dyDescent="0.3">
      <c r="K690" s="302"/>
      <c r="L690" s="302"/>
      <c r="M690" s="302"/>
      <c r="N690" s="533"/>
      <c r="O690" s="533"/>
      <c r="P690" s="302"/>
      <c r="Q690" s="302"/>
      <c r="R690" s="302"/>
    </row>
    <row r="691" spans="11:18" x14ac:dyDescent="0.3">
      <c r="K691" s="302"/>
      <c r="L691" s="302"/>
      <c r="M691" s="302"/>
      <c r="N691" s="533"/>
      <c r="O691" s="533"/>
      <c r="P691" s="302"/>
      <c r="Q691" s="302"/>
      <c r="R691" s="302"/>
    </row>
    <row r="692" spans="11:18" x14ac:dyDescent="0.3">
      <c r="K692" s="302"/>
      <c r="L692" s="302"/>
      <c r="M692" s="302"/>
      <c r="N692" s="533"/>
      <c r="O692" s="533"/>
      <c r="P692" s="302"/>
      <c r="Q692" s="302"/>
      <c r="R692" s="302"/>
    </row>
    <row r="693" spans="11:18" x14ac:dyDescent="0.3">
      <c r="K693" s="302"/>
      <c r="L693" s="302"/>
      <c r="M693" s="302"/>
      <c r="N693" s="533"/>
      <c r="O693" s="533"/>
      <c r="P693" s="302"/>
      <c r="Q693" s="302"/>
      <c r="R693" s="302"/>
    </row>
    <row r="694" spans="11:18" x14ac:dyDescent="0.3">
      <c r="K694" s="302"/>
      <c r="L694" s="302"/>
      <c r="M694" s="302"/>
      <c r="N694" s="533"/>
      <c r="O694" s="533"/>
      <c r="P694" s="302"/>
      <c r="Q694" s="302"/>
      <c r="R694" s="302"/>
    </row>
    <row r="695" spans="11:18" x14ac:dyDescent="0.3">
      <c r="K695" s="302"/>
      <c r="L695" s="302"/>
      <c r="M695" s="302"/>
      <c r="N695" s="533"/>
      <c r="O695" s="533"/>
      <c r="P695" s="302"/>
      <c r="Q695" s="302"/>
      <c r="R695" s="302"/>
    </row>
    <row r="696" spans="11:18" x14ac:dyDescent="0.3">
      <c r="K696" s="302"/>
      <c r="L696" s="302"/>
      <c r="M696" s="302"/>
      <c r="N696" s="533"/>
      <c r="O696" s="533"/>
      <c r="P696" s="302"/>
      <c r="Q696" s="302"/>
      <c r="R696" s="302"/>
    </row>
    <row r="697" spans="11:18" x14ac:dyDescent="0.3">
      <c r="K697" s="302"/>
      <c r="L697" s="302"/>
      <c r="M697" s="302"/>
      <c r="N697" s="533"/>
      <c r="O697" s="533"/>
      <c r="P697" s="302"/>
      <c r="Q697" s="302"/>
      <c r="R697" s="302"/>
    </row>
    <row r="698" spans="11:18" x14ac:dyDescent="0.3">
      <c r="K698" s="302"/>
      <c r="L698" s="302"/>
      <c r="M698" s="302"/>
      <c r="N698" s="533"/>
      <c r="O698" s="533"/>
      <c r="P698" s="302"/>
      <c r="Q698" s="302"/>
      <c r="R698" s="302"/>
    </row>
    <row r="699" spans="11:18" x14ac:dyDescent="0.3">
      <c r="K699" s="302"/>
      <c r="L699" s="302"/>
      <c r="M699" s="302"/>
      <c r="N699" s="533"/>
      <c r="O699" s="533"/>
      <c r="P699" s="302"/>
      <c r="Q699" s="302"/>
      <c r="R699" s="302"/>
    </row>
    <row r="700" spans="11:18" x14ac:dyDescent="0.3">
      <c r="K700" s="302"/>
      <c r="L700" s="302"/>
      <c r="M700" s="302"/>
      <c r="N700" s="533"/>
      <c r="O700" s="533"/>
      <c r="P700" s="302"/>
      <c r="Q700" s="302"/>
      <c r="R700" s="302"/>
    </row>
    <row r="701" spans="11:18" x14ac:dyDescent="0.3">
      <c r="K701" s="302"/>
      <c r="L701" s="302"/>
      <c r="M701" s="302"/>
      <c r="N701" s="533"/>
      <c r="O701" s="533"/>
      <c r="P701" s="302"/>
      <c r="Q701" s="302"/>
      <c r="R701" s="302"/>
    </row>
    <row r="702" spans="11:18" x14ac:dyDescent="0.3">
      <c r="K702" s="302"/>
      <c r="L702" s="302"/>
      <c r="M702" s="302"/>
      <c r="N702" s="533"/>
      <c r="O702" s="533"/>
      <c r="P702" s="302"/>
      <c r="Q702" s="302"/>
      <c r="R702" s="302"/>
    </row>
    <row r="703" spans="11:18" x14ac:dyDescent="0.3">
      <c r="K703" s="302"/>
      <c r="L703" s="302"/>
      <c r="M703" s="302"/>
      <c r="N703" s="533"/>
      <c r="O703" s="533"/>
      <c r="P703" s="302"/>
      <c r="Q703" s="302"/>
      <c r="R703" s="302"/>
    </row>
    <row r="704" spans="11:18" x14ac:dyDescent="0.3">
      <c r="K704" s="302"/>
      <c r="L704" s="302"/>
      <c r="M704" s="302"/>
      <c r="N704" s="533"/>
      <c r="O704" s="533"/>
      <c r="P704" s="302"/>
      <c r="Q704" s="302"/>
      <c r="R704" s="302"/>
    </row>
    <row r="705" spans="11:18" x14ac:dyDescent="0.3">
      <c r="K705" s="302"/>
      <c r="L705" s="302"/>
      <c r="M705" s="302"/>
      <c r="N705" s="533"/>
      <c r="O705" s="533"/>
      <c r="P705" s="302"/>
      <c r="Q705" s="302"/>
      <c r="R705" s="302"/>
    </row>
    <row r="706" spans="11:18" x14ac:dyDescent="0.3">
      <c r="K706" s="302"/>
      <c r="L706" s="302"/>
      <c r="M706" s="302"/>
      <c r="N706" s="533"/>
      <c r="O706" s="533"/>
      <c r="P706" s="302"/>
      <c r="Q706" s="302"/>
      <c r="R706" s="302"/>
    </row>
    <row r="707" spans="11:18" x14ac:dyDescent="0.3">
      <c r="K707" s="302"/>
      <c r="L707" s="302"/>
      <c r="M707" s="302"/>
      <c r="N707" s="533"/>
      <c r="O707" s="533"/>
      <c r="P707" s="302"/>
      <c r="Q707" s="302"/>
      <c r="R707" s="302"/>
    </row>
    <row r="708" spans="11:18" x14ac:dyDescent="0.3">
      <c r="K708" s="302"/>
      <c r="L708" s="302"/>
      <c r="M708" s="302"/>
      <c r="N708" s="533"/>
      <c r="O708" s="533"/>
      <c r="P708" s="302"/>
      <c r="Q708" s="302"/>
      <c r="R708" s="302"/>
    </row>
    <row r="709" spans="11:18" x14ac:dyDescent="0.3">
      <c r="K709" s="302"/>
      <c r="L709" s="302"/>
      <c r="M709" s="302"/>
      <c r="N709" s="533"/>
      <c r="O709" s="533"/>
      <c r="P709" s="302"/>
      <c r="Q709" s="302"/>
      <c r="R709" s="302"/>
    </row>
    <row r="710" spans="11:18" x14ac:dyDescent="0.3">
      <c r="K710" s="302"/>
      <c r="L710" s="302"/>
      <c r="M710" s="302"/>
      <c r="N710" s="533"/>
      <c r="O710" s="533"/>
      <c r="P710" s="302"/>
      <c r="Q710" s="302"/>
      <c r="R710" s="302"/>
    </row>
    <row r="711" spans="11:18" x14ac:dyDescent="0.3">
      <c r="K711" s="302"/>
      <c r="L711" s="302"/>
      <c r="M711" s="302"/>
      <c r="N711" s="533"/>
      <c r="O711" s="533"/>
      <c r="P711" s="302"/>
      <c r="Q711" s="302"/>
      <c r="R711" s="302"/>
    </row>
    <row r="712" spans="11:18" x14ac:dyDescent="0.3">
      <c r="K712" s="302"/>
      <c r="L712" s="302"/>
      <c r="M712" s="302"/>
      <c r="N712" s="533"/>
      <c r="O712" s="533"/>
      <c r="P712" s="302"/>
      <c r="Q712" s="302"/>
      <c r="R712" s="302"/>
    </row>
    <row r="713" spans="11:18" x14ac:dyDescent="0.3">
      <c r="K713" s="302"/>
      <c r="L713" s="302"/>
      <c r="M713" s="302"/>
      <c r="N713" s="533"/>
      <c r="O713" s="533"/>
      <c r="P713" s="302"/>
      <c r="Q713" s="302"/>
      <c r="R713" s="302"/>
    </row>
    <row r="714" spans="11:18" x14ac:dyDescent="0.3">
      <c r="K714" s="302"/>
      <c r="L714" s="302"/>
      <c r="M714" s="302"/>
      <c r="N714" s="533"/>
      <c r="O714" s="533"/>
      <c r="P714" s="302"/>
      <c r="Q714" s="302"/>
      <c r="R714" s="302"/>
    </row>
    <row r="715" spans="11:18" x14ac:dyDescent="0.3">
      <c r="K715" s="302"/>
      <c r="L715" s="302"/>
      <c r="M715" s="302"/>
      <c r="N715" s="533"/>
      <c r="O715" s="533"/>
      <c r="P715" s="302"/>
      <c r="Q715" s="302"/>
      <c r="R715" s="302"/>
    </row>
    <row r="716" spans="11:18" x14ac:dyDescent="0.3">
      <c r="K716" s="302"/>
      <c r="L716" s="302"/>
      <c r="M716" s="302"/>
      <c r="N716" s="533"/>
      <c r="O716" s="533"/>
      <c r="P716" s="302"/>
      <c r="Q716" s="302"/>
      <c r="R716" s="302"/>
    </row>
    <row r="717" spans="11:18" x14ac:dyDescent="0.3">
      <c r="K717" s="302"/>
      <c r="L717" s="302"/>
      <c r="M717" s="302"/>
      <c r="N717" s="533"/>
      <c r="O717" s="533"/>
      <c r="P717" s="302"/>
      <c r="Q717" s="302"/>
      <c r="R717" s="302"/>
    </row>
    <row r="718" spans="11:18" x14ac:dyDescent="0.3">
      <c r="K718" s="302"/>
      <c r="L718" s="302"/>
      <c r="M718" s="302"/>
      <c r="N718" s="533"/>
      <c r="O718" s="533"/>
      <c r="P718" s="302"/>
      <c r="Q718" s="302"/>
      <c r="R718" s="302"/>
    </row>
    <row r="719" spans="11:18" x14ac:dyDescent="0.3">
      <c r="K719" s="302"/>
      <c r="L719" s="302"/>
      <c r="M719" s="302"/>
      <c r="N719" s="533"/>
      <c r="O719" s="533"/>
      <c r="P719" s="302"/>
      <c r="Q719" s="302"/>
      <c r="R719" s="302"/>
    </row>
    <row r="720" spans="11:18" x14ac:dyDescent="0.3">
      <c r="K720" s="302"/>
      <c r="L720" s="302"/>
      <c r="M720" s="302"/>
      <c r="N720" s="533"/>
      <c r="O720" s="533"/>
      <c r="P720" s="302"/>
      <c r="Q720" s="302"/>
      <c r="R720" s="302"/>
    </row>
    <row r="721" spans="11:18" x14ac:dyDescent="0.3">
      <c r="K721" s="302"/>
      <c r="L721" s="302"/>
      <c r="M721" s="302"/>
      <c r="N721" s="533"/>
      <c r="O721" s="533"/>
      <c r="P721" s="302"/>
      <c r="Q721" s="302"/>
      <c r="R721" s="302"/>
    </row>
    <row r="722" spans="11:18" x14ac:dyDescent="0.3">
      <c r="K722" s="302"/>
      <c r="L722" s="302"/>
      <c r="M722" s="302"/>
      <c r="N722" s="533"/>
      <c r="O722" s="533"/>
      <c r="P722" s="302"/>
      <c r="Q722" s="302"/>
      <c r="R722" s="302"/>
    </row>
    <row r="723" spans="11:18" x14ac:dyDescent="0.3">
      <c r="K723" s="302"/>
      <c r="L723" s="302"/>
      <c r="M723" s="302"/>
      <c r="N723" s="533"/>
      <c r="O723" s="533"/>
      <c r="P723" s="302"/>
      <c r="Q723" s="302"/>
      <c r="R723" s="302"/>
    </row>
    <row r="724" spans="11:18" x14ac:dyDescent="0.3">
      <c r="K724" s="302"/>
      <c r="L724" s="302"/>
      <c r="M724" s="302"/>
      <c r="N724" s="533"/>
      <c r="O724" s="533"/>
      <c r="P724" s="302"/>
      <c r="Q724" s="302"/>
      <c r="R724" s="302"/>
    </row>
    <row r="725" spans="11:18" x14ac:dyDescent="0.3">
      <c r="K725" s="302"/>
      <c r="L725" s="302"/>
      <c r="M725" s="302"/>
      <c r="N725" s="533"/>
      <c r="O725" s="533"/>
      <c r="P725" s="302"/>
      <c r="Q725" s="302"/>
      <c r="R725" s="302"/>
    </row>
    <row r="726" spans="11:18" x14ac:dyDescent="0.3">
      <c r="N726" s="533"/>
      <c r="O726" s="533"/>
      <c r="P726" s="349"/>
      <c r="Q726" s="349"/>
    </row>
    <row r="727" spans="11:18" x14ac:dyDescent="0.3">
      <c r="N727" s="533"/>
      <c r="O727" s="533"/>
      <c r="P727" s="349"/>
      <c r="Q727" s="349"/>
    </row>
    <row r="728" spans="11:18" x14ac:dyDescent="0.3">
      <c r="N728" s="533"/>
      <c r="O728" s="533"/>
      <c r="P728" s="349"/>
      <c r="Q728" s="349"/>
    </row>
    <row r="729" spans="11:18" x14ac:dyDescent="0.3">
      <c r="N729" s="533"/>
      <c r="O729" s="533"/>
      <c r="P729" s="349"/>
      <c r="Q729" s="349"/>
    </row>
    <row r="730" spans="11:18" x14ac:dyDescent="0.3">
      <c r="N730" s="533"/>
      <c r="O730" s="533"/>
      <c r="P730" s="349"/>
      <c r="Q730" s="349"/>
    </row>
    <row r="731" spans="11:18" x14ac:dyDescent="0.3">
      <c r="N731" s="533"/>
      <c r="O731" s="533"/>
      <c r="P731" s="349"/>
      <c r="Q731" s="349"/>
    </row>
    <row r="732" spans="11:18" x14ac:dyDescent="0.3">
      <c r="N732" s="533"/>
      <c r="O732" s="533"/>
      <c r="P732" s="349"/>
      <c r="Q732" s="349"/>
    </row>
    <row r="733" spans="11:18" x14ac:dyDescent="0.3">
      <c r="N733" s="533"/>
      <c r="O733" s="533"/>
      <c r="P733" s="349"/>
      <c r="Q733" s="349"/>
    </row>
    <row r="734" spans="11:18" x14ac:dyDescent="0.3">
      <c r="N734" s="533"/>
      <c r="O734" s="533"/>
      <c r="P734" s="349"/>
      <c r="Q734" s="349"/>
    </row>
    <row r="735" spans="11:18" x14ac:dyDescent="0.3">
      <c r="N735" s="533"/>
      <c r="O735" s="533"/>
      <c r="P735" s="349"/>
      <c r="Q735" s="349"/>
    </row>
    <row r="736" spans="11:18" x14ac:dyDescent="0.3">
      <c r="N736" s="533"/>
      <c r="O736" s="533"/>
      <c r="P736" s="349"/>
      <c r="Q736" s="349"/>
    </row>
    <row r="737" spans="14:17" x14ac:dyDescent="0.3">
      <c r="N737" s="533"/>
      <c r="O737" s="533"/>
      <c r="P737" s="349"/>
      <c r="Q737" s="349"/>
    </row>
    <row r="738" spans="14:17" x14ac:dyDescent="0.3">
      <c r="N738" s="533"/>
      <c r="O738" s="533"/>
      <c r="P738" s="349"/>
      <c r="Q738" s="349"/>
    </row>
    <row r="739" spans="14:17" x14ac:dyDescent="0.3">
      <c r="N739" s="533"/>
      <c r="O739" s="533"/>
      <c r="P739" s="349"/>
      <c r="Q739" s="349"/>
    </row>
    <row r="740" spans="14:17" x14ac:dyDescent="0.3">
      <c r="N740" s="533"/>
      <c r="O740" s="533"/>
      <c r="P740" s="349"/>
      <c r="Q740" s="349"/>
    </row>
    <row r="741" spans="14:17" x14ac:dyDescent="0.3">
      <c r="N741" s="533"/>
      <c r="O741" s="533"/>
      <c r="P741" s="349"/>
      <c r="Q741" s="349"/>
    </row>
    <row r="742" spans="14:17" x14ac:dyDescent="0.3">
      <c r="N742" s="533"/>
      <c r="O742" s="533"/>
      <c r="P742" s="349"/>
      <c r="Q742" s="349"/>
    </row>
    <row r="743" spans="14:17" x14ac:dyDescent="0.3">
      <c r="N743" s="533"/>
      <c r="O743" s="533"/>
      <c r="P743" s="349"/>
      <c r="Q743" s="349"/>
    </row>
    <row r="744" spans="14:17" x14ac:dyDescent="0.3">
      <c r="N744" s="533"/>
      <c r="O744" s="533"/>
      <c r="P744" s="349"/>
      <c r="Q744" s="349"/>
    </row>
    <row r="745" spans="14:17" x14ac:dyDescent="0.3">
      <c r="N745" s="533"/>
      <c r="O745" s="533"/>
      <c r="P745" s="349"/>
      <c r="Q745" s="349"/>
    </row>
    <row r="746" spans="14:17" x14ac:dyDescent="0.3">
      <c r="N746" s="533"/>
      <c r="O746" s="533"/>
      <c r="P746" s="349"/>
      <c r="Q746" s="349"/>
    </row>
    <row r="747" spans="14:17" x14ac:dyDescent="0.3">
      <c r="N747" s="533"/>
      <c r="O747" s="533"/>
      <c r="P747" s="349"/>
      <c r="Q747" s="349"/>
    </row>
    <row r="748" spans="14:17" x14ac:dyDescent="0.3">
      <c r="N748" s="533"/>
      <c r="O748" s="533"/>
      <c r="P748" s="349"/>
      <c r="Q748" s="349"/>
    </row>
    <row r="749" spans="14:17" x14ac:dyDescent="0.3">
      <c r="N749" s="533"/>
      <c r="O749" s="533"/>
      <c r="P749" s="349"/>
      <c r="Q749" s="349"/>
    </row>
    <row r="750" spans="14:17" x14ac:dyDescent="0.3">
      <c r="N750" s="533"/>
      <c r="O750" s="533"/>
      <c r="P750" s="349"/>
      <c r="Q750" s="349"/>
    </row>
    <row r="751" spans="14:17" x14ac:dyDescent="0.3">
      <c r="N751" s="533"/>
      <c r="O751" s="533"/>
      <c r="P751" s="349"/>
      <c r="Q751" s="349"/>
    </row>
    <row r="752" spans="14:17" x14ac:dyDescent="0.3">
      <c r="N752" s="533"/>
      <c r="O752" s="533"/>
      <c r="P752" s="349"/>
      <c r="Q752" s="349"/>
    </row>
    <row r="753" spans="14:17" x14ac:dyDescent="0.3">
      <c r="N753" s="533"/>
      <c r="O753" s="533"/>
      <c r="P753" s="349"/>
      <c r="Q753" s="349"/>
    </row>
    <row r="754" spans="14:17" x14ac:dyDescent="0.3">
      <c r="N754" s="533"/>
      <c r="O754" s="533"/>
      <c r="P754" s="349"/>
      <c r="Q754" s="349"/>
    </row>
    <row r="755" spans="14:17" x14ac:dyDescent="0.3">
      <c r="N755" s="533"/>
      <c r="O755" s="533"/>
      <c r="P755" s="349"/>
      <c r="Q755" s="349"/>
    </row>
    <row r="756" spans="14:17" x14ac:dyDescent="0.3">
      <c r="N756" s="533"/>
      <c r="O756" s="533"/>
      <c r="P756" s="349"/>
      <c r="Q756" s="349"/>
    </row>
    <row r="757" spans="14:17" x14ac:dyDescent="0.3">
      <c r="N757" s="533"/>
      <c r="O757" s="533"/>
      <c r="P757" s="349"/>
      <c r="Q757" s="349"/>
    </row>
    <row r="758" spans="14:17" x14ac:dyDescent="0.3">
      <c r="N758" s="533"/>
      <c r="O758" s="533"/>
      <c r="P758" s="349"/>
      <c r="Q758" s="349"/>
    </row>
    <row r="759" spans="14:17" x14ac:dyDescent="0.3">
      <c r="N759" s="533"/>
      <c r="O759" s="533"/>
      <c r="P759" s="349"/>
      <c r="Q759" s="349"/>
    </row>
    <row r="760" spans="14:17" x14ac:dyDescent="0.3">
      <c r="N760" s="533"/>
      <c r="O760" s="533"/>
      <c r="P760" s="349"/>
      <c r="Q760" s="349"/>
    </row>
    <row r="761" spans="14:17" x14ac:dyDescent="0.3">
      <c r="N761" s="533"/>
      <c r="O761" s="533"/>
      <c r="P761" s="349"/>
      <c r="Q761" s="349"/>
    </row>
    <row r="762" spans="14:17" x14ac:dyDescent="0.3">
      <c r="N762" s="533"/>
      <c r="O762" s="533"/>
      <c r="P762" s="349"/>
      <c r="Q762" s="349"/>
    </row>
    <row r="763" spans="14:17" x14ac:dyDescent="0.3">
      <c r="N763" s="533"/>
      <c r="O763" s="533"/>
      <c r="P763" s="349"/>
      <c r="Q763" s="349"/>
    </row>
    <row r="764" spans="14:17" x14ac:dyDescent="0.3">
      <c r="N764" s="533"/>
      <c r="O764" s="533"/>
      <c r="P764" s="349"/>
      <c r="Q764" s="349"/>
    </row>
    <row r="765" spans="14:17" x14ac:dyDescent="0.3">
      <c r="N765" s="533"/>
      <c r="O765" s="533"/>
      <c r="P765" s="349"/>
      <c r="Q765" s="349"/>
    </row>
    <row r="766" spans="14:17" x14ac:dyDescent="0.3">
      <c r="N766" s="533"/>
      <c r="O766" s="533"/>
      <c r="P766" s="349"/>
      <c r="Q766" s="349"/>
    </row>
    <row r="767" spans="14:17" x14ac:dyDescent="0.3">
      <c r="N767" s="533"/>
      <c r="O767" s="533"/>
      <c r="P767" s="349"/>
      <c r="Q767" s="349"/>
    </row>
    <row r="768" spans="14:17" x14ac:dyDescent="0.3">
      <c r="N768" s="533"/>
      <c r="O768" s="533"/>
      <c r="P768" s="349"/>
      <c r="Q768" s="349"/>
    </row>
    <row r="769" spans="14:17" x14ac:dyDescent="0.3">
      <c r="N769" s="533"/>
      <c r="O769" s="533"/>
      <c r="P769" s="349"/>
      <c r="Q769" s="349"/>
    </row>
    <row r="770" spans="14:17" x14ac:dyDescent="0.3">
      <c r="N770" s="533"/>
      <c r="O770" s="533"/>
      <c r="P770" s="349"/>
      <c r="Q770" s="349"/>
    </row>
    <row r="771" spans="14:17" x14ac:dyDescent="0.3">
      <c r="N771" s="533"/>
      <c r="O771" s="533"/>
      <c r="P771" s="349"/>
      <c r="Q771" s="349"/>
    </row>
    <row r="772" spans="14:17" x14ac:dyDescent="0.3">
      <c r="N772" s="533"/>
      <c r="O772" s="533"/>
      <c r="P772" s="349"/>
      <c r="Q772" s="349"/>
    </row>
    <row r="773" spans="14:17" x14ac:dyDescent="0.3">
      <c r="N773" s="533"/>
      <c r="O773" s="533"/>
      <c r="P773" s="349"/>
      <c r="Q773" s="349"/>
    </row>
    <row r="774" spans="14:17" x14ac:dyDescent="0.3">
      <c r="N774" s="533"/>
      <c r="O774" s="533"/>
      <c r="P774" s="349"/>
      <c r="Q774" s="349"/>
    </row>
    <row r="775" spans="14:17" x14ac:dyDescent="0.3">
      <c r="N775" s="533"/>
      <c r="O775" s="533"/>
      <c r="P775" s="349"/>
      <c r="Q775" s="349"/>
    </row>
    <row r="776" spans="14:17" x14ac:dyDescent="0.3">
      <c r="N776" s="533"/>
      <c r="O776" s="533"/>
      <c r="P776" s="349"/>
      <c r="Q776" s="349"/>
    </row>
    <row r="777" spans="14:17" x14ac:dyDescent="0.3">
      <c r="N777" s="533"/>
      <c r="O777" s="533"/>
      <c r="P777" s="349"/>
      <c r="Q777" s="349"/>
    </row>
    <row r="778" spans="14:17" x14ac:dyDescent="0.3">
      <c r="N778" s="533"/>
      <c r="O778" s="533"/>
      <c r="P778" s="349"/>
      <c r="Q778" s="349"/>
    </row>
    <row r="779" spans="14:17" x14ac:dyDescent="0.3">
      <c r="N779" s="533"/>
      <c r="O779" s="533"/>
      <c r="P779" s="349"/>
      <c r="Q779" s="349"/>
    </row>
    <row r="780" spans="14:17" x14ac:dyDescent="0.3">
      <c r="N780" s="533"/>
      <c r="O780" s="533"/>
      <c r="P780" s="349"/>
      <c r="Q780" s="349"/>
    </row>
    <row r="781" spans="14:17" x14ac:dyDescent="0.3">
      <c r="N781" s="533"/>
      <c r="O781" s="533"/>
      <c r="P781" s="349"/>
      <c r="Q781" s="349"/>
    </row>
    <row r="782" spans="14:17" x14ac:dyDescent="0.3">
      <c r="N782" s="533"/>
      <c r="O782" s="533"/>
      <c r="P782" s="349"/>
      <c r="Q782" s="349"/>
    </row>
    <row r="783" spans="14:17" x14ac:dyDescent="0.3">
      <c r="N783" s="533"/>
      <c r="O783" s="533"/>
      <c r="P783" s="349"/>
      <c r="Q783" s="349"/>
    </row>
    <row r="784" spans="14:17" x14ac:dyDescent="0.3">
      <c r="N784" s="533"/>
      <c r="O784" s="533"/>
      <c r="P784" s="349"/>
      <c r="Q784" s="349"/>
    </row>
    <row r="785" spans="14:17" x14ac:dyDescent="0.3">
      <c r="N785" s="533"/>
      <c r="O785" s="533"/>
      <c r="P785" s="349"/>
      <c r="Q785" s="349"/>
    </row>
    <row r="786" spans="14:17" x14ac:dyDescent="0.3">
      <c r="N786" s="533"/>
      <c r="O786" s="533"/>
      <c r="P786" s="349"/>
      <c r="Q786" s="349"/>
    </row>
    <row r="787" spans="14:17" x14ac:dyDescent="0.3">
      <c r="N787" s="533"/>
      <c r="O787" s="533"/>
      <c r="P787" s="349"/>
      <c r="Q787" s="349"/>
    </row>
    <row r="788" spans="14:17" x14ac:dyDescent="0.3">
      <c r="N788" s="533"/>
      <c r="O788" s="533"/>
      <c r="P788" s="349"/>
      <c r="Q788" s="349"/>
    </row>
    <row r="789" spans="14:17" x14ac:dyDescent="0.3">
      <c r="N789" s="533"/>
      <c r="O789" s="533"/>
      <c r="P789" s="349"/>
      <c r="Q789" s="349"/>
    </row>
    <row r="790" spans="14:17" x14ac:dyDescent="0.3">
      <c r="N790" s="533"/>
      <c r="O790" s="533"/>
      <c r="P790" s="349"/>
      <c r="Q790" s="349"/>
    </row>
    <row r="791" spans="14:17" x14ac:dyDescent="0.3">
      <c r="N791" s="533"/>
      <c r="O791" s="533"/>
      <c r="P791" s="349"/>
      <c r="Q791" s="349"/>
    </row>
    <row r="792" spans="14:17" x14ac:dyDescent="0.3">
      <c r="N792" s="533"/>
      <c r="O792" s="533"/>
      <c r="P792" s="349"/>
      <c r="Q792" s="349"/>
    </row>
    <row r="793" spans="14:17" x14ac:dyDescent="0.3">
      <c r="N793" s="533"/>
      <c r="O793" s="533"/>
      <c r="P793" s="349"/>
      <c r="Q793" s="349"/>
    </row>
    <row r="794" spans="14:17" x14ac:dyDescent="0.3">
      <c r="N794" s="533"/>
      <c r="O794" s="533"/>
      <c r="P794" s="349"/>
      <c r="Q794" s="349"/>
    </row>
    <row r="795" spans="14:17" x14ac:dyDescent="0.3">
      <c r="N795" s="533"/>
      <c r="O795" s="533"/>
      <c r="P795" s="349"/>
      <c r="Q795" s="349"/>
    </row>
    <row r="796" spans="14:17" x14ac:dyDescent="0.3">
      <c r="N796" s="533"/>
      <c r="O796" s="533"/>
      <c r="P796" s="349"/>
      <c r="Q796" s="349"/>
    </row>
    <row r="797" spans="14:17" x14ac:dyDescent="0.3">
      <c r="N797" s="533"/>
      <c r="O797" s="533"/>
      <c r="P797" s="349"/>
      <c r="Q797" s="349"/>
    </row>
    <row r="798" spans="14:17" x14ac:dyDescent="0.3">
      <c r="N798" s="533"/>
      <c r="O798" s="533"/>
      <c r="P798" s="349"/>
      <c r="Q798" s="349"/>
    </row>
    <row r="799" spans="14:17" x14ac:dyDescent="0.3">
      <c r="N799" s="533"/>
      <c r="O799" s="533"/>
      <c r="P799" s="349"/>
      <c r="Q799" s="349"/>
    </row>
    <row r="800" spans="14:17" x14ac:dyDescent="0.3">
      <c r="N800" s="533"/>
      <c r="O800" s="533"/>
      <c r="P800" s="349"/>
      <c r="Q800" s="349"/>
    </row>
    <row r="801" spans="14:17" x14ac:dyDescent="0.3">
      <c r="N801" s="533"/>
      <c r="O801" s="533"/>
      <c r="P801" s="349"/>
      <c r="Q801" s="349"/>
    </row>
    <row r="802" spans="14:17" x14ac:dyDescent="0.3">
      <c r="N802" s="533"/>
      <c r="O802" s="533"/>
      <c r="P802" s="349"/>
      <c r="Q802" s="349"/>
    </row>
    <row r="803" spans="14:17" x14ac:dyDescent="0.3">
      <c r="N803" s="533"/>
      <c r="O803" s="533"/>
      <c r="P803" s="349"/>
      <c r="Q803" s="349"/>
    </row>
    <row r="804" spans="14:17" x14ac:dyDescent="0.3">
      <c r="N804" s="533"/>
      <c r="O804" s="533"/>
      <c r="P804" s="349"/>
      <c r="Q804" s="349"/>
    </row>
    <row r="805" spans="14:17" x14ac:dyDescent="0.3">
      <c r="N805" s="533"/>
      <c r="O805" s="533"/>
      <c r="P805" s="349"/>
      <c r="Q805" s="349"/>
    </row>
    <row r="806" spans="14:17" x14ac:dyDescent="0.3">
      <c r="N806" s="533"/>
      <c r="O806" s="533"/>
      <c r="P806" s="349"/>
      <c r="Q806" s="349"/>
    </row>
    <row r="807" spans="14:17" x14ac:dyDescent="0.3">
      <c r="N807" s="533"/>
      <c r="O807" s="533"/>
      <c r="P807" s="349"/>
      <c r="Q807" s="349"/>
    </row>
    <row r="808" spans="14:17" x14ac:dyDescent="0.3">
      <c r="N808" s="533"/>
      <c r="O808" s="533"/>
      <c r="P808" s="349"/>
      <c r="Q808" s="349"/>
    </row>
    <row r="809" spans="14:17" x14ac:dyDescent="0.3">
      <c r="N809" s="533"/>
      <c r="O809" s="533"/>
      <c r="P809" s="349"/>
      <c r="Q809" s="349"/>
    </row>
    <row r="810" spans="14:17" x14ac:dyDescent="0.3">
      <c r="N810" s="533"/>
      <c r="O810" s="533"/>
      <c r="P810" s="349"/>
      <c r="Q810" s="349"/>
    </row>
    <row r="811" spans="14:17" x14ac:dyDescent="0.3">
      <c r="N811" s="533"/>
      <c r="O811" s="533"/>
      <c r="P811" s="349"/>
      <c r="Q811" s="349"/>
    </row>
    <row r="812" spans="14:17" x14ac:dyDescent="0.3">
      <c r="N812" s="533"/>
      <c r="O812" s="533"/>
      <c r="P812" s="349"/>
      <c r="Q812" s="349"/>
    </row>
    <row r="813" spans="14:17" x14ac:dyDescent="0.3">
      <c r="N813" s="533"/>
      <c r="O813" s="533"/>
      <c r="P813" s="349"/>
      <c r="Q813" s="349"/>
    </row>
    <row r="814" spans="14:17" x14ac:dyDescent="0.3">
      <c r="N814" s="533"/>
      <c r="O814" s="533"/>
      <c r="P814" s="349"/>
      <c r="Q814" s="349"/>
    </row>
    <row r="815" spans="14:17" x14ac:dyDescent="0.3">
      <c r="N815" s="533"/>
      <c r="O815" s="533"/>
      <c r="P815" s="349"/>
      <c r="Q815" s="349"/>
    </row>
    <row r="816" spans="14:17" x14ac:dyDescent="0.3">
      <c r="N816" s="533"/>
      <c r="O816" s="533"/>
      <c r="P816" s="349"/>
      <c r="Q816" s="349"/>
    </row>
    <row r="817" spans="14:17" x14ac:dyDescent="0.3">
      <c r="N817" s="533"/>
      <c r="O817" s="533"/>
      <c r="P817" s="349"/>
      <c r="Q817" s="349"/>
    </row>
    <row r="818" spans="14:17" x14ac:dyDescent="0.3">
      <c r="N818" s="533"/>
      <c r="O818" s="533"/>
      <c r="P818" s="349"/>
      <c r="Q818" s="349"/>
    </row>
    <row r="819" spans="14:17" x14ac:dyDescent="0.3">
      <c r="N819" s="533"/>
      <c r="O819" s="533"/>
      <c r="P819" s="349"/>
      <c r="Q819" s="349"/>
    </row>
    <row r="820" spans="14:17" x14ac:dyDescent="0.3">
      <c r="N820" s="533"/>
      <c r="O820" s="533"/>
      <c r="P820" s="349"/>
      <c r="Q820" s="349"/>
    </row>
    <row r="821" spans="14:17" x14ac:dyDescent="0.3">
      <c r="N821" s="533"/>
      <c r="O821" s="533"/>
      <c r="P821" s="349"/>
      <c r="Q821" s="349"/>
    </row>
    <row r="822" spans="14:17" x14ac:dyDescent="0.3">
      <c r="N822" s="533"/>
      <c r="O822" s="533"/>
      <c r="P822" s="349"/>
      <c r="Q822" s="349"/>
    </row>
    <row r="823" spans="14:17" x14ac:dyDescent="0.3">
      <c r="N823" s="533"/>
      <c r="O823" s="533"/>
      <c r="P823" s="349"/>
      <c r="Q823" s="349"/>
    </row>
    <row r="824" spans="14:17" x14ac:dyDescent="0.3">
      <c r="N824" s="533"/>
      <c r="O824" s="533"/>
      <c r="P824" s="349"/>
      <c r="Q824" s="349"/>
    </row>
    <row r="825" spans="14:17" x14ac:dyDescent="0.3">
      <c r="N825" s="533"/>
      <c r="O825" s="533"/>
      <c r="P825" s="349"/>
      <c r="Q825" s="349"/>
    </row>
    <row r="826" spans="14:17" x14ac:dyDescent="0.3">
      <c r="N826" s="533"/>
      <c r="O826" s="533"/>
      <c r="P826" s="349"/>
      <c r="Q826" s="349"/>
    </row>
    <row r="827" spans="14:17" x14ac:dyDescent="0.3">
      <c r="N827" s="533"/>
      <c r="O827" s="533"/>
      <c r="P827" s="349"/>
      <c r="Q827" s="349"/>
    </row>
    <row r="828" spans="14:17" x14ac:dyDescent="0.3">
      <c r="N828" s="533"/>
      <c r="O828" s="533"/>
      <c r="P828" s="349"/>
      <c r="Q828" s="349"/>
    </row>
    <row r="829" spans="14:17" x14ac:dyDescent="0.3">
      <c r="N829" s="533"/>
      <c r="O829" s="533"/>
      <c r="P829" s="349"/>
      <c r="Q829" s="349"/>
    </row>
    <row r="830" spans="14:17" x14ac:dyDescent="0.3">
      <c r="N830" s="533"/>
      <c r="O830" s="533"/>
      <c r="P830" s="349"/>
      <c r="Q830" s="349"/>
    </row>
    <row r="831" spans="14:17" x14ac:dyDescent="0.3">
      <c r="N831" s="533"/>
      <c r="O831" s="533"/>
      <c r="P831" s="349"/>
      <c r="Q831" s="349"/>
    </row>
    <row r="832" spans="14:17" x14ac:dyDescent="0.3">
      <c r="N832" s="533"/>
      <c r="O832" s="533"/>
      <c r="P832" s="349"/>
      <c r="Q832" s="349"/>
    </row>
    <row r="833" spans="14:17" x14ac:dyDescent="0.3">
      <c r="N833" s="533"/>
      <c r="O833" s="533"/>
      <c r="P833" s="349"/>
      <c r="Q833" s="349"/>
    </row>
    <row r="834" spans="14:17" x14ac:dyDescent="0.3">
      <c r="N834" s="533"/>
      <c r="O834" s="533"/>
      <c r="P834" s="349"/>
      <c r="Q834" s="349"/>
    </row>
    <row r="835" spans="14:17" x14ac:dyDescent="0.3">
      <c r="N835" s="533"/>
      <c r="O835" s="533"/>
      <c r="P835" s="349"/>
      <c r="Q835" s="349"/>
    </row>
    <row r="836" spans="14:17" x14ac:dyDescent="0.3">
      <c r="N836" s="533"/>
      <c r="O836" s="533"/>
      <c r="P836" s="349"/>
      <c r="Q836" s="349"/>
    </row>
    <row r="837" spans="14:17" x14ac:dyDescent="0.3">
      <c r="N837" s="533"/>
      <c r="O837" s="533"/>
      <c r="P837" s="349"/>
      <c r="Q837" s="349"/>
    </row>
    <row r="838" spans="14:17" x14ac:dyDescent="0.3">
      <c r="N838" s="533"/>
      <c r="O838" s="533"/>
      <c r="P838" s="349"/>
      <c r="Q838" s="349"/>
    </row>
    <row r="839" spans="14:17" x14ac:dyDescent="0.3">
      <c r="N839" s="533"/>
      <c r="O839" s="533"/>
      <c r="P839" s="349"/>
      <c r="Q839" s="349"/>
    </row>
    <row r="840" spans="14:17" x14ac:dyDescent="0.3">
      <c r="N840" s="533"/>
      <c r="O840" s="533"/>
      <c r="P840" s="349"/>
      <c r="Q840" s="349"/>
    </row>
    <row r="841" spans="14:17" x14ac:dyDescent="0.3">
      <c r="N841" s="533"/>
      <c r="O841" s="533"/>
      <c r="P841" s="349"/>
      <c r="Q841" s="349"/>
    </row>
    <row r="842" spans="14:17" x14ac:dyDescent="0.3">
      <c r="N842" s="533"/>
      <c r="O842" s="533"/>
      <c r="P842" s="349"/>
      <c r="Q842" s="349"/>
    </row>
    <row r="843" spans="14:17" x14ac:dyDescent="0.3">
      <c r="N843" s="533"/>
      <c r="O843" s="533"/>
      <c r="P843" s="349"/>
      <c r="Q843" s="349"/>
    </row>
    <row r="844" spans="14:17" x14ac:dyDescent="0.3">
      <c r="N844" s="533"/>
      <c r="O844" s="533"/>
      <c r="P844" s="349"/>
      <c r="Q844" s="349"/>
    </row>
    <row r="845" spans="14:17" x14ac:dyDescent="0.3">
      <c r="N845" s="533"/>
      <c r="O845" s="533"/>
      <c r="P845" s="349"/>
      <c r="Q845" s="349"/>
    </row>
    <row r="846" spans="14:17" x14ac:dyDescent="0.3">
      <c r="N846" s="533"/>
      <c r="O846" s="533"/>
      <c r="P846" s="349"/>
      <c r="Q846" s="349"/>
    </row>
    <row r="847" spans="14:17" x14ac:dyDescent="0.3">
      <c r="N847" s="533"/>
      <c r="O847" s="533"/>
      <c r="P847" s="349"/>
      <c r="Q847" s="349"/>
    </row>
    <row r="848" spans="14:17" x14ac:dyDescent="0.3">
      <c r="N848" s="533"/>
      <c r="O848" s="533"/>
      <c r="P848" s="349"/>
      <c r="Q848" s="349"/>
    </row>
    <row r="849" spans="14:17" x14ac:dyDescent="0.3">
      <c r="N849" s="533"/>
      <c r="O849" s="533"/>
      <c r="P849" s="349"/>
      <c r="Q849" s="349"/>
    </row>
    <row r="850" spans="14:17" x14ac:dyDescent="0.3">
      <c r="N850" s="533"/>
      <c r="O850" s="533"/>
      <c r="P850" s="349"/>
      <c r="Q850" s="349"/>
    </row>
    <row r="851" spans="14:17" x14ac:dyDescent="0.3">
      <c r="N851" s="533"/>
      <c r="O851" s="533"/>
      <c r="P851" s="349"/>
      <c r="Q851" s="349"/>
    </row>
    <row r="852" spans="14:17" x14ac:dyDescent="0.3">
      <c r="N852" s="533"/>
      <c r="O852" s="533"/>
      <c r="P852" s="349"/>
      <c r="Q852" s="349"/>
    </row>
    <row r="853" spans="14:17" x14ac:dyDescent="0.3">
      <c r="N853" s="533"/>
      <c r="O853" s="533"/>
      <c r="P853" s="349"/>
      <c r="Q853" s="349"/>
    </row>
    <row r="854" spans="14:17" x14ac:dyDescent="0.3">
      <c r="N854" s="533"/>
      <c r="O854" s="533"/>
      <c r="P854" s="349"/>
      <c r="Q854" s="349"/>
    </row>
    <row r="855" spans="14:17" x14ac:dyDescent="0.3">
      <c r="N855" s="533"/>
      <c r="O855" s="533"/>
      <c r="P855" s="349"/>
      <c r="Q855" s="349"/>
    </row>
    <row r="856" spans="14:17" x14ac:dyDescent="0.3">
      <c r="N856" s="533"/>
      <c r="O856" s="533"/>
      <c r="P856" s="349"/>
      <c r="Q856" s="349"/>
    </row>
    <row r="857" spans="14:17" x14ac:dyDescent="0.3">
      <c r="N857" s="533"/>
      <c r="O857" s="533"/>
      <c r="P857" s="349"/>
      <c r="Q857" s="349"/>
    </row>
    <row r="858" spans="14:17" x14ac:dyDescent="0.3">
      <c r="N858" s="533"/>
      <c r="O858" s="533"/>
      <c r="P858" s="349"/>
      <c r="Q858" s="349"/>
    </row>
    <row r="859" spans="14:17" x14ac:dyDescent="0.3">
      <c r="N859" s="533"/>
      <c r="O859" s="533"/>
      <c r="P859" s="349"/>
      <c r="Q859" s="349"/>
    </row>
    <row r="860" spans="14:17" x14ac:dyDescent="0.3">
      <c r="N860" s="533"/>
      <c r="O860" s="533"/>
      <c r="P860" s="349"/>
      <c r="Q860" s="349"/>
    </row>
    <row r="861" spans="14:17" x14ac:dyDescent="0.3">
      <c r="N861" s="533"/>
      <c r="O861" s="533"/>
      <c r="P861" s="349"/>
      <c r="Q861" s="349"/>
    </row>
    <row r="862" spans="14:17" x14ac:dyDescent="0.3">
      <c r="N862" s="533"/>
      <c r="O862" s="533"/>
      <c r="P862" s="349"/>
      <c r="Q862" s="349"/>
    </row>
    <row r="863" spans="14:17" x14ac:dyDescent="0.3">
      <c r="N863" s="533"/>
      <c r="O863" s="533"/>
      <c r="P863" s="349"/>
      <c r="Q863" s="349"/>
    </row>
    <row r="864" spans="14:17" x14ac:dyDescent="0.3">
      <c r="N864" s="533"/>
      <c r="O864" s="533"/>
      <c r="P864" s="349"/>
      <c r="Q864" s="349"/>
    </row>
    <row r="865" spans="14:17" x14ac:dyDescent="0.3">
      <c r="N865" s="533"/>
      <c r="O865" s="533"/>
      <c r="P865" s="349"/>
      <c r="Q865" s="349"/>
    </row>
    <row r="866" spans="14:17" x14ac:dyDescent="0.3">
      <c r="N866" s="533"/>
      <c r="O866" s="533"/>
      <c r="P866" s="349"/>
      <c r="Q866" s="349"/>
    </row>
    <row r="867" spans="14:17" x14ac:dyDescent="0.3">
      <c r="N867" s="533"/>
      <c r="O867" s="533"/>
      <c r="P867" s="349"/>
      <c r="Q867" s="349"/>
    </row>
    <row r="868" spans="14:17" x14ac:dyDescent="0.3">
      <c r="N868" s="533"/>
      <c r="O868" s="533"/>
      <c r="P868" s="349"/>
      <c r="Q868" s="349"/>
    </row>
    <row r="869" spans="14:17" x14ac:dyDescent="0.3">
      <c r="N869" s="533"/>
      <c r="O869" s="533"/>
      <c r="P869" s="349"/>
      <c r="Q869" s="349"/>
    </row>
    <row r="870" spans="14:17" x14ac:dyDescent="0.3">
      <c r="N870" s="533"/>
      <c r="O870" s="533"/>
      <c r="P870" s="349"/>
      <c r="Q870" s="349"/>
    </row>
    <row r="871" spans="14:17" x14ac:dyDescent="0.3">
      <c r="N871" s="533"/>
      <c r="O871" s="533"/>
      <c r="P871" s="349"/>
      <c r="Q871" s="349"/>
    </row>
    <row r="872" spans="14:17" x14ac:dyDescent="0.3">
      <c r="N872" s="533"/>
      <c r="O872" s="533"/>
      <c r="P872" s="349"/>
      <c r="Q872" s="349"/>
    </row>
    <row r="873" spans="14:17" x14ac:dyDescent="0.3">
      <c r="N873" s="533"/>
      <c r="O873" s="533"/>
      <c r="P873" s="349"/>
      <c r="Q873" s="349"/>
    </row>
    <row r="874" spans="14:17" x14ac:dyDescent="0.3">
      <c r="N874" s="533"/>
      <c r="O874" s="533"/>
      <c r="P874" s="349"/>
      <c r="Q874" s="349"/>
    </row>
    <row r="875" spans="14:17" x14ac:dyDescent="0.3">
      <c r="N875" s="533"/>
      <c r="O875" s="533"/>
      <c r="P875" s="349"/>
      <c r="Q875" s="349"/>
    </row>
    <row r="876" spans="14:17" x14ac:dyDescent="0.3">
      <c r="N876" s="533"/>
      <c r="O876" s="533"/>
      <c r="P876" s="349"/>
      <c r="Q876" s="349"/>
    </row>
    <row r="877" spans="14:17" x14ac:dyDescent="0.3">
      <c r="N877" s="533"/>
      <c r="O877" s="533"/>
      <c r="P877" s="349"/>
      <c r="Q877" s="349"/>
    </row>
    <row r="878" spans="14:17" x14ac:dyDescent="0.3">
      <c r="N878" s="533"/>
      <c r="O878" s="533"/>
      <c r="P878" s="349"/>
      <c r="Q878" s="349"/>
    </row>
    <row r="879" spans="14:17" x14ac:dyDescent="0.3">
      <c r="N879" s="533"/>
      <c r="O879" s="533"/>
      <c r="P879" s="349"/>
      <c r="Q879" s="349"/>
    </row>
    <row r="880" spans="14:17" x14ac:dyDescent="0.3">
      <c r="N880" s="533"/>
      <c r="O880" s="533"/>
      <c r="P880" s="349"/>
      <c r="Q880" s="349"/>
    </row>
    <row r="881" spans="14:17" x14ac:dyDescent="0.3">
      <c r="N881" s="533"/>
      <c r="O881" s="533"/>
      <c r="P881" s="349"/>
      <c r="Q881" s="349"/>
    </row>
    <row r="882" spans="14:17" x14ac:dyDescent="0.3">
      <c r="N882" s="533"/>
      <c r="O882" s="533"/>
      <c r="P882" s="349"/>
      <c r="Q882" s="349"/>
    </row>
    <row r="883" spans="14:17" x14ac:dyDescent="0.3">
      <c r="N883" s="533"/>
      <c r="O883" s="533"/>
      <c r="P883" s="349"/>
      <c r="Q883" s="349"/>
    </row>
    <row r="884" spans="14:17" x14ac:dyDescent="0.3">
      <c r="N884" s="533"/>
      <c r="O884" s="533"/>
      <c r="P884" s="349"/>
      <c r="Q884" s="349"/>
    </row>
    <row r="885" spans="14:17" x14ac:dyDescent="0.3">
      <c r="N885" s="533"/>
      <c r="O885" s="533"/>
      <c r="P885" s="349"/>
      <c r="Q885" s="349"/>
    </row>
    <row r="886" spans="14:17" x14ac:dyDescent="0.3">
      <c r="N886" s="533"/>
      <c r="O886" s="533"/>
      <c r="P886" s="349"/>
      <c r="Q886" s="349"/>
    </row>
    <row r="887" spans="14:17" x14ac:dyDescent="0.3">
      <c r="N887" s="533"/>
      <c r="O887" s="533"/>
      <c r="P887" s="349"/>
      <c r="Q887" s="349"/>
    </row>
    <row r="888" spans="14:17" x14ac:dyDescent="0.3">
      <c r="N888" s="533"/>
      <c r="O888" s="533"/>
      <c r="P888" s="349"/>
      <c r="Q888" s="349"/>
    </row>
    <row r="889" spans="14:17" x14ac:dyDescent="0.3">
      <c r="N889" s="533"/>
      <c r="O889" s="533"/>
      <c r="P889" s="349"/>
      <c r="Q889" s="349"/>
    </row>
    <row r="890" spans="14:17" x14ac:dyDescent="0.3">
      <c r="N890" s="533"/>
      <c r="O890" s="533"/>
      <c r="P890" s="349"/>
      <c r="Q890" s="349"/>
    </row>
    <row r="891" spans="14:17" x14ac:dyDescent="0.3">
      <c r="N891" s="533"/>
      <c r="O891" s="533"/>
      <c r="P891" s="349"/>
      <c r="Q891" s="349"/>
    </row>
    <row r="892" spans="14:17" x14ac:dyDescent="0.3">
      <c r="N892" s="533"/>
      <c r="O892" s="533"/>
      <c r="P892" s="349"/>
      <c r="Q892" s="349"/>
    </row>
    <row r="893" spans="14:17" x14ac:dyDescent="0.3">
      <c r="N893" s="533"/>
      <c r="O893" s="533"/>
      <c r="P893" s="349"/>
      <c r="Q893" s="349"/>
    </row>
    <row r="894" spans="14:17" x14ac:dyDescent="0.3">
      <c r="N894" s="533"/>
      <c r="O894" s="533"/>
      <c r="P894" s="349"/>
      <c r="Q894" s="349"/>
    </row>
    <row r="895" spans="14:17" x14ac:dyDescent="0.3">
      <c r="N895" s="533"/>
      <c r="O895" s="533"/>
      <c r="P895" s="349"/>
      <c r="Q895" s="349"/>
    </row>
    <row r="896" spans="14:17" x14ac:dyDescent="0.3">
      <c r="N896" s="533"/>
      <c r="O896" s="533"/>
      <c r="P896" s="349"/>
      <c r="Q896" s="349"/>
    </row>
    <row r="897" spans="14:17" x14ac:dyDescent="0.3">
      <c r="N897" s="533"/>
      <c r="O897" s="533"/>
      <c r="P897" s="349"/>
      <c r="Q897" s="349"/>
    </row>
    <row r="898" spans="14:17" x14ac:dyDescent="0.3">
      <c r="N898" s="533"/>
      <c r="O898" s="533"/>
      <c r="P898" s="349"/>
      <c r="Q898" s="349"/>
    </row>
    <row r="899" spans="14:17" x14ac:dyDescent="0.3">
      <c r="N899" s="533"/>
      <c r="O899" s="533"/>
      <c r="P899" s="349"/>
      <c r="Q899" s="349"/>
    </row>
    <row r="900" spans="14:17" x14ac:dyDescent="0.3">
      <c r="N900" s="533"/>
      <c r="O900" s="533"/>
      <c r="P900" s="349"/>
      <c r="Q900" s="349"/>
    </row>
    <row r="901" spans="14:17" x14ac:dyDescent="0.3">
      <c r="N901" s="533"/>
      <c r="O901" s="533"/>
      <c r="P901" s="349"/>
      <c r="Q901" s="349"/>
    </row>
    <row r="902" spans="14:17" x14ac:dyDescent="0.3">
      <c r="N902" s="533"/>
      <c r="O902" s="533"/>
      <c r="P902" s="349"/>
      <c r="Q902" s="349"/>
    </row>
    <row r="903" spans="14:17" x14ac:dyDescent="0.3">
      <c r="N903" s="533"/>
      <c r="O903" s="533"/>
      <c r="P903" s="349"/>
      <c r="Q903" s="349"/>
    </row>
    <row r="904" spans="14:17" x14ac:dyDescent="0.3">
      <c r="N904" s="533"/>
      <c r="O904" s="533"/>
      <c r="P904" s="349"/>
      <c r="Q904" s="349"/>
    </row>
    <row r="905" spans="14:17" x14ac:dyDescent="0.3">
      <c r="N905" s="533"/>
      <c r="O905" s="533"/>
      <c r="P905" s="349"/>
      <c r="Q905" s="349"/>
    </row>
    <row r="906" spans="14:17" x14ac:dyDescent="0.3">
      <c r="N906" s="533"/>
      <c r="O906" s="533"/>
      <c r="P906" s="349"/>
      <c r="Q906" s="349"/>
    </row>
    <row r="907" spans="14:17" x14ac:dyDescent="0.3">
      <c r="N907" s="533"/>
      <c r="O907" s="533"/>
      <c r="P907" s="349"/>
      <c r="Q907" s="349"/>
    </row>
    <row r="908" spans="14:17" x14ac:dyDescent="0.3">
      <c r="N908" s="533"/>
      <c r="O908" s="533"/>
      <c r="P908" s="349"/>
      <c r="Q908" s="349"/>
    </row>
    <row r="909" spans="14:17" x14ac:dyDescent="0.3">
      <c r="N909" s="533"/>
      <c r="O909" s="533"/>
      <c r="P909" s="349"/>
      <c r="Q909" s="349"/>
    </row>
    <row r="910" spans="14:17" x14ac:dyDescent="0.3">
      <c r="N910" s="533"/>
      <c r="O910" s="533"/>
      <c r="P910" s="349"/>
      <c r="Q910" s="349"/>
    </row>
    <row r="911" spans="14:17" x14ac:dyDescent="0.3">
      <c r="N911" s="533"/>
      <c r="O911" s="533"/>
      <c r="P911" s="349"/>
      <c r="Q911" s="349"/>
    </row>
    <row r="912" spans="14:17" x14ac:dyDescent="0.3">
      <c r="N912" s="533"/>
      <c r="O912" s="533"/>
      <c r="P912" s="349"/>
      <c r="Q912" s="349"/>
    </row>
    <row r="913" spans="14:17" x14ac:dyDescent="0.3">
      <c r="N913" s="533"/>
      <c r="O913" s="533"/>
      <c r="P913" s="349"/>
      <c r="Q913" s="349"/>
    </row>
    <row r="914" spans="14:17" x14ac:dyDescent="0.3">
      <c r="N914" s="533"/>
      <c r="O914" s="533"/>
      <c r="P914" s="349"/>
      <c r="Q914" s="349"/>
    </row>
    <row r="915" spans="14:17" x14ac:dyDescent="0.3">
      <c r="N915" s="533"/>
      <c r="O915" s="533"/>
      <c r="P915" s="349"/>
      <c r="Q915" s="349"/>
    </row>
    <row r="916" spans="14:17" x14ac:dyDescent="0.3">
      <c r="N916" s="533"/>
      <c r="O916" s="533"/>
      <c r="P916" s="349"/>
      <c r="Q916" s="349"/>
    </row>
    <row r="917" spans="14:17" x14ac:dyDescent="0.3">
      <c r="N917" s="533"/>
      <c r="O917" s="533"/>
      <c r="P917" s="349"/>
      <c r="Q917" s="349"/>
    </row>
    <row r="918" spans="14:17" x14ac:dyDescent="0.3">
      <c r="N918" s="533"/>
      <c r="O918" s="533"/>
      <c r="P918" s="349"/>
      <c r="Q918" s="349"/>
    </row>
    <row r="919" spans="14:17" x14ac:dyDescent="0.3">
      <c r="N919" s="533"/>
      <c r="O919" s="533"/>
      <c r="P919" s="349"/>
      <c r="Q919" s="349"/>
    </row>
    <row r="920" spans="14:17" x14ac:dyDescent="0.3">
      <c r="N920" s="533"/>
      <c r="O920" s="533"/>
      <c r="P920" s="349"/>
      <c r="Q920" s="349"/>
    </row>
    <row r="921" spans="14:17" x14ac:dyDescent="0.3">
      <c r="N921" s="533"/>
      <c r="O921" s="533"/>
      <c r="P921" s="349"/>
      <c r="Q921" s="349"/>
    </row>
    <row r="922" spans="14:17" x14ac:dyDescent="0.3">
      <c r="N922" s="533"/>
      <c r="O922" s="533"/>
      <c r="P922" s="349"/>
      <c r="Q922" s="349"/>
    </row>
    <row r="923" spans="14:17" x14ac:dyDescent="0.3">
      <c r="N923" s="533"/>
      <c r="O923" s="533"/>
      <c r="P923" s="349"/>
      <c r="Q923" s="349"/>
    </row>
    <row r="924" spans="14:17" x14ac:dyDescent="0.3">
      <c r="N924" s="533"/>
      <c r="O924" s="533"/>
      <c r="P924" s="349"/>
      <c r="Q924" s="349"/>
    </row>
    <row r="925" spans="14:17" x14ac:dyDescent="0.3">
      <c r="N925" s="533"/>
      <c r="O925" s="533"/>
      <c r="P925" s="349"/>
      <c r="Q925" s="349"/>
    </row>
    <row r="926" spans="14:17" x14ac:dyDescent="0.3">
      <c r="N926" s="533"/>
      <c r="O926" s="533"/>
      <c r="P926" s="349"/>
      <c r="Q926" s="349"/>
    </row>
    <row r="927" spans="14:17" x14ac:dyDescent="0.3">
      <c r="N927" s="533"/>
      <c r="O927" s="533"/>
      <c r="P927" s="349"/>
      <c r="Q927" s="349"/>
    </row>
    <row r="928" spans="14:17" x14ac:dyDescent="0.3">
      <c r="N928" s="533"/>
      <c r="O928" s="533"/>
      <c r="P928" s="349"/>
      <c r="Q928" s="349"/>
    </row>
    <row r="929" spans="14:17" x14ac:dyDescent="0.3">
      <c r="N929" s="533"/>
      <c r="O929" s="533"/>
      <c r="P929" s="349"/>
      <c r="Q929" s="349"/>
    </row>
    <row r="930" spans="14:17" x14ac:dyDescent="0.3">
      <c r="N930" s="533"/>
      <c r="O930" s="533"/>
      <c r="P930" s="349"/>
      <c r="Q930" s="349"/>
    </row>
    <row r="931" spans="14:17" x14ac:dyDescent="0.3">
      <c r="N931" s="533"/>
      <c r="O931" s="533"/>
      <c r="P931" s="349"/>
      <c r="Q931" s="349"/>
    </row>
    <row r="932" spans="14:17" x14ac:dyDescent="0.3">
      <c r="N932" s="533"/>
      <c r="O932" s="533"/>
      <c r="P932" s="349"/>
      <c r="Q932" s="349"/>
    </row>
    <row r="933" spans="14:17" x14ac:dyDescent="0.3">
      <c r="N933" s="533"/>
      <c r="O933" s="533"/>
      <c r="P933" s="349"/>
      <c r="Q933" s="349"/>
    </row>
    <row r="934" spans="14:17" x14ac:dyDescent="0.3">
      <c r="N934" s="533"/>
      <c r="O934" s="533"/>
      <c r="P934" s="349"/>
      <c r="Q934" s="349"/>
    </row>
    <row r="935" spans="14:17" x14ac:dyDescent="0.3">
      <c r="N935" s="533"/>
      <c r="O935" s="533"/>
      <c r="P935" s="349"/>
      <c r="Q935" s="349"/>
    </row>
    <row r="936" spans="14:17" x14ac:dyDescent="0.3">
      <c r="N936" s="533"/>
      <c r="O936" s="533"/>
      <c r="P936" s="349"/>
      <c r="Q936" s="349"/>
    </row>
    <row r="937" spans="14:17" x14ac:dyDescent="0.3">
      <c r="N937" s="533"/>
      <c r="O937" s="533"/>
      <c r="P937" s="349"/>
      <c r="Q937" s="349"/>
    </row>
    <row r="938" spans="14:17" x14ac:dyDescent="0.3">
      <c r="N938" s="533"/>
      <c r="O938" s="533"/>
      <c r="P938" s="349"/>
      <c r="Q938" s="349"/>
    </row>
    <row r="939" spans="14:17" x14ac:dyDescent="0.3">
      <c r="N939" s="533"/>
      <c r="O939" s="533"/>
      <c r="P939" s="349"/>
      <c r="Q939" s="349"/>
    </row>
    <row r="940" spans="14:17" x14ac:dyDescent="0.3">
      <c r="N940" s="533"/>
      <c r="O940" s="533"/>
      <c r="P940" s="349"/>
      <c r="Q940" s="349"/>
    </row>
    <row r="941" spans="14:17" x14ac:dyDescent="0.3">
      <c r="N941" s="533"/>
      <c r="O941" s="533"/>
      <c r="P941" s="349"/>
      <c r="Q941" s="349"/>
    </row>
    <row r="942" spans="14:17" x14ac:dyDescent="0.3">
      <c r="N942" s="533"/>
      <c r="O942" s="533"/>
      <c r="P942" s="349"/>
      <c r="Q942" s="349"/>
    </row>
    <row r="943" spans="14:17" x14ac:dyDescent="0.3">
      <c r="N943" s="533"/>
      <c r="O943" s="533"/>
      <c r="P943" s="349"/>
      <c r="Q943" s="349"/>
    </row>
    <row r="944" spans="14:17" x14ac:dyDescent="0.3">
      <c r="N944" s="533"/>
      <c r="O944" s="533"/>
      <c r="P944" s="349"/>
      <c r="Q944" s="349"/>
    </row>
    <row r="945" spans="14:17" x14ac:dyDescent="0.3">
      <c r="N945" s="533"/>
      <c r="O945" s="533"/>
      <c r="P945" s="349"/>
      <c r="Q945" s="349"/>
    </row>
    <row r="946" spans="14:17" x14ac:dyDescent="0.3">
      <c r="N946" s="533"/>
      <c r="O946" s="533"/>
      <c r="P946" s="349"/>
      <c r="Q946" s="349"/>
    </row>
    <row r="947" spans="14:17" x14ac:dyDescent="0.3">
      <c r="N947" s="533"/>
      <c r="O947" s="533"/>
      <c r="P947" s="349"/>
      <c r="Q947" s="349"/>
    </row>
    <row r="948" spans="14:17" x14ac:dyDescent="0.3">
      <c r="N948" s="533"/>
      <c r="O948" s="533"/>
      <c r="P948" s="349"/>
      <c r="Q948" s="349"/>
    </row>
    <row r="949" spans="14:17" x14ac:dyDescent="0.3">
      <c r="N949" s="533"/>
      <c r="O949" s="533"/>
      <c r="P949" s="349"/>
      <c r="Q949" s="349"/>
    </row>
    <row r="950" spans="14:17" x14ac:dyDescent="0.3">
      <c r="N950" s="533"/>
      <c r="O950" s="533"/>
      <c r="P950" s="349"/>
      <c r="Q950" s="349"/>
    </row>
    <row r="951" spans="14:17" x14ac:dyDescent="0.3">
      <c r="N951" s="533"/>
      <c r="O951" s="533"/>
      <c r="P951" s="349"/>
      <c r="Q951" s="349"/>
    </row>
    <row r="952" spans="14:17" x14ac:dyDescent="0.3">
      <c r="N952" s="533"/>
      <c r="O952" s="533"/>
      <c r="P952" s="349"/>
      <c r="Q952" s="349"/>
    </row>
    <row r="953" spans="14:17" x14ac:dyDescent="0.3">
      <c r="N953" s="533"/>
      <c r="O953" s="533"/>
      <c r="P953" s="349"/>
      <c r="Q953" s="349"/>
    </row>
    <row r="954" spans="14:17" x14ac:dyDescent="0.3">
      <c r="N954" s="533"/>
      <c r="O954" s="533"/>
      <c r="P954" s="349"/>
      <c r="Q954" s="349"/>
    </row>
    <row r="955" spans="14:17" x14ac:dyDescent="0.3">
      <c r="N955" s="533"/>
      <c r="O955" s="533"/>
      <c r="P955" s="349"/>
      <c r="Q955" s="349"/>
    </row>
    <row r="956" spans="14:17" x14ac:dyDescent="0.3">
      <c r="N956" s="533"/>
      <c r="O956" s="533"/>
      <c r="P956" s="349"/>
      <c r="Q956" s="349"/>
    </row>
    <row r="957" spans="14:17" x14ac:dyDescent="0.3">
      <c r="N957" s="533"/>
      <c r="O957" s="533"/>
      <c r="P957" s="349"/>
      <c r="Q957" s="349"/>
    </row>
    <row r="958" spans="14:17" x14ac:dyDescent="0.3">
      <c r="N958" s="533"/>
      <c r="O958" s="533"/>
      <c r="P958" s="349"/>
      <c r="Q958" s="349"/>
    </row>
    <row r="959" spans="14:17" x14ac:dyDescent="0.3">
      <c r="N959" s="533"/>
      <c r="O959" s="533"/>
      <c r="P959" s="349"/>
      <c r="Q959" s="349"/>
    </row>
    <row r="960" spans="14:17" x14ac:dyDescent="0.3">
      <c r="N960" s="533"/>
      <c r="O960" s="533"/>
      <c r="P960" s="349"/>
      <c r="Q960" s="349"/>
    </row>
    <row r="961" spans="14:17" x14ac:dyDescent="0.3">
      <c r="N961" s="533"/>
      <c r="O961" s="533"/>
      <c r="P961" s="349"/>
      <c r="Q961" s="349"/>
    </row>
    <row r="962" spans="14:17" x14ac:dyDescent="0.3">
      <c r="N962" s="533"/>
      <c r="O962" s="533"/>
      <c r="P962" s="349"/>
      <c r="Q962" s="349"/>
    </row>
    <row r="963" spans="14:17" x14ac:dyDescent="0.3">
      <c r="N963" s="533"/>
      <c r="O963" s="533"/>
      <c r="P963" s="349"/>
      <c r="Q963" s="349"/>
    </row>
    <row r="964" spans="14:17" x14ac:dyDescent="0.3">
      <c r="N964" s="533"/>
      <c r="O964" s="533"/>
      <c r="P964" s="349"/>
      <c r="Q964" s="349"/>
    </row>
    <row r="965" spans="14:17" x14ac:dyDescent="0.3">
      <c r="N965" s="533"/>
      <c r="O965" s="533"/>
      <c r="P965" s="349"/>
      <c r="Q965" s="349"/>
    </row>
    <row r="966" spans="14:17" x14ac:dyDescent="0.3">
      <c r="N966" s="533"/>
      <c r="O966" s="533"/>
      <c r="P966" s="349"/>
      <c r="Q966" s="349"/>
    </row>
    <row r="967" spans="14:17" x14ac:dyDescent="0.3">
      <c r="N967" s="533"/>
      <c r="O967" s="533"/>
      <c r="P967" s="349"/>
      <c r="Q967" s="349"/>
    </row>
    <row r="968" spans="14:17" x14ac:dyDescent="0.3">
      <c r="N968" s="533"/>
      <c r="O968" s="533"/>
      <c r="P968" s="349"/>
      <c r="Q968" s="349"/>
    </row>
    <row r="969" spans="14:17" x14ac:dyDescent="0.3">
      <c r="N969" s="533"/>
      <c r="O969" s="533"/>
      <c r="P969" s="349"/>
      <c r="Q969" s="349"/>
    </row>
    <row r="970" spans="14:17" x14ac:dyDescent="0.3">
      <c r="N970" s="533"/>
      <c r="O970" s="533"/>
      <c r="P970" s="349"/>
      <c r="Q970" s="349"/>
    </row>
    <row r="971" spans="14:17" x14ac:dyDescent="0.3">
      <c r="N971" s="533"/>
      <c r="O971" s="533"/>
      <c r="P971" s="349"/>
      <c r="Q971" s="349"/>
    </row>
    <row r="972" spans="14:17" x14ac:dyDescent="0.3">
      <c r="N972" s="533"/>
      <c r="O972" s="533"/>
      <c r="P972" s="349"/>
      <c r="Q972" s="349"/>
    </row>
    <row r="973" spans="14:17" x14ac:dyDescent="0.3">
      <c r="N973" s="533"/>
      <c r="O973" s="533"/>
      <c r="P973" s="349"/>
      <c r="Q973" s="349"/>
    </row>
    <row r="974" spans="14:17" x14ac:dyDescent="0.3">
      <c r="N974" s="533"/>
      <c r="O974" s="533"/>
      <c r="P974" s="349"/>
      <c r="Q974" s="349"/>
    </row>
    <row r="975" spans="14:17" x14ac:dyDescent="0.3">
      <c r="N975" s="533"/>
      <c r="O975" s="533"/>
      <c r="P975" s="349"/>
      <c r="Q975" s="349"/>
    </row>
    <row r="976" spans="14:17" x14ac:dyDescent="0.3">
      <c r="N976" s="533"/>
      <c r="O976" s="533"/>
      <c r="P976" s="349"/>
      <c r="Q976" s="349"/>
    </row>
    <row r="977" spans="14:17" x14ac:dyDescent="0.3">
      <c r="N977" s="533"/>
      <c r="O977" s="533"/>
      <c r="P977" s="349"/>
      <c r="Q977" s="349"/>
    </row>
    <row r="978" spans="14:17" x14ac:dyDescent="0.3">
      <c r="N978" s="533"/>
      <c r="O978" s="533"/>
      <c r="P978" s="349"/>
      <c r="Q978" s="349"/>
    </row>
    <row r="979" spans="14:17" x14ac:dyDescent="0.3">
      <c r="N979" s="533"/>
      <c r="O979" s="533"/>
      <c r="P979" s="349"/>
      <c r="Q979" s="349"/>
    </row>
    <row r="980" spans="14:17" x14ac:dyDescent="0.3">
      <c r="N980" s="533"/>
      <c r="O980" s="533"/>
      <c r="P980" s="349"/>
      <c r="Q980" s="349"/>
    </row>
    <row r="981" spans="14:17" x14ac:dyDescent="0.3">
      <c r="N981" s="533"/>
      <c r="O981" s="533"/>
      <c r="P981" s="349"/>
      <c r="Q981" s="349"/>
    </row>
    <row r="982" spans="14:17" x14ac:dyDescent="0.3">
      <c r="N982" s="533"/>
      <c r="O982" s="533"/>
      <c r="P982" s="349"/>
      <c r="Q982" s="349"/>
    </row>
    <row r="983" spans="14:17" x14ac:dyDescent="0.3">
      <c r="N983" s="533"/>
      <c r="O983" s="533"/>
      <c r="P983" s="349"/>
      <c r="Q983" s="349"/>
    </row>
    <row r="984" spans="14:17" x14ac:dyDescent="0.3">
      <c r="N984" s="533"/>
      <c r="O984" s="533"/>
      <c r="P984" s="349"/>
      <c r="Q984" s="349"/>
    </row>
    <row r="985" spans="14:17" x14ac:dyDescent="0.3">
      <c r="N985" s="533"/>
      <c r="O985" s="533"/>
      <c r="P985" s="349"/>
      <c r="Q985" s="349"/>
    </row>
    <row r="986" spans="14:17" x14ac:dyDescent="0.3">
      <c r="N986" s="533"/>
      <c r="O986" s="533"/>
      <c r="P986" s="349"/>
      <c r="Q986" s="349"/>
    </row>
    <row r="987" spans="14:17" x14ac:dyDescent="0.3">
      <c r="N987" s="533"/>
      <c r="O987" s="533"/>
      <c r="P987" s="349"/>
      <c r="Q987" s="349"/>
    </row>
    <row r="988" spans="14:17" x14ac:dyDescent="0.3">
      <c r="N988" s="533"/>
      <c r="O988" s="533"/>
      <c r="P988" s="349"/>
      <c r="Q988" s="349"/>
    </row>
    <row r="989" spans="14:17" x14ac:dyDescent="0.3">
      <c r="N989" s="533"/>
      <c r="O989" s="533"/>
      <c r="P989" s="349"/>
      <c r="Q989" s="349"/>
    </row>
    <row r="990" spans="14:17" x14ac:dyDescent="0.3">
      <c r="N990" s="533"/>
      <c r="O990" s="533"/>
      <c r="P990" s="349"/>
      <c r="Q990" s="349"/>
    </row>
    <row r="991" spans="14:17" x14ac:dyDescent="0.3">
      <c r="N991" s="533"/>
      <c r="O991" s="533"/>
      <c r="P991" s="349"/>
      <c r="Q991" s="349"/>
    </row>
    <row r="992" spans="14:17" x14ac:dyDescent="0.3">
      <c r="N992" s="533"/>
      <c r="O992" s="533"/>
      <c r="P992" s="349"/>
      <c r="Q992" s="349"/>
    </row>
    <row r="993" spans="14:17" x14ac:dyDescent="0.3">
      <c r="N993" s="533"/>
      <c r="O993" s="533"/>
      <c r="P993" s="349"/>
      <c r="Q993" s="349"/>
    </row>
    <row r="994" spans="14:17" x14ac:dyDescent="0.3">
      <c r="N994" s="533"/>
      <c r="O994" s="533"/>
      <c r="P994" s="349"/>
      <c r="Q994" s="349"/>
    </row>
    <row r="995" spans="14:17" x14ac:dyDescent="0.3">
      <c r="N995" s="533"/>
      <c r="O995" s="533"/>
      <c r="P995" s="349"/>
      <c r="Q995" s="349"/>
    </row>
    <row r="996" spans="14:17" x14ac:dyDescent="0.3">
      <c r="N996" s="533"/>
      <c r="O996" s="533"/>
      <c r="P996" s="349"/>
      <c r="Q996" s="349"/>
    </row>
    <row r="997" spans="14:17" x14ac:dyDescent="0.3">
      <c r="N997" s="533"/>
      <c r="O997" s="533"/>
      <c r="P997" s="349"/>
      <c r="Q997" s="349"/>
    </row>
    <row r="998" spans="14:17" x14ac:dyDescent="0.3">
      <c r="N998" s="533"/>
      <c r="O998" s="533"/>
      <c r="P998" s="349"/>
      <c r="Q998" s="349"/>
    </row>
    <row r="999" spans="14:17" x14ac:dyDescent="0.3">
      <c r="N999" s="533"/>
      <c r="O999" s="533"/>
      <c r="P999" s="349"/>
      <c r="Q999" s="349"/>
    </row>
    <row r="1000" spans="14:17" x14ac:dyDescent="0.3">
      <c r="N1000" s="533"/>
      <c r="O1000" s="533"/>
      <c r="P1000" s="349"/>
      <c r="Q1000" s="349"/>
    </row>
    <row r="1001" spans="14:17" x14ac:dyDescent="0.3">
      <c r="N1001" s="533"/>
      <c r="O1001" s="533"/>
      <c r="P1001" s="349"/>
      <c r="Q1001" s="349"/>
    </row>
    <row r="1002" spans="14:17" x14ac:dyDescent="0.3">
      <c r="N1002" s="533"/>
      <c r="O1002" s="533"/>
      <c r="P1002" s="349"/>
      <c r="Q1002" s="349"/>
    </row>
    <row r="1003" spans="14:17" x14ac:dyDescent="0.3">
      <c r="N1003" s="533"/>
      <c r="O1003" s="533"/>
      <c r="P1003" s="349"/>
      <c r="Q1003" s="349"/>
    </row>
    <row r="1004" spans="14:17" x14ac:dyDescent="0.3">
      <c r="N1004" s="533"/>
      <c r="O1004" s="533"/>
      <c r="P1004" s="349"/>
      <c r="Q1004" s="349"/>
    </row>
    <row r="1005" spans="14:17" x14ac:dyDescent="0.3">
      <c r="N1005" s="533"/>
      <c r="O1005" s="533"/>
      <c r="P1005" s="349"/>
      <c r="Q1005" s="349"/>
    </row>
    <row r="1006" spans="14:17" x14ac:dyDescent="0.3">
      <c r="N1006" s="533"/>
      <c r="O1006" s="533"/>
      <c r="P1006" s="349"/>
      <c r="Q1006" s="349"/>
    </row>
    <row r="1007" spans="14:17" x14ac:dyDescent="0.3">
      <c r="N1007" s="533"/>
      <c r="O1007" s="533"/>
      <c r="P1007" s="349"/>
      <c r="Q1007" s="349"/>
    </row>
    <row r="1008" spans="14:17" x14ac:dyDescent="0.3">
      <c r="N1008" s="533"/>
      <c r="O1008" s="533"/>
      <c r="P1008" s="349"/>
      <c r="Q1008" s="349"/>
    </row>
    <row r="1009" spans="14:17" x14ac:dyDescent="0.3">
      <c r="N1009" s="533"/>
      <c r="O1009" s="533"/>
      <c r="P1009" s="349"/>
      <c r="Q1009" s="349"/>
    </row>
    <row r="1010" spans="14:17" x14ac:dyDescent="0.3">
      <c r="N1010" s="533"/>
      <c r="O1010" s="533"/>
      <c r="P1010" s="349"/>
      <c r="Q1010" s="349"/>
    </row>
    <row r="1011" spans="14:17" x14ac:dyDescent="0.3">
      <c r="N1011" s="533"/>
      <c r="O1011" s="533"/>
      <c r="P1011" s="349"/>
      <c r="Q1011" s="349"/>
    </row>
    <row r="1012" spans="14:17" x14ac:dyDescent="0.3">
      <c r="N1012" s="533"/>
      <c r="O1012" s="533"/>
      <c r="P1012" s="349"/>
      <c r="Q1012" s="349"/>
    </row>
    <row r="1013" spans="14:17" x14ac:dyDescent="0.3">
      <c r="N1013" s="533"/>
      <c r="O1013" s="533"/>
      <c r="P1013" s="349"/>
      <c r="Q1013" s="349"/>
    </row>
    <row r="1014" spans="14:17" x14ac:dyDescent="0.3">
      <c r="N1014" s="533"/>
      <c r="O1014" s="533"/>
      <c r="P1014" s="349"/>
      <c r="Q1014" s="349"/>
    </row>
    <row r="1015" spans="14:17" x14ac:dyDescent="0.3">
      <c r="N1015" s="533"/>
      <c r="O1015" s="533"/>
      <c r="P1015" s="349"/>
      <c r="Q1015" s="349"/>
    </row>
    <row r="1016" spans="14:17" x14ac:dyDescent="0.3">
      <c r="N1016" s="533"/>
      <c r="O1016" s="533"/>
      <c r="P1016" s="349"/>
      <c r="Q1016" s="349"/>
    </row>
    <row r="1017" spans="14:17" x14ac:dyDescent="0.3">
      <c r="N1017" s="533"/>
      <c r="O1017" s="533"/>
      <c r="P1017" s="349"/>
      <c r="Q1017" s="349"/>
    </row>
    <row r="1018" spans="14:17" x14ac:dyDescent="0.3">
      <c r="N1018" s="533"/>
      <c r="O1018" s="533"/>
      <c r="P1018" s="349"/>
      <c r="Q1018" s="349"/>
    </row>
    <row r="1019" spans="14:17" x14ac:dyDescent="0.3">
      <c r="N1019" s="533"/>
      <c r="O1019" s="533"/>
      <c r="P1019" s="349"/>
      <c r="Q1019" s="349"/>
    </row>
    <row r="1020" spans="14:17" x14ac:dyDescent="0.3">
      <c r="N1020" s="533"/>
      <c r="O1020" s="533"/>
      <c r="P1020" s="349"/>
      <c r="Q1020" s="349"/>
    </row>
    <row r="1021" spans="14:17" x14ac:dyDescent="0.3">
      <c r="N1021" s="533"/>
      <c r="O1021" s="533"/>
      <c r="P1021" s="349"/>
      <c r="Q1021" s="349"/>
    </row>
    <row r="1022" spans="14:17" x14ac:dyDescent="0.3">
      <c r="N1022" s="533"/>
      <c r="O1022" s="533"/>
      <c r="P1022" s="349"/>
      <c r="Q1022" s="349"/>
    </row>
    <row r="1023" spans="14:17" x14ac:dyDescent="0.3">
      <c r="N1023" s="533"/>
      <c r="O1023" s="533"/>
      <c r="P1023" s="349"/>
      <c r="Q1023" s="349"/>
    </row>
    <row r="1024" spans="14:17" x14ac:dyDescent="0.3">
      <c r="N1024" s="533"/>
      <c r="O1024" s="533"/>
      <c r="P1024" s="349"/>
      <c r="Q1024" s="349"/>
    </row>
    <row r="1025" spans="14:17" x14ac:dyDescent="0.3">
      <c r="N1025" s="533"/>
      <c r="O1025" s="533"/>
      <c r="P1025" s="349"/>
      <c r="Q1025" s="349"/>
    </row>
    <row r="1026" spans="14:17" x14ac:dyDescent="0.3">
      <c r="N1026" s="533"/>
      <c r="O1026" s="533"/>
      <c r="P1026" s="349"/>
      <c r="Q1026" s="349"/>
    </row>
    <row r="1027" spans="14:17" x14ac:dyDescent="0.3">
      <c r="N1027" s="533"/>
      <c r="O1027" s="533"/>
      <c r="P1027" s="349"/>
      <c r="Q1027" s="349"/>
    </row>
    <row r="1028" spans="14:17" x14ac:dyDescent="0.3">
      <c r="N1028" s="533"/>
      <c r="O1028" s="533"/>
      <c r="P1028" s="349"/>
      <c r="Q1028" s="349"/>
    </row>
    <row r="1029" spans="14:17" x14ac:dyDescent="0.3">
      <c r="N1029" s="533"/>
      <c r="O1029" s="533"/>
      <c r="P1029" s="349"/>
      <c r="Q1029" s="349"/>
    </row>
    <row r="1030" spans="14:17" x14ac:dyDescent="0.3">
      <c r="N1030" s="533"/>
      <c r="O1030" s="533"/>
      <c r="P1030" s="349"/>
      <c r="Q1030" s="349"/>
    </row>
    <row r="1031" spans="14:17" x14ac:dyDescent="0.3">
      <c r="N1031" s="533"/>
      <c r="O1031" s="533"/>
      <c r="P1031" s="349"/>
      <c r="Q1031" s="349"/>
    </row>
    <row r="1032" spans="14:17" x14ac:dyDescent="0.3">
      <c r="N1032" s="533"/>
      <c r="O1032" s="533"/>
      <c r="P1032" s="349"/>
      <c r="Q1032" s="349"/>
    </row>
    <row r="1033" spans="14:17" x14ac:dyDescent="0.3">
      <c r="N1033" s="533"/>
      <c r="O1033" s="533"/>
      <c r="P1033" s="349"/>
      <c r="Q1033" s="349"/>
    </row>
    <row r="1034" spans="14:17" x14ac:dyDescent="0.3">
      <c r="N1034" s="533"/>
      <c r="O1034" s="533"/>
      <c r="P1034" s="349"/>
      <c r="Q1034" s="349"/>
    </row>
    <row r="1035" spans="14:17" x14ac:dyDescent="0.3">
      <c r="N1035" s="533"/>
      <c r="O1035" s="533"/>
      <c r="P1035" s="349"/>
      <c r="Q1035" s="349"/>
    </row>
    <row r="1036" spans="14:17" x14ac:dyDescent="0.3">
      <c r="N1036" s="533"/>
      <c r="O1036" s="533"/>
      <c r="P1036" s="349"/>
      <c r="Q1036" s="349"/>
    </row>
    <row r="1037" spans="14:17" x14ac:dyDescent="0.3">
      <c r="N1037" s="533"/>
      <c r="O1037" s="533"/>
      <c r="P1037" s="349"/>
      <c r="Q1037" s="349"/>
    </row>
    <row r="1038" spans="14:17" x14ac:dyDescent="0.3">
      <c r="N1038" s="533"/>
      <c r="O1038" s="533"/>
      <c r="P1038" s="349"/>
      <c r="Q1038" s="349"/>
    </row>
    <row r="1039" spans="14:17" x14ac:dyDescent="0.3">
      <c r="N1039" s="533"/>
      <c r="O1039" s="533"/>
      <c r="P1039" s="349"/>
      <c r="Q1039" s="349"/>
    </row>
    <row r="1040" spans="14:17" x14ac:dyDescent="0.3">
      <c r="N1040" s="533"/>
      <c r="O1040" s="533"/>
      <c r="P1040" s="349"/>
      <c r="Q1040" s="349"/>
    </row>
    <row r="1041" spans="14:17" x14ac:dyDescent="0.3">
      <c r="N1041" s="533"/>
      <c r="O1041" s="533"/>
      <c r="P1041" s="349"/>
      <c r="Q1041" s="349"/>
    </row>
    <row r="1042" spans="14:17" x14ac:dyDescent="0.3">
      <c r="N1042" s="533"/>
      <c r="O1042" s="533"/>
      <c r="P1042" s="349"/>
      <c r="Q1042" s="349"/>
    </row>
    <row r="1043" spans="14:17" x14ac:dyDescent="0.3">
      <c r="N1043" s="533"/>
      <c r="O1043" s="533"/>
      <c r="P1043" s="349"/>
      <c r="Q1043" s="349"/>
    </row>
    <row r="1044" spans="14:17" x14ac:dyDescent="0.3">
      <c r="N1044" s="533"/>
      <c r="O1044" s="533"/>
      <c r="P1044" s="349"/>
      <c r="Q1044" s="349"/>
    </row>
    <row r="1045" spans="14:17" x14ac:dyDescent="0.3">
      <c r="N1045" s="533"/>
      <c r="O1045" s="533"/>
      <c r="P1045" s="349"/>
      <c r="Q1045" s="349"/>
    </row>
    <row r="1046" spans="14:17" x14ac:dyDescent="0.3">
      <c r="N1046" s="533"/>
      <c r="O1046" s="533"/>
      <c r="P1046" s="349"/>
      <c r="Q1046" s="349"/>
    </row>
    <row r="1047" spans="14:17" x14ac:dyDescent="0.3">
      <c r="N1047" s="533"/>
      <c r="O1047" s="533"/>
      <c r="P1047" s="349"/>
      <c r="Q1047" s="349"/>
    </row>
    <row r="1048" spans="14:17" x14ac:dyDescent="0.3">
      <c r="N1048" s="533"/>
      <c r="O1048" s="533"/>
      <c r="P1048" s="349"/>
      <c r="Q1048" s="349"/>
    </row>
    <row r="1049" spans="14:17" x14ac:dyDescent="0.3">
      <c r="N1049" s="533"/>
      <c r="O1049" s="533"/>
      <c r="P1049" s="349"/>
      <c r="Q1049" s="349"/>
    </row>
    <row r="1050" spans="14:17" x14ac:dyDescent="0.3">
      <c r="N1050" s="533"/>
      <c r="O1050" s="533"/>
      <c r="P1050" s="349"/>
      <c r="Q1050" s="349"/>
    </row>
    <row r="1051" spans="14:17" x14ac:dyDescent="0.3">
      <c r="N1051" s="533"/>
      <c r="O1051" s="533"/>
      <c r="P1051" s="349"/>
      <c r="Q1051" s="349"/>
    </row>
    <row r="1052" spans="14:17" x14ac:dyDescent="0.3">
      <c r="N1052" s="533"/>
      <c r="O1052" s="533"/>
      <c r="P1052" s="349"/>
      <c r="Q1052" s="349"/>
    </row>
    <row r="1053" spans="14:17" x14ac:dyDescent="0.3">
      <c r="N1053" s="533"/>
      <c r="O1053" s="533"/>
      <c r="P1053" s="349"/>
      <c r="Q1053" s="349"/>
    </row>
    <row r="1054" spans="14:17" x14ac:dyDescent="0.3">
      <c r="N1054" s="533"/>
      <c r="O1054" s="533"/>
      <c r="P1054" s="349"/>
      <c r="Q1054" s="349"/>
    </row>
    <row r="1055" spans="14:17" x14ac:dyDescent="0.3">
      <c r="N1055" s="533"/>
      <c r="O1055" s="533"/>
      <c r="P1055" s="349"/>
      <c r="Q1055" s="349"/>
    </row>
    <row r="1056" spans="14:17" x14ac:dyDescent="0.3">
      <c r="N1056" s="533"/>
      <c r="O1056" s="533"/>
      <c r="P1056" s="349"/>
      <c r="Q1056" s="349"/>
    </row>
    <row r="1057" spans="14:17" x14ac:dyDescent="0.3">
      <c r="N1057" s="533"/>
      <c r="O1057" s="533"/>
      <c r="P1057" s="349"/>
      <c r="Q1057" s="349"/>
    </row>
    <row r="1058" spans="14:17" x14ac:dyDescent="0.3">
      <c r="N1058" s="533"/>
      <c r="O1058" s="533"/>
      <c r="P1058" s="349"/>
      <c r="Q1058" s="349"/>
    </row>
    <row r="1059" spans="14:17" x14ac:dyDescent="0.3">
      <c r="N1059" s="533"/>
      <c r="O1059" s="533"/>
      <c r="P1059" s="349"/>
      <c r="Q1059" s="349"/>
    </row>
    <row r="1060" spans="14:17" x14ac:dyDescent="0.3">
      <c r="N1060" s="533"/>
      <c r="O1060" s="533"/>
      <c r="P1060" s="349"/>
      <c r="Q1060" s="349"/>
    </row>
    <row r="1061" spans="14:17" x14ac:dyDescent="0.3">
      <c r="N1061" s="533"/>
      <c r="O1061" s="533"/>
      <c r="P1061" s="349"/>
      <c r="Q1061" s="349"/>
    </row>
    <row r="1062" spans="14:17" x14ac:dyDescent="0.3">
      <c r="N1062" s="533"/>
      <c r="O1062" s="533"/>
      <c r="P1062" s="349"/>
      <c r="Q1062" s="349"/>
    </row>
    <row r="1063" spans="14:17" x14ac:dyDescent="0.3">
      <c r="N1063" s="533"/>
      <c r="O1063" s="533"/>
      <c r="P1063" s="349"/>
      <c r="Q1063" s="349"/>
    </row>
    <row r="1064" spans="14:17" x14ac:dyDescent="0.3">
      <c r="N1064" s="533"/>
      <c r="O1064" s="533"/>
      <c r="P1064" s="349"/>
      <c r="Q1064" s="349"/>
    </row>
    <row r="1065" spans="14:17" x14ac:dyDescent="0.3">
      <c r="N1065" s="533"/>
      <c r="O1065" s="533"/>
      <c r="P1065" s="349"/>
      <c r="Q1065" s="349"/>
    </row>
    <row r="1066" spans="14:17" x14ac:dyDescent="0.3">
      <c r="N1066" s="533"/>
      <c r="O1066" s="533"/>
      <c r="P1066" s="349"/>
      <c r="Q1066" s="349"/>
    </row>
    <row r="1067" spans="14:17" x14ac:dyDescent="0.3">
      <c r="N1067" s="533"/>
      <c r="O1067" s="533"/>
      <c r="P1067" s="349"/>
      <c r="Q1067" s="349"/>
    </row>
    <row r="1068" spans="14:17" x14ac:dyDescent="0.3">
      <c r="N1068" s="533"/>
      <c r="O1068" s="533"/>
      <c r="P1068" s="349"/>
      <c r="Q1068" s="349"/>
    </row>
    <row r="1069" spans="14:17" x14ac:dyDescent="0.3">
      <c r="N1069" s="533"/>
      <c r="O1069" s="533"/>
      <c r="P1069" s="349"/>
      <c r="Q1069" s="349"/>
    </row>
    <row r="1070" spans="14:17" x14ac:dyDescent="0.3">
      <c r="N1070" s="533"/>
      <c r="O1070" s="533"/>
      <c r="P1070" s="349"/>
      <c r="Q1070" s="349"/>
    </row>
    <row r="1071" spans="14:17" x14ac:dyDescent="0.3">
      <c r="N1071" s="533"/>
      <c r="O1071" s="533"/>
      <c r="P1071" s="349"/>
      <c r="Q1071" s="349"/>
    </row>
    <row r="1072" spans="14:17" x14ac:dyDescent="0.3">
      <c r="N1072" s="533"/>
      <c r="O1072" s="533"/>
      <c r="P1072" s="349"/>
      <c r="Q1072" s="349"/>
    </row>
    <row r="1073" spans="14:17" x14ac:dyDescent="0.3">
      <c r="N1073" s="533"/>
      <c r="O1073" s="533"/>
      <c r="P1073" s="349"/>
      <c r="Q1073" s="349"/>
    </row>
    <row r="1074" spans="14:17" x14ac:dyDescent="0.3">
      <c r="N1074" s="533"/>
      <c r="O1074" s="533"/>
      <c r="P1074" s="349"/>
      <c r="Q1074" s="349"/>
    </row>
    <row r="1075" spans="14:17" x14ac:dyDescent="0.3">
      <c r="N1075" s="533"/>
      <c r="O1075" s="533"/>
      <c r="P1075" s="349"/>
      <c r="Q1075" s="349"/>
    </row>
    <row r="1076" spans="14:17" x14ac:dyDescent="0.3">
      <c r="N1076" s="533"/>
      <c r="O1076" s="533"/>
      <c r="P1076" s="349"/>
      <c r="Q1076" s="349"/>
    </row>
    <row r="1077" spans="14:17" x14ac:dyDescent="0.3">
      <c r="N1077" s="533"/>
      <c r="O1077" s="533"/>
      <c r="P1077" s="349"/>
      <c r="Q1077" s="349"/>
    </row>
    <row r="1078" spans="14:17" x14ac:dyDescent="0.3">
      <c r="N1078" s="533"/>
      <c r="O1078" s="533"/>
      <c r="P1078" s="349"/>
      <c r="Q1078" s="349"/>
    </row>
    <row r="1079" spans="14:17" x14ac:dyDescent="0.3">
      <c r="N1079" s="533"/>
      <c r="O1079" s="533"/>
      <c r="P1079" s="349"/>
      <c r="Q1079" s="349"/>
    </row>
    <row r="1080" spans="14:17" x14ac:dyDescent="0.3">
      <c r="N1080" s="533"/>
      <c r="O1080" s="533"/>
      <c r="P1080" s="349"/>
      <c r="Q1080" s="349"/>
    </row>
    <row r="1081" spans="14:17" x14ac:dyDescent="0.3">
      <c r="N1081" s="533"/>
      <c r="O1081" s="533"/>
      <c r="P1081" s="349"/>
      <c r="Q1081" s="349"/>
    </row>
    <row r="1082" spans="14:17" x14ac:dyDescent="0.3">
      <c r="N1082" s="533"/>
      <c r="O1082" s="533"/>
      <c r="P1082" s="349"/>
      <c r="Q1082" s="349"/>
    </row>
    <row r="1083" spans="14:17" x14ac:dyDescent="0.3">
      <c r="N1083" s="533"/>
      <c r="O1083" s="533"/>
      <c r="P1083" s="349"/>
      <c r="Q1083" s="349"/>
    </row>
    <row r="1084" spans="14:17" x14ac:dyDescent="0.3">
      <c r="N1084" s="533"/>
      <c r="O1084" s="533"/>
      <c r="P1084" s="349"/>
      <c r="Q1084" s="349"/>
    </row>
    <row r="1085" spans="14:17" x14ac:dyDescent="0.3">
      <c r="N1085" s="533"/>
      <c r="O1085" s="533"/>
      <c r="P1085" s="349"/>
      <c r="Q1085" s="349"/>
    </row>
    <row r="1086" spans="14:17" x14ac:dyDescent="0.3">
      <c r="N1086" s="533"/>
      <c r="O1086" s="533"/>
      <c r="P1086" s="349"/>
      <c r="Q1086" s="349"/>
    </row>
    <row r="1087" spans="14:17" x14ac:dyDescent="0.3">
      <c r="N1087" s="533"/>
      <c r="O1087" s="533"/>
      <c r="P1087" s="349"/>
      <c r="Q1087" s="349"/>
    </row>
    <row r="1088" spans="14:17" x14ac:dyDescent="0.3">
      <c r="N1088" s="533"/>
      <c r="O1088" s="533"/>
      <c r="P1088" s="349"/>
      <c r="Q1088" s="349"/>
    </row>
    <row r="1089" spans="14:17" x14ac:dyDescent="0.3">
      <c r="N1089" s="533"/>
      <c r="O1089" s="533"/>
      <c r="P1089" s="349"/>
      <c r="Q1089" s="349"/>
    </row>
    <row r="1090" spans="14:17" x14ac:dyDescent="0.3">
      <c r="N1090" s="533"/>
      <c r="O1090" s="533"/>
      <c r="P1090" s="349"/>
      <c r="Q1090" s="349"/>
    </row>
    <row r="1091" spans="14:17" x14ac:dyDescent="0.3">
      <c r="N1091" s="533"/>
      <c r="O1091" s="533"/>
      <c r="P1091" s="349"/>
      <c r="Q1091" s="349"/>
    </row>
    <row r="1092" spans="14:17" x14ac:dyDescent="0.3">
      <c r="N1092" s="533"/>
      <c r="O1092" s="533"/>
      <c r="P1092" s="349"/>
      <c r="Q1092" s="349"/>
    </row>
    <row r="1093" spans="14:17" x14ac:dyDescent="0.3">
      <c r="N1093" s="533"/>
      <c r="O1093" s="533"/>
      <c r="P1093" s="349"/>
      <c r="Q1093" s="349"/>
    </row>
    <row r="1094" spans="14:17" x14ac:dyDescent="0.3">
      <c r="N1094" s="533"/>
      <c r="O1094" s="533"/>
      <c r="P1094" s="349"/>
      <c r="Q1094" s="349"/>
    </row>
    <row r="1095" spans="14:17" x14ac:dyDescent="0.3">
      <c r="N1095" s="533"/>
      <c r="O1095" s="533"/>
      <c r="P1095" s="349"/>
      <c r="Q1095" s="349"/>
    </row>
    <row r="1096" spans="14:17" x14ac:dyDescent="0.3">
      <c r="N1096" s="533"/>
      <c r="O1096" s="533"/>
      <c r="P1096" s="349"/>
      <c r="Q1096" s="349"/>
    </row>
    <row r="1097" spans="14:17" x14ac:dyDescent="0.3">
      <c r="N1097" s="533"/>
      <c r="O1097" s="533"/>
      <c r="P1097" s="349"/>
      <c r="Q1097" s="349"/>
    </row>
    <row r="1098" spans="14:17" x14ac:dyDescent="0.3">
      <c r="N1098" s="533"/>
      <c r="O1098" s="533"/>
      <c r="P1098" s="349"/>
      <c r="Q1098" s="349"/>
    </row>
    <row r="1099" spans="14:17" x14ac:dyDescent="0.3">
      <c r="N1099" s="533"/>
      <c r="O1099" s="533"/>
      <c r="P1099" s="349"/>
      <c r="Q1099" s="349"/>
    </row>
    <row r="1100" spans="14:17" x14ac:dyDescent="0.3">
      <c r="N1100" s="533"/>
      <c r="O1100" s="533"/>
      <c r="P1100" s="349"/>
      <c r="Q1100" s="349"/>
    </row>
    <row r="1101" spans="14:17" x14ac:dyDescent="0.3">
      <c r="N1101" s="533"/>
      <c r="O1101" s="533"/>
      <c r="P1101" s="349"/>
      <c r="Q1101" s="349"/>
    </row>
    <row r="1102" spans="14:17" x14ac:dyDescent="0.3">
      <c r="N1102" s="533"/>
      <c r="O1102" s="533"/>
      <c r="P1102" s="349"/>
      <c r="Q1102" s="349"/>
    </row>
    <row r="1103" spans="14:17" x14ac:dyDescent="0.3">
      <c r="N1103" s="533"/>
      <c r="O1103" s="533"/>
      <c r="P1103" s="349"/>
      <c r="Q1103" s="349"/>
    </row>
    <row r="1104" spans="14:17" x14ac:dyDescent="0.3">
      <c r="N1104" s="533"/>
      <c r="O1104" s="533"/>
      <c r="P1104" s="349"/>
      <c r="Q1104" s="349"/>
    </row>
    <row r="1105" spans="14:17" x14ac:dyDescent="0.3">
      <c r="N1105" s="533"/>
      <c r="O1105" s="533"/>
      <c r="P1105" s="349"/>
      <c r="Q1105" s="349"/>
    </row>
    <row r="1106" spans="14:17" x14ac:dyDescent="0.3">
      <c r="N1106" s="533"/>
      <c r="O1106" s="533"/>
      <c r="P1106" s="349"/>
      <c r="Q1106" s="349"/>
    </row>
    <row r="1107" spans="14:17" x14ac:dyDescent="0.3">
      <c r="N1107" s="533"/>
      <c r="O1107" s="533"/>
      <c r="P1107" s="349"/>
      <c r="Q1107" s="349"/>
    </row>
    <row r="1108" spans="14:17" x14ac:dyDescent="0.3">
      <c r="N1108" s="533"/>
      <c r="O1108" s="533"/>
      <c r="P1108" s="349"/>
      <c r="Q1108" s="349"/>
    </row>
    <row r="1109" spans="14:17" x14ac:dyDescent="0.3">
      <c r="N1109" s="533"/>
      <c r="O1109" s="533"/>
      <c r="P1109" s="349"/>
      <c r="Q1109" s="349"/>
    </row>
    <row r="1110" spans="14:17" x14ac:dyDescent="0.3">
      <c r="N1110" s="533"/>
      <c r="O1110" s="533"/>
      <c r="P1110" s="349"/>
      <c r="Q1110" s="349"/>
    </row>
    <row r="1111" spans="14:17" x14ac:dyDescent="0.3">
      <c r="N1111" s="533"/>
      <c r="O1111" s="533"/>
      <c r="P1111" s="349"/>
      <c r="Q1111" s="349"/>
    </row>
    <row r="1112" spans="14:17" x14ac:dyDescent="0.3">
      <c r="N1112" s="533"/>
      <c r="O1112" s="533"/>
      <c r="P1112" s="349"/>
      <c r="Q1112" s="349"/>
    </row>
    <row r="1113" spans="14:17" x14ac:dyDescent="0.3">
      <c r="N1113" s="533"/>
      <c r="O1113" s="533"/>
      <c r="P1113" s="349"/>
      <c r="Q1113" s="349"/>
    </row>
    <row r="1114" spans="14:17" x14ac:dyDescent="0.3">
      <c r="N1114" s="533"/>
      <c r="O1114" s="533"/>
      <c r="P1114" s="349"/>
      <c r="Q1114" s="349"/>
    </row>
    <row r="1115" spans="14:17" x14ac:dyDescent="0.3">
      <c r="N1115" s="533"/>
      <c r="O1115" s="533"/>
      <c r="P1115" s="349"/>
      <c r="Q1115" s="349"/>
    </row>
    <row r="1116" spans="14:17" x14ac:dyDescent="0.3">
      <c r="N1116" s="533"/>
      <c r="O1116" s="533"/>
      <c r="P1116" s="349"/>
      <c r="Q1116" s="349"/>
    </row>
    <row r="1117" spans="14:17" x14ac:dyDescent="0.3">
      <c r="N1117" s="533"/>
      <c r="O1117" s="533"/>
      <c r="P1117" s="349"/>
      <c r="Q1117" s="349"/>
    </row>
    <row r="1118" spans="14:17" x14ac:dyDescent="0.3">
      <c r="N1118" s="533"/>
      <c r="O1118" s="533"/>
      <c r="P1118" s="349"/>
      <c r="Q1118" s="349"/>
    </row>
    <row r="1119" spans="14:17" x14ac:dyDescent="0.3">
      <c r="N1119" s="533"/>
      <c r="O1119" s="533"/>
      <c r="P1119" s="349"/>
      <c r="Q1119" s="349"/>
    </row>
    <row r="1120" spans="14:17" x14ac:dyDescent="0.3">
      <c r="N1120" s="533"/>
      <c r="O1120" s="533"/>
      <c r="P1120" s="349"/>
      <c r="Q1120" s="349"/>
    </row>
    <row r="1121" spans="14:17" x14ac:dyDescent="0.3">
      <c r="N1121" s="533"/>
      <c r="O1121" s="533"/>
      <c r="P1121" s="349"/>
      <c r="Q1121" s="349"/>
    </row>
    <row r="1122" spans="14:17" x14ac:dyDescent="0.3">
      <c r="N1122" s="533"/>
      <c r="O1122" s="533"/>
      <c r="P1122" s="349"/>
      <c r="Q1122" s="349"/>
    </row>
    <row r="1123" spans="14:17" x14ac:dyDescent="0.3">
      <c r="N1123" s="533"/>
      <c r="O1123" s="533"/>
      <c r="P1123" s="349"/>
      <c r="Q1123" s="349"/>
    </row>
    <row r="1124" spans="14:17" x14ac:dyDescent="0.3">
      <c r="N1124" s="533"/>
      <c r="O1124" s="533"/>
      <c r="P1124" s="349"/>
      <c r="Q1124" s="349"/>
    </row>
    <row r="1125" spans="14:17" x14ac:dyDescent="0.3">
      <c r="N1125" s="533"/>
      <c r="O1125" s="533"/>
      <c r="P1125" s="349"/>
      <c r="Q1125" s="349"/>
    </row>
    <row r="1126" spans="14:17" x14ac:dyDescent="0.3">
      <c r="N1126" s="533"/>
      <c r="O1126" s="533"/>
      <c r="P1126" s="349"/>
      <c r="Q1126" s="349"/>
    </row>
    <row r="1127" spans="14:17" x14ac:dyDescent="0.3">
      <c r="N1127" s="533"/>
      <c r="O1127" s="533"/>
      <c r="P1127" s="349"/>
      <c r="Q1127" s="349"/>
    </row>
    <row r="1128" spans="14:17" x14ac:dyDescent="0.3">
      <c r="N1128" s="533"/>
      <c r="O1128" s="533"/>
      <c r="P1128" s="349"/>
      <c r="Q1128" s="349"/>
    </row>
    <row r="1129" spans="14:17" x14ac:dyDescent="0.3">
      <c r="N1129" s="533"/>
      <c r="O1129" s="533"/>
      <c r="P1129" s="349"/>
      <c r="Q1129" s="349"/>
    </row>
    <row r="1130" spans="14:17" x14ac:dyDescent="0.3">
      <c r="N1130" s="533"/>
      <c r="O1130" s="533"/>
      <c r="P1130" s="349"/>
      <c r="Q1130" s="349"/>
    </row>
    <row r="1131" spans="14:17" x14ac:dyDescent="0.3">
      <c r="N1131" s="533"/>
      <c r="O1131" s="533"/>
      <c r="P1131" s="349"/>
      <c r="Q1131" s="349"/>
    </row>
    <row r="1132" spans="14:17" x14ac:dyDescent="0.3">
      <c r="N1132" s="533"/>
      <c r="O1132" s="533"/>
      <c r="P1132" s="349"/>
      <c r="Q1132" s="349"/>
    </row>
    <row r="1133" spans="14:17" x14ac:dyDescent="0.3">
      <c r="N1133" s="533"/>
      <c r="O1133" s="533"/>
      <c r="P1133" s="349"/>
      <c r="Q1133" s="349"/>
    </row>
    <row r="1134" spans="14:17" x14ac:dyDescent="0.3">
      <c r="N1134" s="533"/>
      <c r="O1134" s="533"/>
      <c r="P1134" s="349"/>
      <c r="Q1134" s="349"/>
    </row>
    <row r="1135" spans="14:17" x14ac:dyDescent="0.3">
      <c r="N1135" s="533"/>
      <c r="O1135" s="533"/>
      <c r="P1135" s="349"/>
      <c r="Q1135" s="349"/>
    </row>
    <row r="1136" spans="14:17" x14ac:dyDescent="0.3">
      <c r="N1136" s="533"/>
      <c r="O1136" s="533"/>
      <c r="P1136" s="349"/>
      <c r="Q1136" s="349"/>
    </row>
    <row r="1137" spans="14:17" x14ac:dyDescent="0.3">
      <c r="N1137" s="533"/>
      <c r="O1137" s="533"/>
      <c r="P1137" s="349"/>
      <c r="Q1137" s="349"/>
    </row>
    <row r="1138" spans="14:17" x14ac:dyDescent="0.3">
      <c r="N1138" s="533"/>
      <c r="O1138" s="533"/>
      <c r="P1138" s="349"/>
      <c r="Q1138" s="349"/>
    </row>
    <row r="1139" spans="14:17" x14ac:dyDescent="0.3">
      <c r="N1139" s="533"/>
      <c r="O1139" s="533"/>
      <c r="P1139" s="349"/>
      <c r="Q1139" s="349"/>
    </row>
    <row r="1140" spans="14:17" x14ac:dyDescent="0.3">
      <c r="N1140" s="533"/>
      <c r="O1140" s="533"/>
      <c r="P1140" s="349"/>
      <c r="Q1140" s="349"/>
    </row>
    <row r="1141" spans="14:17" x14ac:dyDescent="0.3">
      <c r="N1141" s="533"/>
      <c r="O1141" s="533"/>
      <c r="P1141" s="349"/>
      <c r="Q1141" s="349"/>
    </row>
    <row r="1142" spans="14:17" x14ac:dyDescent="0.3">
      <c r="N1142" s="533"/>
      <c r="O1142" s="533"/>
      <c r="P1142" s="349"/>
      <c r="Q1142" s="349"/>
    </row>
    <row r="1143" spans="14:17" x14ac:dyDescent="0.3">
      <c r="N1143" s="533"/>
      <c r="O1143" s="533"/>
      <c r="P1143" s="349"/>
      <c r="Q1143" s="349"/>
    </row>
    <row r="1144" spans="14:17" x14ac:dyDescent="0.3">
      <c r="N1144" s="533"/>
      <c r="O1144" s="533"/>
      <c r="P1144" s="349"/>
      <c r="Q1144" s="349"/>
    </row>
    <row r="1145" spans="14:17" x14ac:dyDescent="0.3">
      <c r="N1145" s="533"/>
      <c r="O1145" s="533"/>
      <c r="P1145" s="349"/>
      <c r="Q1145" s="349"/>
    </row>
    <row r="1146" spans="14:17" x14ac:dyDescent="0.3">
      <c r="N1146" s="533"/>
      <c r="O1146" s="533"/>
      <c r="P1146" s="349"/>
      <c r="Q1146" s="349"/>
    </row>
    <row r="1147" spans="14:17" x14ac:dyDescent="0.3">
      <c r="N1147" s="533"/>
      <c r="O1147" s="533"/>
      <c r="P1147" s="349"/>
      <c r="Q1147" s="349"/>
    </row>
    <row r="1148" spans="14:17" x14ac:dyDescent="0.3">
      <c r="N1148" s="533"/>
      <c r="O1148" s="533"/>
      <c r="P1148" s="349"/>
      <c r="Q1148" s="349"/>
    </row>
    <row r="1149" spans="14:17" x14ac:dyDescent="0.3">
      <c r="N1149" s="533"/>
      <c r="O1149" s="533"/>
      <c r="P1149" s="349"/>
      <c r="Q1149" s="349"/>
    </row>
    <row r="1150" spans="14:17" x14ac:dyDescent="0.3">
      <c r="N1150" s="533"/>
      <c r="O1150" s="533"/>
      <c r="P1150" s="349"/>
      <c r="Q1150" s="349"/>
    </row>
    <row r="1151" spans="14:17" x14ac:dyDescent="0.3">
      <c r="N1151" s="533"/>
      <c r="O1151" s="533"/>
      <c r="P1151" s="349"/>
      <c r="Q1151" s="349"/>
    </row>
    <row r="1152" spans="14:17" x14ac:dyDescent="0.3">
      <c r="N1152" s="533"/>
      <c r="O1152" s="533"/>
      <c r="P1152" s="349"/>
      <c r="Q1152" s="349"/>
    </row>
    <row r="1153" spans="14:17" x14ac:dyDescent="0.3">
      <c r="N1153" s="533"/>
      <c r="O1153" s="533"/>
      <c r="P1153" s="349"/>
      <c r="Q1153" s="349"/>
    </row>
    <row r="1154" spans="14:17" x14ac:dyDescent="0.3">
      <c r="N1154" s="533"/>
      <c r="O1154" s="533"/>
      <c r="P1154" s="349"/>
      <c r="Q1154" s="349"/>
    </row>
    <row r="1155" spans="14:17" x14ac:dyDescent="0.3">
      <c r="N1155" s="533"/>
      <c r="O1155" s="533"/>
      <c r="P1155" s="349"/>
      <c r="Q1155" s="349"/>
    </row>
    <row r="1156" spans="14:17" x14ac:dyDescent="0.3">
      <c r="N1156" s="533"/>
      <c r="O1156" s="533"/>
      <c r="P1156" s="349"/>
      <c r="Q1156" s="349"/>
    </row>
    <row r="1157" spans="14:17" x14ac:dyDescent="0.3">
      <c r="N1157" s="533"/>
      <c r="O1157" s="533"/>
      <c r="P1157" s="349"/>
      <c r="Q1157" s="349"/>
    </row>
    <row r="1158" spans="14:17" x14ac:dyDescent="0.3">
      <c r="N1158" s="533"/>
      <c r="O1158" s="533"/>
      <c r="P1158" s="349"/>
      <c r="Q1158" s="349"/>
    </row>
    <row r="1159" spans="14:17" x14ac:dyDescent="0.3">
      <c r="N1159" s="533"/>
      <c r="O1159" s="533"/>
      <c r="P1159" s="349"/>
      <c r="Q1159" s="349"/>
    </row>
    <row r="1160" spans="14:17" x14ac:dyDescent="0.3">
      <c r="N1160" s="533"/>
      <c r="O1160" s="533"/>
      <c r="P1160" s="349"/>
      <c r="Q1160" s="349"/>
    </row>
    <row r="1161" spans="14:17" x14ac:dyDescent="0.3">
      <c r="N1161" s="533"/>
      <c r="O1161" s="533"/>
      <c r="P1161" s="349"/>
      <c r="Q1161" s="349"/>
    </row>
    <row r="1162" spans="14:17" x14ac:dyDescent="0.3">
      <c r="N1162" s="533"/>
      <c r="O1162" s="533"/>
      <c r="P1162" s="349"/>
      <c r="Q1162" s="349"/>
    </row>
    <row r="1163" spans="14:17" x14ac:dyDescent="0.3">
      <c r="N1163" s="533"/>
      <c r="O1163" s="533"/>
      <c r="P1163" s="349"/>
      <c r="Q1163" s="349"/>
    </row>
    <row r="1164" spans="14:17" x14ac:dyDescent="0.3">
      <c r="N1164" s="533"/>
      <c r="O1164" s="533"/>
      <c r="P1164" s="349"/>
      <c r="Q1164" s="349"/>
    </row>
    <row r="1165" spans="14:17" x14ac:dyDescent="0.3">
      <c r="N1165" s="533"/>
      <c r="O1165" s="533"/>
      <c r="P1165" s="349"/>
      <c r="Q1165" s="349"/>
    </row>
    <row r="1166" spans="14:17" x14ac:dyDescent="0.3">
      <c r="N1166" s="533"/>
      <c r="O1166" s="533"/>
      <c r="P1166" s="349"/>
      <c r="Q1166" s="349"/>
    </row>
    <row r="1167" spans="14:17" x14ac:dyDescent="0.3">
      <c r="N1167" s="533"/>
      <c r="O1167" s="533"/>
      <c r="P1167" s="349"/>
      <c r="Q1167" s="349"/>
    </row>
    <row r="1168" spans="14:17" x14ac:dyDescent="0.3">
      <c r="N1168" s="533"/>
      <c r="O1168" s="533"/>
      <c r="P1168" s="349"/>
      <c r="Q1168" s="349"/>
    </row>
    <row r="1169" spans="14:17" x14ac:dyDescent="0.3">
      <c r="N1169" s="533"/>
      <c r="O1169" s="533"/>
      <c r="P1169" s="349"/>
      <c r="Q1169" s="349"/>
    </row>
    <row r="1170" spans="14:17" x14ac:dyDescent="0.3">
      <c r="N1170" s="533"/>
      <c r="O1170" s="533"/>
      <c r="P1170" s="349"/>
      <c r="Q1170" s="349"/>
    </row>
    <row r="1171" spans="14:17" x14ac:dyDescent="0.3">
      <c r="N1171" s="533"/>
      <c r="O1171" s="533"/>
      <c r="P1171" s="349"/>
      <c r="Q1171" s="349"/>
    </row>
    <row r="1172" spans="14:17" x14ac:dyDescent="0.3">
      <c r="N1172" s="533"/>
      <c r="O1172" s="533"/>
      <c r="P1172" s="349"/>
      <c r="Q1172" s="349"/>
    </row>
    <row r="1173" spans="14:17" x14ac:dyDescent="0.3">
      <c r="N1173" s="533"/>
      <c r="O1173" s="533"/>
      <c r="P1173" s="349"/>
      <c r="Q1173" s="349"/>
    </row>
    <row r="1174" spans="14:17" x14ac:dyDescent="0.3">
      <c r="N1174" s="533"/>
      <c r="O1174" s="533"/>
      <c r="P1174" s="349"/>
      <c r="Q1174" s="349"/>
    </row>
    <row r="1175" spans="14:17" x14ac:dyDescent="0.3">
      <c r="N1175" s="533"/>
      <c r="O1175" s="533"/>
      <c r="P1175" s="349"/>
      <c r="Q1175" s="349"/>
    </row>
    <row r="1176" spans="14:17" x14ac:dyDescent="0.3">
      <c r="N1176" s="533"/>
      <c r="O1176" s="533"/>
      <c r="P1176" s="349"/>
      <c r="Q1176" s="349"/>
    </row>
    <row r="1177" spans="14:17" x14ac:dyDescent="0.3">
      <c r="N1177" s="533"/>
      <c r="O1177" s="533"/>
      <c r="P1177" s="349"/>
      <c r="Q1177" s="349"/>
    </row>
    <row r="1178" spans="14:17" x14ac:dyDescent="0.3">
      <c r="N1178" s="533"/>
      <c r="O1178" s="533"/>
      <c r="P1178" s="349"/>
      <c r="Q1178" s="349"/>
    </row>
    <row r="1179" spans="14:17" x14ac:dyDescent="0.3">
      <c r="N1179" s="533"/>
      <c r="O1179" s="533"/>
      <c r="P1179" s="349"/>
      <c r="Q1179" s="349"/>
    </row>
    <row r="1180" spans="14:17" x14ac:dyDescent="0.3">
      <c r="N1180" s="533"/>
      <c r="O1180" s="533"/>
      <c r="P1180" s="349"/>
      <c r="Q1180" s="349"/>
    </row>
    <row r="1181" spans="14:17" x14ac:dyDescent="0.3">
      <c r="N1181" s="533"/>
      <c r="O1181" s="533"/>
      <c r="P1181" s="349"/>
      <c r="Q1181" s="349"/>
    </row>
    <row r="1182" spans="14:17" x14ac:dyDescent="0.3">
      <c r="N1182" s="533"/>
      <c r="O1182" s="533"/>
      <c r="P1182" s="349"/>
      <c r="Q1182" s="349"/>
    </row>
    <row r="1183" spans="14:17" x14ac:dyDescent="0.3">
      <c r="N1183" s="533"/>
      <c r="O1183" s="533"/>
      <c r="P1183" s="349"/>
      <c r="Q1183" s="349"/>
    </row>
    <row r="1184" spans="14:17" x14ac:dyDescent="0.3">
      <c r="N1184" s="533"/>
      <c r="O1184" s="533"/>
      <c r="P1184" s="349"/>
      <c r="Q1184" s="349"/>
    </row>
    <row r="1185" spans="14:17" x14ac:dyDescent="0.3">
      <c r="N1185" s="533"/>
      <c r="O1185" s="533"/>
      <c r="P1185" s="349"/>
      <c r="Q1185" s="349"/>
    </row>
    <row r="1186" spans="14:17" x14ac:dyDescent="0.3">
      <c r="N1186" s="533"/>
      <c r="O1186" s="533"/>
      <c r="P1186" s="349"/>
      <c r="Q1186" s="349"/>
    </row>
    <row r="1187" spans="14:17" x14ac:dyDescent="0.3">
      <c r="N1187" s="533"/>
      <c r="O1187" s="533"/>
      <c r="P1187" s="349"/>
      <c r="Q1187" s="349"/>
    </row>
    <row r="1188" spans="14:17" x14ac:dyDescent="0.3">
      <c r="N1188" s="533"/>
      <c r="O1188" s="533"/>
      <c r="P1188" s="349"/>
      <c r="Q1188" s="349"/>
    </row>
    <row r="1189" spans="14:17" x14ac:dyDescent="0.3">
      <c r="N1189" s="533"/>
      <c r="O1189" s="533"/>
      <c r="P1189" s="349"/>
      <c r="Q1189" s="349"/>
    </row>
    <row r="1190" spans="14:17" x14ac:dyDescent="0.3">
      <c r="N1190" s="533"/>
      <c r="O1190" s="533"/>
      <c r="P1190" s="349"/>
      <c r="Q1190" s="349"/>
    </row>
    <row r="1191" spans="14:17" x14ac:dyDescent="0.3">
      <c r="N1191" s="533"/>
      <c r="O1191" s="533"/>
      <c r="P1191" s="349"/>
      <c r="Q1191" s="349"/>
    </row>
    <row r="1192" spans="14:17" x14ac:dyDescent="0.3">
      <c r="N1192" s="533"/>
      <c r="O1192" s="533"/>
      <c r="P1192" s="349"/>
      <c r="Q1192" s="349"/>
    </row>
    <row r="1193" spans="14:17" x14ac:dyDescent="0.3">
      <c r="N1193" s="533"/>
      <c r="O1193" s="533"/>
      <c r="P1193" s="349"/>
      <c r="Q1193" s="349"/>
    </row>
    <row r="1194" spans="14:17" x14ac:dyDescent="0.3">
      <c r="N1194" s="533"/>
      <c r="O1194" s="533"/>
      <c r="P1194" s="349"/>
      <c r="Q1194" s="349"/>
    </row>
    <row r="1195" spans="14:17" x14ac:dyDescent="0.3">
      <c r="N1195" s="533"/>
      <c r="O1195" s="533"/>
      <c r="P1195" s="349"/>
      <c r="Q1195" s="349"/>
    </row>
    <row r="1196" spans="14:17" x14ac:dyDescent="0.3">
      <c r="N1196" s="533"/>
      <c r="O1196" s="533"/>
      <c r="P1196" s="349"/>
      <c r="Q1196" s="349"/>
    </row>
    <row r="1197" spans="14:17" x14ac:dyDescent="0.3">
      <c r="N1197" s="533"/>
      <c r="O1197" s="533"/>
      <c r="P1197" s="349"/>
      <c r="Q1197" s="349"/>
    </row>
    <row r="1198" spans="14:17" x14ac:dyDescent="0.3">
      <c r="N1198" s="533"/>
      <c r="O1198" s="533"/>
      <c r="P1198" s="349"/>
      <c r="Q1198" s="349"/>
    </row>
    <row r="1199" spans="14:17" x14ac:dyDescent="0.3">
      <c r="N1199" s="533"/>
      <c r="O1199" s="533"/>
      <c r="P1199" s="349"/>
      <c r="Q1199" s="349"/>
    </row>
    <row r="1200" spans="14:17" x14ac:dyDescent="0.3">
      <c r="N1200" s="533"/>
      <c r="O1200" s="533"/>
      <c r="P1200" s="349"/>
      <c r="Q1200" s="349"/>
    </row>
    <row r="1201" spans="14:17" x14ac:dyDescent="0.3">
      <c r="N1201" s="533"/>
      <c r="O1201" s="533"/>
      <c r="P1201" s="349"/>
      <c r="Q1201" s="349"/>
    </row>
    <row r="1202" spans="14:17" x14ac:dyDescent="0.3">
      <c r="N1202" s="533"/>
      <c r="O1202" s="533"/>
      <c r="P1202" s="349"/>
      <c r="Q1202" s="349"/>
    </row>
    <row r="1203" spans="14:17" x14ac:dyDescent="0.3">
      <c r="N1203" s="533"/>
      <c r="O1203" s="533"/>
      <c r="P1203" s="349"/>
      <c r="Q1203" s="349"/>
    </row>
    <row r="1204" spans="14:17" x14ac:dyDescent="0.3">
      <c r="N1204" s="533"/>
      <c r="O1204" s="533"/>
      <c r="P1204" s="349"/>
      <c r="Q1204" s="349"/>
    </row>
    <row r="1205" spans="14:17" x14ac:dyDescent="0.3">
      <c r="N1205" s="533"/>
      <c r="O1205" s="533"/>
      <c r="P1205" s="349"/>
      <c r="Q1205" s="349"/>
    </row>
    <row r="1206" spans="14:17" x14ac:dyDescent="0.3">
      <c r="N1206" s="533"/>
      <c r="O1206" s="533"/>
      <c r="P1206" s="349"/>
      <c r="Q1206" s="349"/>
    </row>
    <row r="1207" spans="14:17" x14ac:dyDescent="0.3">
      <c r="N1207" s="533"/>
      <c r="O1207" s="533"/>
      <c r="P1207" s="349"/>
      <c r="Q1207" s="349"/>
    </row>
    <row r="1208" spans="14:17" x14ac:dyDescent="0.3">
      <c r="N1208" s="533"/>
      <c r="O1208" s="533"/>
      <c r="P1208" s="349"/>
      <c r="Q1208" s="349"/>
    </row>
    <row r="1209" spans="14:17" x14ac:dyDescent="0.3">
      <c r="N1209" s="533"/>
      <c r="O1209" s="533"/>
      <c r="P1209" s="349"/>
      <c r="Q1209" s="349"/>
    </row>
    <row r="1210" spans="14:17" x14ac:dyDescent="0.3">
      <c r="N1210" s="533"/>
      <c r="O1210" s="533"/>
      <c r="P1210" s="349"/>
      <c r="Q1210" s="349"/>
    </row>
    <row r="1211" spans="14:17" x14ac:dyDescent="0.3">
      <c r="N1211" s="533"/>
      <c r="O1211" s="533"/>
      <c r="P1211" s="349"/>
      <c r="Q1211" s="349"/>
    </row>
    <row r="1212" spans="14:17" x14ac:dyDescent="0.3">
      <c r="N1212" s="533"/>
      <c r="O1212" s="533"/>
      <c r="P1212" s="349"/>
      <c r="Q1212" s="349"/>
    </row>
    <row r="1213" spans="14:17" x14ac:dyDescent="0.3">
      <c r="N1213" s="533"/>
      <c r="O1213" s="533"/>
      <c r="P1213" s="349"/>
      <c r="Q1213" s="349"/>
    </row>
    <row r="1214" spans="14:17" x14ac:dyDescent="0.3">
      <c r="N1214" s="533"/>
      <c r="O1214" s="533"/>
      <c r="P1214" s="349"/>
      <c r="Q1214" s="349"/>
    </row>
    <row r="1215" spans="14:17" x14ac:dyDescent="0.3">
      <c r="N1215" s="533"/>
      <c r="O1215" s="533"/>
      <c r="P1215" s="349"/>
      <c r="Q1215" s="349"/>
    </row>
    <row r="1216" spans="14:17" x14ac:dyDescent="0.3">
      <c r="N1216" s="533"/>
      <c r="O1216" s="533"/>
      <c r="P1216" s="349"/>
      <c r="Q1216" s="349"/>
    </row>
    <row r="1217" spans="14:17" x14ac:dyDescent="0.3">
      <c r="N1217" s="533"/>
      <c r="O1217" s="533"/>
      <c r="P1217" s="349"/>
      <c r="Q1217" s="349"/>
    </row>
    <row r="1218" spans="14:17" x14ac:dyDescent="0.3">
      <c r="N1218" s="533"/>
      <c r="O1218" s="533"/>
      <c r="P1218" s="349"/>
      <c r="Q1218" s="349"/>
    </row>
    <row r="1219" spans="14:17" x14ac:dyDescent="0.3">
      <c r="N1219" s="533"/>
      <c r="O1219" s="533"/>
      <c r="P1219" s="349"/>
      <c r="Q1219" s="349"/>
    </row>
    <row r="1220" spans="14:17" x14ac:dyDescent="0.3">
      <c r="N1220" s="533"/>
      <c r="O1220" s="533"/>
      <c r="P1220" s="349"/>
      <c r="Q1220" s="349"/>
    </row>
    <row r="1221" spans="14:17" x14ac:dyDescent="0.3">
      <c r="N1221" s="533"/>
      <c r="O1221" s="533"/>
      <c r="P1221" s="349"/>
      <c r="Q1221" s="349"/>
    </row>
    <row r="1222" spans="14:17" x14ac:dyDescent="0.3">
      <c r="N1222" s="533"/>
      <c r="O1222" s="533"/>
      <c r="P1222" s="349"/>
      <c r="Q1222" s="349"/>
    </row>
    <row r="1223" spans="14:17" x14ac:dyDescent="0.3">
      <c r="N1223" s="533"/>
      <c r="O1223" s="533"/>
      <c r="P1223" s="349"/>
      <c r="Q1223" s="349"/>
    </row>
    <row r="1224" spans="14:17" x14ac:dyDescent="0.3">
      <c r="N1224" s="533"/>
      <c r="O1224" s="533"/>
      <c r="P1224" s="349"/>
      <c r="Q1224" s="349"/>
    </row>
    <row r="1225" spans="14:17" x14ac:dyDescent="0.3">
      <c r="N1225" s="533"/>
      <c r="O1225" s="533"/>
      <c r="P1225" s="349"/>
      <c r="Q1225" s="349"/>
    </row>
    <row r="1226" spans="14:17" x14ac:dyDescent="0.3">
      <c r="N1226" s="533"/>
      <c r="O1226" s="533"/>
      <c r="P1226" s="349"/>
      <c r="Q1226" s="349"/>
    </row>
    <row r="1227" spans="14:17" x14ac:dyDescent="0.3">
      <c r="N1227" s="533"/>
      <c r="O1227" s="533"/>
      <c r="P1227" s="349"/>
      <c r="Q1227" s="349"/>
    </row>
    <row r="1228" spans="14:17" x14ac:dyDescent="0.3">
      <c r="N1228" s="533"/>
      <c r="O1228" s="533"/>
      <c r="P1228" s="349"/>
      <c r="Q1228" s="349"/>
    </row>
    <row r="1229" spans="14:17" x14ac:dyDescent="0.3">
      <c r="N1229" s="533"/>
      <c r="O1229" s="533"/>
      <c r="P1229" s="349"/>
      <c r="Q1229" s="349"/>
    </row>
    <row r="1230" spans="14:17" x14ac:dyDescent="0.3">
      <c r="N1230" s="533"/>
      <c r="O1230" s="533"/>
      <c r="P1230" s="349"/>
      <c r="Q1230" s="349"/>
    </row>
    <row r="1231" spans="14:17" x14ac:dyDescent="0.3">
      <c r="N1231" s="533"/>
      <c r="O1231" s="533"/>
      <c r="P1231" s="349"/>
      <c r="Q1231" s="349"/>
    </row>
    <row r="1232" spans="14:17" x14ac:dyDescent="0.3">
      <c r="N1232" s="533"/>
      <c r="O1232" s="533"/>
      <c r="P1232" s="349"/>
      <c r="Q1232" s="349"/>
    </row>
    <row r="1233" spans="14:17" x14ac:dyDescent="0.3">
      <c r="N1233" s="533"/>
      <c r="O1233" s="533"/>
      <c r="P1233" s="349"/>
      <c r="Q1233" s="349"/>
    </row>
    <row r="1234" spans="14:17" x14ac:dyDescent="0.3">
      <c r="N1234" s="533"/>
      <c r="O1234" s="533"/>
      <c r="P1234" s="349"/>
      <c r="Q1234" s="349"/>
    </row>
    <row r="1235" spans="14:17" x14ac:dyDescent="0.3">
      <c r="N1235" s="533"/>
      <c r="O1235" s="533"/>
      <c r="P1235" s="349"/>
      <c r="Q1235" s="349"/>
    </row>
    <row r="1236" spans="14:17" x14ac:dyDescent="0.3">
      <c r="N1236" s="533"/>
      <c r="O1236" s="533"/>
      <c r="P1236" s="349"/>
      <c r="Q1236" s="349"/>
    </row>
    <row r="1237" spans="14:17" x14ac:dyDescent="0.3">
      <c r="N1237" s="533"/>
      <c r="O1237" s="533"/>
      <c r="P1237" s="349"/>
      <c r="Q1237" s="349"/>
    </row>
    <row r="1238" spans="14:17" x14ac:dyDescent="0.3">
      <c r="N1238" s="533"/>
      <c r="O1238" s="533"/>
      <c r="P1238" s="349"/>
      <c r="Q1238" s="349"/>
    </row>
    <row r="1239" spans="14:17" x14ac:dyDescent="0.3">
      <c r="N1239" s="533"/>
      <c r="O1239" s="533"/>
      <c r="P1239" s="349"/>
      <c r="Q1239" s="349"/>
    </row>
    <row r="1240" spans="14:17" x14ac:dyDescent="0.3">
      <c r="N1240" s="533"/>
      <c r="O1240" s="533"/>
      <c r="P1240" s="349"/>
      <c r="Q1240" s="349"/>
    </row>
    <row r="1241" spans="14:17" x14ac:dyDescent="0.3">
      <c r="N1241" s="533"/>
      <c r="O1241" s="533"/>
      <c r="P1241" s="349"/>
      <c r="Q1241" s="349"/>
    </row>
    <row r="1242" spans="14:17" x14ac:dyDescent="0.3">
      <c r="N1242" s="533"/>
      <c r="O1242" s="533"/>
      <c r="P1242" s="349"/>
      <c r="Q1242" s="349"/>
    </row>
    <row r="1243" spans="14:17" x14ac:dyDescent="0.3">
      <c r="N1243" s="533"/>
      <c r="O1243" s="533"/>
      <c r="P1243" s="349"/>
      <c r="Q1243" s="349"/>
    </row>
    <row r="1244" spans="14:17" x14ac:dyDescent="0.3">
      <c r="N1244" s="533"/>
      <c r="O1244" s="533"/>
      <c r="P1244" s="349"/>
      <c r="Q1244" s="349"/>
    </row>
    <row r="1245" spans="14:17" x14ac:dyDescent="0.3">
      <c r="N1245" s="533"/>
      <c r="O1245" s="533"/>
      <c r="P1245" s="349"/>
      <c r="Q1245" s="349"/>
    </row>
    <row r="1246" spans="14:17" x14ac:dyDescent="0.3">
      <c r="N1246" s="533"/>
      <c r="O1246" s="533"/>
      <c r="P1246" s="349"/>
      <c r="Q1246" s="349"/>
    </row>
    <row r="1247" spans="14:17" x14ac:dyDescent="0.3">
      <c r="N1247" s="533"/>
      <c r="O1247" s="533"/>
      <c r="P1247" s="349"/>
      <c r="Q1247" s="349"/>
    </row>
    <row r="1248" spans="14:17" x14ac:dyDescent="0.3">
      <c r="N1248" s="533"/>
      <c r="O1248" s="533"/>
      <c r="P1248" s="349"/>
      <c r="Q1248" s="349"/>
    </row>
    <row r="1249" spans="14:17" x14ac:dyDescent="0.3">
      <c r="N1249" s="533"/>
      <c r="O1249" s="533"/>
      <c r="P1249" s="349"/>
      <c r="Q1249" s="349"/>
    </row>
    <row r="1250" spans="14:17" x14ac:dyDescent="0.3">
      <c r="N1250" s="533"/>
      <c r="O1250" s="533"/>
      <c r="P1250" s="349"/>
      <c r="Q1250" s="349"/>
    </row>
    <row r="1251" spans="14:17" x14ac:dyDescent="0.3">
      <c r="N1251" s="533"/>
      <c r="O1251" s="533"/>
      <c r="P1251" s="349"/>
      <c r="Q1251" s="349"/>
    </row>
    <row r="1252" spans="14:17" x14ac:dyDescent="0.3">
      <c r="N1252" s="533"/>
      <c r="O1252" s="533"/>
      <c r="P1252" s="349"/>
      <c r="Q1252" s="349"/>
    </row>
    <row r="1253" spans="14:17" x14ac:dyDescent="0.3">
      <c r="N1253" s="533"/>
      <c r="O1253" s="533"/>
      <c r="P1253" s="349"/>
      <c r="Q1253" s="349"/>
    </row>
    <row r="1254" spans="14:17" x14ac:dyDescent="0.3">
      <c r="N1254" s="533"/>
      <c r="O1254" s="533"/>
      <c r="P1254" s="349"/>
      <c r="Q1254" s="349"/>
    </row>
    <row r="1255" spans="14:17" x14ac:dyDescent="0.3">
      <c r="N1255" s="533"/>
      <c r="O1255" s="533"/>
      <c r="P1255" s="349"/>
      <c r="Q1255" s="349"/>
    </row>
    <row r="1256" spans="14:17" x14ac:dyDescent="0.3">
      <c r="N1256" s="533"/>
      <c r="O1256" s="533"/>
      <c r="P1256" s="349"/>
      <c r="Q1256" s="349"/>
    </row>
    <row r="1257" spans="14:17" x14ac:dyDescent="0.3">
      <c r="N1257" s="533"/>
      <c r="O1257" s="533"/>
      <c r="P1257" s="349"/>
      <c r="Q1257" s="349"/>
    </row>
    <row r="1258" spans="14:17" x14ac:dyDescent="0.3">
      <c r="N1258" s="533"/>
      <c r="O1258" s="533"/>
      <c r="P1258" s="349"/>
      <c r="Q1258" s="349"/>
    </row>
    <row r="1259" spans="14:17" x14ac:dyDescent="0.3">
      <c r="N1259" s="533"/>
      <c r="O1259" s="533"/>
      <c r="P1259" s="349"/>
      <c r="Q1259" s="349"/>
    </row>
    <row r="1260" spans="14:17" x14ac:dyDescent="0.3">
      <c r="N1260" s="533"/>
      <c r="O1260" s="533"/>
      <c r="P1260" s="349"/>
      <c r="Q1260" s="349"/>
    </row>
    <row r="1261" spans="14:17" x14ac:dyDescent="0.3">
      <c r="N1261" s="533"/>
      <c r="O1261" s="533"/>
      <c r="P1261" s="349"/>
      <c r="Q1261" s="349"/>
    </row>
    <row r="1262" spans="14:17" x14ac:dyDescent="0.3">
      <c r="N1262" s="533"/>
      <c r="O1262" s="533"/>
      <c r="P1262" s="349"/>
      <c r="Q1262" s="349"/>
    </row>
    <row r="1263" spans="14:17" x14ac:dyDescent="0.3">
      <c r="N1263" s="533"/>
      <c r="O1263" s="533"/>
      <c r="P1263" s="349"/>
      <c r="Q1263" s="349"/>
    </row>
    <row r="1264" spans="14:17" x14ac:dyDescent="0.3">
      <c r="N1264" s="533"/>
      <c r="O1264" s="533"/>
      <c r="P1264" s="349"/>
      <c r="Q1264" s="349"/>
    </row>
    <row r="1265" spans="14:17" x14ac:dyDescent="0.3">
      <c r="N1265" s="533"/>
      <c r="O1265" s="533"/>
      <c r="P1265" s="349"/>
      <c r="Q1265" s="349"/>
    </row>
    <row r="1266" spans="14:17" x14ac:dyDescent="0.3">
      <c r="N1266" s="533"/>
      <c r="O1266" s="533"/>
      <c r="P1266" s="349"/>
      <c r="Q1266" s="349"/>
    </row>
    <row r="1267" spans="14:17" x14ac:dyDescent="0.3">
      <c r="N1267" s="533"/>
      <c r="O1267" s="533"/>
      <c r="P1267" s="349"/>
      <c r="Q1267" s="349"/>
    </row>
    <row r="1268" spans="14:17" x14ac:dyDescent="0.3">
      <c r="N1268" s="533"/>
      <c r="O1268" s="533"/>
      <c r="P1268" s="349"/>
      <c r="Q1268" s="349"/>
    </row>
    <row r="1269" spans="14:17" x14ac:dyDescent="0.3">
      <c r="N1269" s="533"/>
      <c r="O1269" s="533"/>
      <c r="P1269" s="349"/>
      <c r="Q1269" s="349"/>
    </row>
    <row r="1270" spans="14:17" x14ac:dyDescent="0.3">
      <c r="N1270" s="533"/>
      <c r="O1270" s="533"/>
      <c r="P1270" s="349"/>
      <c r="Q1270" s="349"/>
    </row>
    <row r="1271" spans="14:17" x14ac:dyDescent="0.3">
      <c r="N1271" s="533"/>
      <c r="O1271" s="533"/>
      <c r="P1271" s="349"/>
      <c r="Q1271" s="349"/>
    </row>
    <row r="1272" spans="14:17" x14ac:dyDescent="0.3">
      <c r="N1272" s="533"/>
      <c r="O1272" s="533"/>
      <c r="P1272" s="349"/>
      <c r="Q1272" s="349"/>
    </row>
    <row r="1273" spans="14:17" x14ac:dyDescent="0.3">
      <c r="N1273" s="533"/>
      <c r="O1273" s="533"/>
      <c r="P1273" s="349"/>
      <c r="Q1273" s="349"/>
    </row>
    <row r="1274" spans="14:17" x14ac:dyDescent="0.3">
      <c r="N1274" s="533"/>
      <c r="O1274" s="533"/>
      <c r="P1274" s="349"/>
      <c r="Q1274" s="349"/>
    </row>
    <row r="1275" spans="14:17" x14ac:dyDescent="0.3">
      <c r="N1275" s="533"/>
      <c r="O1275" s="533"/>
      <c r="P1275" s="349"/>
      <c r="Q1275" s="349"/>
    </row>
    <row r="1276" spans="14:17" x14ac:dyDescent="0.3">
      <c r="N1276" s="533"/>
      <c r="O1276" s="533"/>
      <c r="P1276" s="349"/>
      <c r="Q1276" s="349"/>
    </row>
    <row r="1277" spans="14:17" x14ac:dyDescent="0.3">
      <c r="N1277" s="533"/>
      <c r="O1277" s="533"/>
      <c r="P1277" s="349"/>
      <c r="Q1277" s="349"/>
    </row>
    <row r="1278" spans="14:17" x14ac:dyDescent="0.3">
      <c r="N1278" s="533"/>
      <c r="O1278" s="533"/>
      <c r="P1278" s="349"/>
      <c r="Q1278" s="349"/>
    </row>
    <row r="1279" spans="14:17" x14ac:dyDescent="0.3">
      <c r="N1279" s="533"/>
      <c r="O1279" s="533"/>
      <c r="P1279" s="349"/>
      <c r="Q1279" s="349"/>
    </row>
    <row r="1280" spans="14:17" x14ac:dyDescent="0.3">
      <c r="N1280" s="533"/>
      <c r="O1280" s="533"/>
      <c r="P1280" s="349"/>
      <c r="Q1280" s="349"/>
    </row>
    <row r="1281" spans="14:17" x14ac:dyDescent="0.3">
      <c r="N1281" s="533"/>
      <c r="O1281" s="533"/>
      <c r="P1281" s="349"/>
      <c r="Q1281" s="349"/>
    </row>
    <row r="1282" spans="14:17" x14ac:dyDescent="0.3">
      <c r="N1282" s="533"/>
      <c r="O1282" s="533"/>
      <c r="P1282" s="349"/>
      <c r="Q1282" s="349"/>
    </row>
    <row r="1283" spans="14:17" x14ac:dyDescent="0.3">
      <c r="N1283" s="533"/>
      <c r="O1283" s="533"/>
      <c r="P1283" s="349"/>
      <c r="Q1283" s="349"/>
    </row>
    <row r="1284" spans="14:17" x14ac:dyDescent="0.3">
      <c r="N1284" s="533"/>
      <c r="O1284" s="533"/>
      <c r="P1284" s="349"/>
      <c r="Q1284" s="349"/>
    </row>
    <row r="1285" spans="14:17" x14ac:dyDescent="0.3">
      <c r="N1285" s="533"/>
      <c r="O1285" s="533"/>
      <c r="P1285" s="349"/>
      <c r="Q1285" s="349"/>
    </row>
    <row r="1286" spans="14:17" x14ac:dyDescent="0.3">
      <c r="N1286" s="533"/>
      <c r="O1286" s="533"/>
      <c r="P1286" s="349"/>
      <c r="Q1286" s="349"/>
    </row>
    <row r="1287" spans="14:17" x14ac:dyDescent="0.3">
      <c r="N1287" s="533"/>
      <c r="O1287" s="533"/>
      <c r="P1287" s="349"/>
      <c r="Q1287" s="349"/>
    </row>
    <row r="1288" spans="14:17" x14ac:dyDescent="0.3">
      <c r="N1288" s="533"/>
      <c r="O1288" s="533"/>
      <c r="P1288" s="349"/>
      <c r="Q1288" s="349"/>
    </row>
    <row r="1289" spans="14:17" x14ac:dyDescent="0.3">
      <c r="N1289" s="533"/>
      <c r="O1289" s="533"/>
      <c r="P1289" s="349"/>
      <c r="Q1289" s="349"/>
    </row>
    <row r="1290" spans="14:17" x14ac:dyDescent="0.3">
      <c r="N1290" s="533"/>
      <c r="O1290" s="533"/>
      <c r="P1290" s="349"/>
      <c r="Q1290" s="349"/>
    </row>
    <row r="1291" spans="14:17" x14ac:dyDescent="0.3">
      <c r="N1291" s="533"/>
      <c r="O1291" s="533"/>
      <c r="P1291" s="349"/>
      <c r="Q1291" s="349"/>
    </row>
    <row r="1292" spans="14:17" x14ac:dyDescent="0.3">
      <c r="N1292" s="533"/>
      <c r="O1292" s="533"/>
      <c r="P1292" s="349"/>
      <c r="Q1292" s="349"/>
    </row>
    <row r="1293" spans="14:17" x14ac:dyDescent="0.3">
      <c r="N1293" s="533"/>
      <c r="O1293" s="533"/>
      <c r="P1293" s="349"/>
      <c r="Q1293" s="349"/>
    </row>
    <row r="1294" spans="14:17" x14ac:dyDescent="0.3">
      <c r="N1294" s="533"/>
      <c r="O1294" s="533"/>
      <c r="P1294" s="349"/>
      <c r="Q1294" s="349"/>
    </row>
    <row r="1295" spans="14:17" x14ac:dyDescent="0.3">
      <c r="N1295" s="533"/>
      <c r="O1295" s="533"/>
      <c r="P1295" s="349"/>
      <c r="Q1295" s="349"/>
    </row>
    <row r="1296" spans="14:17" x14ac:dyDescent="0.3">
      <c r="N1296" s="533"/>
      <c r="O1296" s="533"/>
      <c r="P1296" s="349"/>
      <c r="Q1296" s="349"/>
    </row>
    <row r="1297" spans="14:17" x14ac:dyDescent="0.3">
      <c r="N1297" s="533"/>
      <c r="O1297" s="533"/>
      <c r="P1297" s="349"/>
      <c r="Q1297" s="349"/>
    </row>
    <row r="1298" spans="14:17" x14ac:dyDescent="0.3">
      <c r="N1298" s="533"/>
      <c r="O1298" s="533"/>
      <c r="P1298" s="349"/>
      <c r="Q1298" s="349"/>
    </row>
    <row r="1299" spans="14:17" x14ac:dyDescent="0.3">
      <c r="N1299" s="533"/>
      <c r="O1299" s="533"/>
      <c r="P1299" s="349"/>
      <c r="Q1299" s="349"/>
    </row>
    <row r="1300" spans="14:17" x14ac:dyDescent="0.3">
      <c r="N1300" s="533"/>
      <c r="O1300" s="533"/>
      <c r="P1300" s="349"/>
      <c r="Q1300" s="349"/>
    </row>
    <row r="1301" spans="14:17" x14ac:dyDescent="0.3">
      <c r="N1301" s="533"/>
      <c r="O1301" s="533"/>
      <c r="P1301" s="349"/>
      <c r="Q1301" s="349"/>
    </row>
    <row r="1302" spans="14:17" x14ac:dyDescent="0.3">
      <c r="N1302" s="533"/>
      <c r="O1302" s="533"/>
      <c r="P1302" s="349"/>
      <c r="Q1302" s="349"/>
    </row>
    <row r="1303" spans="14:17" x14ac:dyDescent="0.3">
      <c r="N1303" s="533"/>
      <c r="O1303" s="533"/>
      <c r="P1303" s="349"/>
      <c r="Q1303" s="349"/>
    </row>
    <row r="1304" spans="14:17" x14ac:dyDescent="0.3">
      <c r="N1304" s="533"/>
      <c r="O1304" s="533"/>
      <c r="P1304" s="349"/>
      <c r="Q1304" s="349"/>
    </row>
    <row r="1305" spans="14:17" x14ac:dyDescent="0.3">
      <c r="N1305" s="533"/>
      <c r="O1305" s="533"/>
      <c r="P1305" s="349"/>
      <c r="Q1305" s="349"/>
    </row>
    <row r="1306" spans="14:17" x14ac:dyDescent="0.3">
      <c r="N1306" s="533"/>
      <c r="O1306" s="533"/>
      <c r="P1306" s="349"/>
      <c r="Q1306" s="349"/>
    </row>
    <row r="1307" spans="14:17" x14ac:dyDescent="0.3">
      <c r="N1307" s="533"/>
      <c r="O1307" s="533"/>
      <c r="P1307" s="349"/>
      <c r="Q1307" s="349"/>
    </row>
    <row r="1308" spans="14:17" x14ac:dyDescent="0.3">
      <c r="N1308" s="533"/>
      <c r="O1308" s="533"/>
      <c r="P1308" s="349"/>
      <c r="Q1308" s="349"/>
    </row>
    <row r="1309" spans="14:17" x14ac:dyDescent="0.3">
      <c r="N1309" s="533"/>
      <c r="O1309" s="533"/>
      <c r="P1309" s="349"/>
      <c r="Q1309" s="349"/>
    </row>
    <row r="1310" spans="14:17" x14ac:dyDescent="0.3">
      <c r="N1310" s="533"/>
      <c r="O1310" s="533"/>
      <c r="P1310" s="349"/>
      <c r="Q1310" s="349"/>
    </row>
    <row r="1311" spans="14:17" x14ac:dyDescent="0.3">
      <c r="N1311" s="533"/>
      <c r="O1311" s="533"/>
      <c r="P1311" s="349"/>
      <c r="Q1311" s="349"/>
    </row>
    <row r="1312" spans="14:17" x14ac:dyDescent="0.3">
      <c r="N1312" s="533"/>
      <c r="O1312" s="533"/>
      <c r="P1312" s="349"/>
      <c r="Q1312" s="349"/>
    </row>
    <row r="1313" spans="14:17" x14ac:dyDescent="0.3">
      <c r="N1313" s="533"/>
      <c r="O1313" s="533"/>
      <c r="P1313" s="349"/>
      <c r="Q1313" s="349"/>
    </row>
    <row r="1314" spans="14:17" x14ac:dyDescent="0.3">
      <c r="N1314" s="533"/>
      <c r="O1314" s="533"/>
      <c r="P1314" s="349"/>
      <c r="Q1314" s="349"/>
    </row>
    <row r="1315" spans="14:17" x14ac:dyDescent="0.3">
      <c r="N1315" s="533"/>
      <c r="O1315" s="533"/>
      <c r="P1315" s="349"/>
      <c r="Q1315" s="349"/>
    </row>
    <row r="1316" spans="14:17" x14ac:dyDescent="0.3">
      <c r="N1316" s="533"/>
      <c r="O1316" s="533"/>
      <c r="P1316" s="349"/>
      <c r="Q1316" s="349"/>
    </row>
    <row r="1317" spans="14:17" x14ac:dyDescent="0.3">
      <c r="N1317" s="533"/>
      <c r="O1317" s="533"/>
      <c r="P1317" s="349"/>
      <c r="Q1317" s="349"/>
    </row>
    <row r="1318" spans="14:17" x14ac:dyDescent="0.3">
      <c r="N1318" s="533"/>
      <c r="O1318" s="533"/>
      <c r="P1318" s="349"/>
      <c r="Q1318" s="349"/>
    </row>
    <row r="1319" spans="14:17" x14ac:dyDescent="0.3">
      <c r="N1319" s="533"/>
      <c r="O1319" s="533"/>
      <c r="P1319" s="349"/>
      <c r="Q1319" s="349"/>
    </row>
    <row r="1320" spans="14:17" x14ac:dyDescent="0.3">
      <c r="N1320" s="533"/>
      <c r="O1320" s="533"/>
      <c r="P1320" s="349"/>
      <c r="Q1320" s="349"/>
    </row>
    <row r="1321" spans="14:17" x14ac:dyDescent="0.3">
      <c r="N1321" s="533"/>
      <c r="O1321" s="533"/>
      <c r="P1321" s="349"/>
      <c r="Q1321" s="349"/>
    </row>
    <row r="1322" spans="14:17" x14ac:dyDescent="0.3">
      <c r="N1322" s="533"/>
      <c r="O1322" s="533"/>
      <c r="P1322" s="349"/>
      <c r="Q1322" s="349"/>
    </row>
    <row r="1323" spans="14:17" x14ac:dyDescent="0.3">
      <c r="N1323" s="533"/>
      <c r="O1323" s="533"/>
      <c r="P1323" s="349"/>
      <c r="Q1323" s="349"/>
    </row>
    <row r="1324" spans="14:17" x14ac:dyDescent="0.3">
      <c r="N1324" s="533"/>
      <c r="O1324" s="533"/>
      <c r="P1324" s="349"/>
      <c r="Q1324" s="349"/>
    </row>
    <row r="1325" spans="14:17" x14ac:dyDescent="0.3">
      <c r="N1325" s="533"/>
      <c r="O1325" s="533"/>
      <c r="P1325" s="349"/>
      <c r="Q1325" s="349"/>
    </row>
    <row r="1326" spans="14:17" x14ac:dyDescent="0.3">
      <c r="N1326" s="533"/>
      <c r="O1326" s="533"/>
      <c r="P1326" s="349"/>
      <c r="Q1326" s="349"/>
    </row>
    <row r="1327" spans="14:17" x14ac:dyDescent="0.3">
      <c r="N1327" s="533"/>
      <c r="O1327" s="533"/>
      <c r="P1327" s="349"/>
      <c r="Q1327" s="349"/>
    </row>
    <row r="1328" spans="14:17" x14ac:dyDescent="0.3">
      <c r="N1328" s="533"/>
      <c r="O1328" s="533"/>
      <c r="P1328" s="349"/>
      <c r="Q1328" s="349"/>
    </row>
    <row r="1329" spans="14:17" x14ac:dyDescent="0.3">
      <c r="N1329" s="533"/>
      <c r="O1329" s="533"/>
      <c r="P1329" s="349"/>
      <c r="Q1329" s="349"/>
    </row>
    <row r="1330" spans="14:17" x14ac:dyDescent="0.3">
      <c r="N1330" s="533"/>
      <c r="O1330" s="533"/>
      <c r="P1330" s="349"/>
      <c r="Q1330" s="349"/>
    </row>
    <row r="1331" spans="14:17" x14ac:dyDescent="0.3">
      <c r="N1331" s="533"/>
      <c r="O1331" s="533"/>
      <c r="P1331" s="349"/>
      <c r="Q1331" s="349"/>
    </row>
    <row r="1332" spans="14:17" x14ac:dyDescent="0.3">
      <c r="N1332" s="533"/>
      <c r="O1332" s="533"/>
      <c r="P1332" s="349"/>
      <c r="Q1332" s="349"/>
    </row>
    <row r="1333" spans="14:17" x14ac:dyDescent="0.3">
      <c r="N1333" s="533"/>
      <c r="O1333" s="533"/>
      <c r="P1333" s="349"/>
      <c r="Q1333" s="349"/>
    </row>
    <row r="1334" spans="14:17" x14ac:dyDescent="0.3">
      <c r="N1334" s="533"/>
      <c r="O1334" s="533"/>
      <c r="P1334" s="349"/>
      <c r="Q1334" s="349"/>
    </row>
    <row r="1335" spans="14:17" x14ac:dyDescent="0.3">
      <c r="N1335" s="533"/>
      <c r="O1335" s="533"/>
      <c r="P1335" s="349"/>
      <c r="Q1335" s="349"/>
    </row>
    <row r="1336" spans="14:17" x14ac:dyDescent="0.3">
      <c r="N1336" s="533"/>
      <c r="O1336" s="533"/>
      <c r="P1336" s="349"/>
      <c r="Q1336" s="349"/>
    </row>
    <row r="1337" spans="14:17" x14ac:dyDescent="0.3">
      <c r="N1337" s="533"/>
      <c r="O1337" s="533"/>
      <c r="P1337" s="349"/>
      <c r="Q1337" s="349"/>
    </row>
    <row r="1338" spans="14:17" x14ac:dyDescent="0.3">
      <c r="N1338" s="533"/>
      <c r="O1338" s="533"/>
      <c r="P1338" s="349"/>
      <c r="Q1338" s="349"/>
    </row>
    <row r="1339" spans="14:17" x14ac:dyDescent="0.3">
      <c r="N1339" s="533"/>
      <c r="O1339" s="533"/>
      <c r="P1339" s="349"/>
      <c r="Q1339" s="349"/>
    </row>
    <row r="1340" spans="14:17" x14ac:dyDescent="0.3">
      <c r="N1340" s="533"/>
      <c r="O1340" s="533"/>
      <c r="P1340" s="349"/>
      <c r="Q1340" s="349"/>
    </row>
    <row r="1341" spans="14:17" x14ac:dyDescent="0.3">
      <c r="N1341" s="533"/>
      <c r="O1341" s="533"/>
      <c r="P1341" s="349"/>
      <c r="Q1341" s="349"/>
    </row>
    <row r="1342" spans="14:17" x14ac:dyDescent="0.3">
      <c r="N1342" s="533"/>
      <c r="O1342" s="533"/>
      <c r="P1342" s="349"/>
      <c r="Q1342" s="349"/>
    </row>
    <row r="1343" spans="14:17" x14ac:dyDescent="0.3">
      <c r="N1343" s="533"/>
      <c r="O1343" s="533"/>
      <c r="P1343" s="349"/>
      <c r="Q1343" s="349"/>
    </row>
    <row r="1344" spans="14:17" x14ac:dyDescent="0.3">
      <c r="N1344" s="533"/>
      <c r="O1344" s="533"/>
      <c r="P1344" s="349"/>
      <c r="Q1344" s="349"/>
    </row>
    <row r="1345" spans="14:17" x14ac:dyDescent="0.3">
      <c r="N1345" s="533"/>
      <c r="O1345" s="533"/>
      <c r="P1345" s="349"/>
      <c r="Q1345" s="349"/>
    </row>
    <row r="1346" spans="14:17" x14ac:dyDescent="0.3">
      <c r="N1346" s="533"/>
      <c r="O1346" s="533"/>
      <c r="P1346" s="349"/>
      <c r="Q1346" s="349"/>
    </row>
    <row r="1347" spans="14:17" x14ac:dyDescent="0.3">
      <c r="N1347" s="533"/>
      <c r="O1347" s="533"/>
      <c r="P1347" s="349"/>
      <c r="Q1347" s="349"/>
    </row>
    <row r="1348" spans="14:17" x14ac:dyDescent="0.3">
      <c r="N1348" s="533"/>
      <c r="O1348" s="533"/>
      <c r="P1348" s="349"/>
      <c r="Q1348" s="349"/>
    </row>
    <row r="1349" spans="14:17" x14ac:dyDescent="0.3">
      <c r="N1349" s="533"/>
      <c r="O1349" s="533"/>
      <c r="P1349" s="349"/>
      <c r="Q1349" s="349"/>
    </row>
    <row r="1350" spans="14:17" x14ac:dyDescent="0.3">
      <c r="N1350" s="533"/>
      <c r="O1350" s="533"/>
      <c r="P1350" s="349"/>
      <c r="Q1350" s="349"/>
    </row>
    <row r="1351" spans="14:17" x14ac:dyDescent="0.3">
      <c r="N1351" s="533"/>
      <c r="O1351" s="533"/>
      <c r="P1351" s="349"/>
      <c r="Q1351" s="349"/>
    </row>
    <row r="1352" spans="14:17" x14ac:dyDescent="0.3">
      <c r="N1352" s="533"/>
      <c r="O1352" s="533"/>
      <c r="P1352" s="349"/>
      <c r="Q1352" s="349"/>
    </row>
    <row r="1353" spans="14:17" x14ac:dyDescent="0.3">
      <c r="N1353" s="533"/>
      <c r="O1353" s="533"/>
      <c r="P1353" s="349"/>
      <c r="Q1353" s="349"/>
    </row>
    <row r="1354" spans="14:17" x14ac:dyDescent="0.3">
      <c r="N1354" s="533"/>
      <c r="O1354" s="533"/>
      <c r="P1354" s="349"/>
      <c r="Q1354" s="349"/>
    </row>
    <row r="1355" spans="14:17" x14ac:dyDescent="0.3">
      <c r="N1355" s="533"/>
      <c r="O1355" s="533"/>
      <c r="P1355" s="349"/>
      <c r="Q1355" s="349"/>
    </row>
    <row r="1356" spans="14:17" x14ac:dyDescent="0.3">
      <c r="N1356" s="533"/>
      <c r="O1356" s="533"/>
      <c r="P1356" s="349"/>
      <c r="Q1356" s="349"/>
    </row>
    <row r="1357" spans="14:17" x14ac:dyDescent="0.3">
      <c r="N1357" s="533"/>
      <c r="O1357" s="533"/>
      <c r="P1357" s="349"/>
      <c r="Q1357" s="349"/>
    </row>
    <row r="1358" spans="14:17" x14ac:dyDescent="0.3">
      <c r="N1358" s="533"/>
      <c r="O1358" s="533"/>
      <c r="P1358" s="349"/>
      <c r="Q1358" s="349"/>
    </row>
    <row r="1359" spans="14:17" x14ac:dyDescent="0.3">
      <c r="N1359" s="533"/>
      <c r="O1359" s="533"/>
      <c r="P1359" s="349"/>
      <c r="Q1359" s="349"/>
    </row>
    <row r="1360" spans="14:17" x14ac:dyDescent="0.3">
      <c r="N1360" s="533"/>
      <c r="O1360" s="533"/>
      <c r="P1360" s="349"/>
      <c r="Q1360" s="349"/>
    </row>
    <row r="1361" spans="14:17" x14ac:dyDescent="0.3">
      <c r="N1361" s="533"/>
      <c r="O1361" s="533"/>
      <c r="P1361" s="349"/>
      <c r="Q1361" s="349"/>
    </row>
    <row r="1362" spans="14:17" x14ac:dyDescent="0.3">
      <c r="N1362" s="533"/>
      <c r="O1362" s="533"/>
      <c r="P1362" s="349"/>
      <c r="Q1362" s="349"/>
    </row>
    <row r="1363" spans="14:17" x14ac:dyDescent="0.3">
      <c r="N1363" s="533"/>
      <c r="O1363" s="533"/>
      <c r="P1363" s="349"/>
      <c r="Q1363" s="349"/>
    </row>
    <row r="1364" spans="14:17" x14ac:dyDescent="0.3">
      <c r="N1364" s="533"/>
      <c r="O1364" s="533"/>
      <c r="P1364" s="349"/>
      <c r="Q1364" s="349"/>
    </row>
    <row r="1365" spans="14:17" x14ac:dyDescent="0.3">
      <c r="N1365" s="533"/>
      <c r="O1365" s="533"/>
      <c r="P1365" s="349"/>
      <c r="Q1365" s="349"/>
    </row>
    <row r="1366" spans="14:17" x14ac:dyDescent="0.3">
      <c r="N1366" s="533"/>
      <c r="O1366" s="533"/>
      <c r="P1366" s="349"/>
      <c r="Q1366" s="349"/>
    </row>
    <row r="1367" spans="14:17" x14ac:dyDescent="0.3">
      <c r="N1367" s="533"/>
      <c r="O1367" s="533"/>
      <c r="P1367" s="349"/>
      <c r="Q1367" s="349"/>
    </row>
    <row r="1368" spans="14:17" x14ac:dyDescent="0.3">
      <c r="N1368" s="533"/>
      <c r="O1368" s="533"/>
      <c r="P1368" s="349"/>
      <c r="Q1368" s="349"/>
    </row>
    <row r="1369" spans="14:17" x14ac:dyDescent="0.3">
      <c r="N1369" s="533"/>
      <c r="O1369" s="533"/>
      <c r="P1369" s="349"/>
      <c r="Q1369" s="349"/>
    </row>
    <row r="1370" spans="14:17" x14ac:dyDescent="0.3">
      <c r="N1370" s="533"/>
      <c r="O1370" s="533"/>
      <c r="P1370" s="349"/>
      <c r="Q1370" s="349"/>
    </row>
    <row r="1371" spans="14:17" x14ac:dyDescent="0.3">
      <c r="N1371" s="533"/>
      <c r="O1371" s="533"/>
      <c r="P1371" s="349"/>
      <c r="Q1371" s="349"/>
    </row>
    <row r="1372" spans="14:17" x14ac:dyDescent="0.3">
      <c r="N1372" s="533"/>
      <c r="O1372" s="533"/>
      <c r="P1372" s="349"/>
      <c r="Q1372" s="349"/>
    </row>
    <row r="1373" spans="14:17" x14ac:dyDescent="0.3">
      <c r="N1373" s="533"/>
      <c r="O1373" s="533"/>
      <c r="P1373" s="349"/>
      <c r="Q1373" s="349"/>
    </row>
    <row r="1374" spans="14:17" x14ac:dyDescent="0.3">
      <c r="N1374" s="533"/>
      <c r="O1374" s="533"/>
      <c r="P1374" s="349"/>
      <c r="Q1374" s="349"/>
    </row>
    <row r="1375" spans="14:17" x14ac:dyDescent="0.3">
      <c r="N1375" s="533"/>
      <c r="O1375" s="533"/>
      <c r="P1375" s="349"/>
      <c r="Q1375" s="349"/>
    </row>
    <row r="1376" spans="14:17" x14ac:dyDescent="0.3">
      <c r="N1376" s="533"/>
      <c r="O1376" s="533"/>
      <c r="P1376" s="349"/>
      <c r="Q1376" s="349"/>
    </row>
    <row r="1377" spans="14:17" x14ac:dyDescent="0.3">
      <c r="N1377" s="533"/>
      <c r="O1377" s="533"/>
      <c r="P1377" s="349"/>
      <c r="Q1377" s="349"/>
    </row>
    <row r="1378" spans="14:17" x14ac:dyDescent="0.3">
      <c r="N1378" s="533"/>
      <c r="O1378" s="533"/>
      <c r="P1378" s="349"/>
      <c r="Q1378" s="349"/>
    </row>
    <row r="1379" spans="14:17" x14ac:dyDescent="0.3">
      <c r="N1379" s="533"/>
      <c r="O1379" s="533"/>
      <c r="P1379" s="349"/>
      <c r="Q1379" s="349"/>
    </row>
    <row r="1380" spans="14:17" x14ac:dyDescent="0.3">
      <c r="N1380" s="533"/>
      <c r="O1380" s="533"/>
      <c r="P1380" s="349"/>
      <c r="Q1380" s="349"/>
    </row>
    <row r="1381" spans="14:17" x14ac:dyDescent="0.3">
      <c r="N1381" s="533"/>
      <c r="O1381" s="533"/>
      <c r="P1381" s="349"/>
      <c r="Q1381" s="349"/>
    </row>
    <row r="1382" spans="14:17" x14ac:dyDescent="0.3">
      <c r="N1382" s="533"/>
      <c r="O1382" s="533"/>
      <c r="P1382" s="349"/>
      <c r="Q1382" s="349"/>
    </row>
    <row r="1383" spans="14:17" x14ac:dyDescent="0.3">
      <c r="N1383" s="533"/>
      <c r="O1383" s="533"/>
      <c r="P1383" s="349"/>
      <c r="Q1383" s="349"/>
    </row>
    <row r="1384" spans="14:17" x14ac:dyDescent="0.3">
      <c r="N1384" s="533"/>
      <c r="O1384" s="533"/>
      <c r="P1384" s="349"/>
      <c r="Q1384" s="349"/>
    </row>
    <row r="1385" spans="14:17" x14ac:dyDescent="0.3">
      <c r="N1385" s="533"/>
      <c r="O1385" s="533"/>
      <c r="P1385" s="349"/>
      <c r="Q1385" s="349"/>
    </row>
    <row r="1386" spans="14:17" x14ac:dyDescent="0.3">
      <c r="N1386" s="533"/>
      <c r="O1386" s="533"/>
      <c r="P1386" s="349"/>
      <c r="Q1386" s="349"/>
    </row>
    <row r="1387" spans="14:17" x14ac:dyDescent="0.3">
      <c r="N1387" s="533"/>
      <c r="O1387" s="533"/>
      <c r="P1387" s="349"/>
      <c r="Q1387" s="349"/>
    </row>
    <row r="1388" spans="14:17" x14ac:dyDescent="0.3">
      <c r="N1388" s="533"/>
      <c r="O1388" s="533"/>
      <c r="P1388" s="349"/>
      <c r="Q1388" s="349"/>
    </row>
    <row r="1389" spans="14:17" x14ac:dyDescent="0.3">
      <c r="N1389" s="533"/>
      <c r="O1389" s="533"/>
      <c r="P1389" s="349"/>
      <c r="Q1389" s="349"/>
    </row>
    <row r="1390" spans="14:17" x14ac:dyDescent="0.3">
      <c r="N1390" s="533"/>
      <c r="O1390" s="533"/>
      <c r="P1390" s="349"/>
      <c r="Q1390" s="349"/>
    </row>
    <row r="1391" spans="14:17" x14ac:dyDescent="0.3">
      <c r="N1391" s="533"/>
      <c r="O1391" s="533"/>
      <c r="P1391" s="349"/>
      <c r="Q1391" s="349"/>
    </row>
    <row r="1392" spans="14:17" x14ac:dyDescent="0.3">
      <c r="N1392" s="533"/>
      <c r="O1392" s="533"/>
      <c r="P1392" s="349"/>
      <c r="Q1392" s="349"/>
    </row>
    <row r="1393" spans="14:17" x14ac:dyDescent="0.3">
      <c r="N1393" s="533"/>
      <c r="O1393" s="533"/>
      <c r="P1393" s="349"/>
      <c r="Q1393" s="349"/>
    </row>
    <row r="1394" spans="14:17" x14ac:dyDescent="0.3">
      <c r="N1394" s="533"/>
      <c r="O1394" s="533"/>
      <c r="P1394" s="349"/>
      <c r="Q1394" s="349"/>
    </row>
    <row r="1395" spans="14:17" x14ac:dyDescent="0.3">
      <c r="N1395" s="533"/>
      <c r="O1395" s="533"/>
      <c r="P1395" s="349"/>
      <c r="Q1395" s="349"/>
    </row>
    <row r="1396" spans="14:17" x14ac:dyDescent="0.3">
      <c r="N1396" s="533"/>
      <c r="O1396" s="533"/>
      <c r="P1396" s="349"/>
      <c r="Q1396" s="349"/>
    </row>
    <row r="1397" spans="14:17" x14ac:dyDescent="0.3">
      <c r="N1397" s="533"/>
      <c r="O1397" s="533"/>
      <c r="P1397" s="349"/>
      <c r="Q1397" s="349"/>
    </row>
    <row r="1398" spans="14:17" x14ac:dyDescent="0.3">
      <c r="N1398" s="533"/>
      <c r="O1398" s="533"/>
      <c r="P1398" s="349"/>
      <c r="Q1398" s="349"/>
    </row>
    <row r="1399" spans="14:17" x14ac:dyDescent="0.3">
      <c r="N1399" s="533"/>
      <c r="O1399" s="533"/>
      <c r="P1399" s="349"/>
      <c r="Q1399" s="349"/>
    </row>
    <row r="1400" spans="14:17" x14ac:dyDescent="0.3">
      <c r="N1400" s="533"/>
      <c r="O1400" s="533"/>
      <c r="P1400" s="349"/>
      <c r="Q1400" s="349"/>
    </row>
    <row r="1401" spans="14:17" x14ac:dyDescent="0.3">
      <c r="N1401" s="533"/>
      <c r="O1401" s="533"/>
      <c r="P1401" s="349"/>
      <c r="Q1401" s="349"/>
    </row>
    <row r="1402" spans="14:17" x14ac:dyDescent="0.3">
      <c r="N1402" s="533"/>
      <c r="O1402" s="533"/>
      <c r="P1402" s="349"/>
      <c r="Q1402" s="349"/>
    </row>
    <row r="1403" spans="14:17" x14ac:dyDescent="0.3">
      <c r="N1403" s="533"/>
      <c r="O1403" s="533"/>
      <c r="P1403" s="349"/>
      <c r="Q1403" s="349"/>
    </row>
    <row r="1404" spans="14:17" x14ac:dyDescent="0.3">
      <c r="N1404" s="533"/>
      <c r="O1404" s="533"/>
      <c r="P1404" s="349"/>
      <c r="Q1404" s="349"/>
    </row>
    <row r="1405" spans="14:17" x14ac:dyDescent="0.3">
      <c r="N1405" s="533"/>
      <c r="O1405" s="533"/>
      <c r="P1405" s="349"/>
      <c r="Q1405" s="349"/>
    </row>
    <row r="1406" spans="14:17" x14ac:dyDescent="0.3">
      <c r="N1406" s="533"/>
      <c r="O1406" s="533"/>
      <c r="P1406" s="349"/>
      <c r="Q1406" s="349"/>
    </row>
    <row r="1407" spans="14:17" x14ac:dyDescent="0.3">
      <c r="N1407" s="533"/>
      <c r="O1407" s="533"/>
      <c r="P1407" s="349"/>
      <c r="Q1407" s="349"/>
    </row>
    <row r="1408" spans="14:17" x14ac:dyDescent="0.3">
      <c r="N1408" s="533"/>
      <c r="O1408" s="533"/>
      <c r="P1408" s="349"/>
      <c r="Q1408" s="349"/>
    </row>
    <row r="1409" spans="14:17" x14ac:dyDescent="0.3">
      <c r="N1409" s="533"/>
      <c r="O1409" s="533"/>
      <c r="P1409" s="349"/>
      <c r="Q1409" s="349"/>
    </row>
    <row r="1410" spans="14:17" x14ac:dyDescent="0.3">
      <c r="N1410" s="533"/>
      <c r="O1410" s="533"/>
      <c r="P1410" s="349"/>
      <c r="Q1410" s="349"/>
    </row>
    <row r="1411" spans="14:17" x14ac:dyDescent="0.3">
      <c r="N1411" s="533"/>
      <c r="O1411" s="533"/>
      <c r="P1411" s="349"/>
      <c r="Q1411" s="349"/>
    </row>
    <row r="1412" spans="14:17" x14ac:dyDescent="0.3">
      <c r="N1412" s="533"/>
      <c r="O1412" s="533"/>
      <c r="P1412" s="349"/>
      <c r="Q1412" s="349"/>
    </row>
    <row r="1413" spans="14:17" x14ac:dyDescent="0.3">
      <c r="N1413" s="533"/>
      <c r="O1413" s="533"/>
      <c r="P1413" s="349"/>
      <c r="Q1413" s="349"/>
    </row>
    <row r="1414" spans="14:17" x14ac:dyDescent="0.3">
      <c r="N1414" s="533"/>
      <c r="O1414" s="533"/>
      <c r="P1414" s="349"/>
      <c r="Q1414" s="349"/>
    </row>
    <row r="1415" spans="14:17" x14ac:dyDescent="0.3">
      <c r="N1415" s="533"/>
      <c r="O1415" s="533"/>
      <c r="P1415" s="349"/>
      <c r="Q1415" s="349"/>
    </row>
    <row r="1416" spans="14:17" x14ac:dyDescent="0.3">
      <c r="N1416" s="533"/>
      <c r="O1416" s="533"/>
      <c r="P1416" s="349"/>
      <c r="Q1416" s="349"/>
    </row>
    <row r="1417" spans="14:17" x14ac:dyDescent="0.3">
      <c r="N1417" s="533"/>
      <c r="O1417" s="533"/>
      <c r="P1417" s="349"/>
      <c r="Q1417" s="349"/>
    </row>
    <row r="1418" spans="14:17" x14ac:dyDescent="0.3">
      <c r="N1418" s="533"/>
      <c r="O1418" s="533"/>
      <c r="P1418" s="349"/>
      <c r="Q1418" s="349"/>
    </row>
    <row r="1419" spans="14:17" x14ac:dyDescent="0.3">
      <c r="N1419" s="533"/>
      <c r="O1419" s="533"/>
      <c r="P1419" s="349"/>
      <c r="Q1419" s="349"/>
    </row>
    <row r="1420" spans="14:17" x14ac:dyDescent="0.3">
      <c r="N1420" s="533"/>
      <c r="O1420" s="533"/>
      <c r="P1420" s="349"/>
      <c r="Q1420" s="349"/>
    </row>
    <row r="1421" spans="14:17" x14ac:dyDescent="0.3">
      <c r="N1421" s="533"/>
      <c r="O1421" s="533"/>
      <c r="P1421" s="349"/>
      <c r="Q1421" s="349"/>
    </row>
    <row r="1422" spans="14:17" x14ac:dyDescent="0.3">
      <c r="N1422" s="533"/>
      <c r="O1422" s="533"/>
      <c r="P1422" s="349"/>
      <c r="Q1422" s="349"/>
    </row>
    <row r="1423" spans="14:17" x14ac:dyDescent="0.3">
      <c r="N1423" s="533"/>
      <c r="O1423" s="533"/>
      <c r="P1423" s="349"/>
      <c r="Q1423" s="349"/>
    </row>
    <row r="1424" spans="14:17" x14ac:dyDescent="0.3">
      <c r="N1424" s="533"/>
      <c r="O1424" s="533"/>
      <c r="P1424" s="349"/>
      <c r="Q1424" s="349"/>
    </row>
    <row r="1425" spans="14:17" x14ac:dyDescent="0.3">
      <c r="N1425" s="533"/>
      <c r="O1425" s="533"/>
      <c r="P1425" s="349"/>
      <c r="Q1425" s="349"/>
    </row>
    <row r="1426" spans="14:17" x14ac:dyDescent="0.3">
      <c r="N1426" s="533"/>
      <c r="O1426" s="533"/>
      <c r="P1426" s="349"/>
      <c r="Q1426" s="349"/>
    </row>
    <row r="1427" spans="14:17" x14ac:dyDescent="0.3">
      <c r="N1427" s="533"/>
      <c r="O1427" s="533"/>
      <c r="P1427" s="349"/>
      <c r="Q1427" s="349"/>
    </row>
    <row r="1428" spans="14:17" x14ac:dyDescent="0.3">
      <c r="N1428" s="533"/>
      <c r="O1428" s="533"/>
      <c r="P1428" s="349"/>
      <c r="Q1428" s="349"/>
    </row>
    <row r="1429" spans="14:17" x14ac:dyDescent="0.3">
      <c r="N1429" s="533"/>
      <c r="O1429" s="533"/>
      <c r="P1429" s="349"/>
      <c r="Q1429" s="349"/>
    </row>
    <row r="1430" spans="14:17" x14ac:dyDescent="0.3">
      <c r="N1430" s="533"/>
      <c r="O1430" s="533"/>
      <c r="P1430" s="349"/>
      <c r="Q1430" s="349"/>
    </row>
    <row r="1431" spans="14:17" x14ac:dyDescent="0.3">
      <c r="N1431" s="533"/>
      <c r="O1431" s="533"/>
      <c r="P1431" s="349"/>
      <c r="Q1431" s="349"/>
    </row>
    <row r="1432" spans="14:17" x14ac:dyDescent="0.3">
      <c r="N1432" s="533"/>
      <c r="O1432" s="533"/>
      <c r="P1432" s="349"/>
      <c r="Q1432" s="349"/>
    </row>
    <row r="1433" spans="14:17" x14ac:dyDescent="0.3">
      <c r="N1433" s="533"/>
      <c r="O1433" s="533"/>
      <c r="P1433" s="349"/>
      <c r="Q1433" s="349"/>
    </row>
    <row r="1434" spans="14:17" x14ac:dyDescent="0.3">
      <c r="N1434" s="533"/>
      <c r="O1434" s="533"/>
      <c r="P1434" s="349"/>
      <c r="Q1434" s="349"/>
    </row>
    <row r="1435" spans="14:17" x14ac:dyDescent="0.3">
      <c r="N1435" s="533"/>
      <c r="O1435" s="533"/>
      <c r="P1435" s="349"/>
      <c r="Q1435" s="349"/>
    </row>
    <row r="1436" spans="14:17" x14ac:dyDescent="0.3">
      <c r="N1436" s="533"/>
      <c r="O1436" s="533"/>
      <c r="P1436" s="349"/>
      <c r="Q1436" s="349"/>
    </row>
    <row r="1437" spans="14:17" x14ac:dyDescent="0.3">
      <c r="N1437" s="533"/>
      <c r="O1437" s="533"/>
      <c r="P1437" s="349"/>
      <c r="Q1437" s="349"/>
    </row>
    <row r="1438" spans="14:17" x14ac:dyDescent="0.3">
      <c r="N1438" s="533"/>
      <c r="O1438" s="533"/>
      <c r="P1438" s="349"/>
      <c r="Q1438" s="349"/>
    </row>
    <row r="1439" spans="14:17" x14ac:dyDescent="0.3">
      <c r="N1439" s="533"/>
      <c r="O1439" s="533"/>
      <c r="P1439" s="349"/>
      <c r="Q1439" s="349"/>
    </row>
    <row r="1440" spans="14:17" x14ac:dyDescent="0.3">
      <c r="N1440" s="533"/>
      <c r="O1440" s="533"/>
      <c r="P1440" s="349"/>
      <c r="Q1440" s="349"/>
    </row>
    <row r="1441" spans="14:17" x14ac:dyDescent="0.3">
      <c r="N1441" s="533"/>
      <c r="O1441" s="533"/>
      <c r="P1441" s="349"/>
      <c r="Q1441" s="349"/>
    </row>
    <row r="1442" spans="14:17" x14ac:dyDescent="0.3">
      <c r="N1442" s="533"/>
      <c r="O1442" s="533"/>
      <c r="P1442" s="349"/>
      <c r="Q1442" s="349"/>
    </row>
    <row r="1443" spans="14:17" x14ac:dyDescent="0.3">
      <c r="N1443" s="533"/>
      <c r="O1443" s="533"/>
      <c r="P1443" s="349"/>
      <c r="Q1443" s="349"/>
    </row>
    <row r="1444" spans="14:17" x14ac:dyDescent="0.3">
      <c r="N1444" s="533"/>
      <c r="O1444" s="533"/>
      <c r="P1444" s="349"/>
      <c r="Q1444" s="349"/>
    </row>
    <row r="1445" spans="14:17" x14ac:dyDescent="0.3">
      <c r="N1445" s="533"/>
      <c r="O1445" s="533"/>
      <c r="P1445" s="349"/>
      <c r="Q1445" s="349"/>
    </row>
    <row r="1446" spans="14:17" x14ac:dyDescent="0.3">
      <c r="N1446" s="533"/>
      <c r="O1446" s="533"/>
      <c r="P1446" s="349"/>
      <c r="Q1446" s="349"/>
    </row>
    <row r="1447" spans="14:17" x14ac:dyDescent="0.3">
      <c r="N1447" s="533"/>
      <c r="O1447" s="533"/>
      <c r="P1447" s="349"/>
      <c r="Q1447" s="349"/>
    </row>
    <row r="1448" spans="14:17" x14ac:dyDescent="0.3">
      <c r="N1448" s="533"/>
      <c r="O1448" s="533"/>
      <c r="P1448" s="349"/>
      <c r="Q1448" s="349"/>
    </row>
    <row r="1449" spans="14:17" x14ac:dyDescent="0.3">
      <c r="N1449" s="533"/>
      <c r="O1449" s="533"/>
      <c r="P1449" s="349"/>
      <c r="Q1449" s="349"/>
    </row>
    <row r="1450" spans="14:17" x14ac:dyDescent="0.3">
      <c r="N1450" s="533"/>
      <c r="O1450" s="533"/>
      <c r="P1450" s="349"/>
      <c r="Q1450" s="349"/>
    </row>
    <row r="1451" spans="14:17" x14ac:dyDescent="0.3">
      <c r="N1451" s="533"/>
      <c r="O1451" s="533"/>
      <c r="P1451" s="349"/>
      <c r="Q1451" s="349"/>
    </row>
    <row r="1452" spans="14:17" x14ac:dyDescent="0.3">
      <c r="N1452" s="533"/>
      <c r="O1452" s="533"/>
      <c r="P1452" s="349"/>
      <c r="Q1452" s="349"/>
    </row>
    <row r="1453" spans="14:17" x14ac:dyDescent="0.3">
      <c r="N1453" s="533"/>
      <c r="O1453" s="533"/>
      <c r="P1453" s="349"/>
      <c r="Q1453" s="349"/>
    </row>
    <row r="1454" spans="14:17" x14ac:dyDescent="0.3">
      <c r="N1454" s="533"/>
      <c r="O1454" s="533"/>
      <c r="P1454" s="349"/>
      <c r="Q1454" s="349"/>
    </row>
    <row r="1455" spans="14:17" x14ac:dyDescent="0.3">
      <c r="N1455" s="533"/>
      <c r="O1455" s="533"/>
      <c r="P1455" s="349"/>
      <c r="Q1455" s="349"/>
    </row>
    <row r="1456" spans="14:17" x14ac:dyDescent="0.3">
      <c r="N1456" s="533"/>
      <c r="O1456" s="533"/>
      <c r="P1456" s="349"/>
      <c r="Q1456" s="349"/>
    </row>
    <row r="1457" spans="14:17" x14ac:dyDescent="0.3">
      <c r="N1457" s="533"/>
      <c r="O1457" s="533"/>
      <c r="P1457" s="349"/>
      <c r="Q1457" s="349"/>
    </row>
    <row r="1458" spans="14:17" x14ac:dyDescent="0.3">
      <c r="N1458" s="533"/>
      <c r="O1458" s="533"/>
      <c r="P1458" s="349"/>
      <c r="Q1458" s="349"/>
    </row>
    <row r="1459" spans="14:17" x14ac:dyDescent="0.3">
      <c r="N1459" s="533"/>
      <c r="O1459" s="533"/>
      <c r="P1459" s="349"/>
      <c r="Q1459" s="349"/>
    </row>
    <row r="1460" spans="14:17" x14ac:dyDescent="0.3">
      <c r="N1460" s="533"/>
      <c r="O1460" s="533"/>
      <c r="P1460" s="349"/>
      <c r="Q1460" s="349"/>
    </row>
    <row r="1461" spans="14:17" x14ac:dyDescent="0.3">
      <c r="N1461" s="533"/>
      <c r="O1461" s="533"/>
      <c r="P1461" s="349"/>
      <c r="Q1461" s="349"/>
    </row>
    <row r="1462" spans="14:17" x14ac:dyDescent="0.3">
      <c r="N1462" s="533"/>
      <c r="O1462" s="533"/>
      <c r="P1462" s="349"/>
      <c r="Q1462" s="349"/>
    </row>
    <row r="1463" spans="14:17" x14ac:dyDescent="0.3">
      <c r="N1463" s="533"/>
      <c r="O1463" s="533"/>
      <c r="P1463" s="349"/>
      <c r="Q1463" s="349"/>
    </row>
    <row r="1464" spans="14:17" x14ac:dyDescent="0.3">
      <c r="N1464" s="533"/>
      <c r="O1464" s="533"/>
      <c r="P1464" s="349"/>
      <c r="Q1464" s="349"/>
    </row>
    <row r="1465" spans="14:17" x14ac:dyDescent="0.3">
      <c r="N1465" s="533"/>
      <c r="O1465" s="533"/>
      <c r="P1465" s="349"/>
      <c r="Q1465" s="349"/>
    </row>
    <row r="1466" spans="14:17" x14ac:dyDescent="0.3">
      <c r="N1466" s="533"/>
      <c r="O1466" s="533"/>
      <c r="P1466" s="349"/>
      <c r="Q1466" s="349"/>
    </row>
    <row r="1467" spans="14:17" x14ac:dyDescent="0.3">
      <c r="N1467" s="533"/>
      <c r="O1467" s="533"/>
      <c r="P1467" s="349"/>
      <c r="Q1467" s="349"/>
    </row>
    <row r="1468" spans="14:17" x14ac:dyDescent="0.3">
      <c r="N1468" s="533"/>
      <c r="O1468" s="533"/>
      <c r="P1468" s="349"/>
      <c r="Q1468" s="349"/>
    </row>
    <row r="1469" spans="14:17" x14ac:dyDescent="0.3">
      <c r="N1469" s="533"/>
      <c r="O1469" s="533"/>
      <c r="P1469" s="349"/>
      <c r="Q1469" s="349"/>
    </row>
    <row r="1470" spans="14:17" x14ac:dyDescent="0.3">
      <c r="N1470" s="533"/>
      <c r="O1470" s="533"/>
      <c r="P1470" s="349"/>
      <c r="Q1470" s="349"/>
    </row>
    <row r="1471" spans="14:17" x14ac:dyDescent="0.3">
      <c r="N1471" s="533"/>
      <c r="O1471" s="533"/>
      <c r="P1471" s="349"/>
      <c r="Q1471" s="349"/>
    </row>
    <row r="1472" spans="14:17" x14ac:dyDescent="0.3">
      <c r="N1472" s="533"/>
      <c r="O1472" s="533"/>
      <c r="P1472" s="349"/>
      <c r="Q1472" s="349"/>
    </row>
    <row r="1473" spans="14:17" x14ac:dyDescent="0.3">
      <c r="N1473" s="533"/>
      <c r="O1473" s="533"/>
      <c r="P1473" s="349"/>
      <c r="Q1473" s="349"/>
    </row>
    <row r="1474" spans="14:17" x14ac:dyDescent="0.3">
      <c r="N1474" s="533"/>
      <c r="O1474" s="533"/>
      <c r="P1474" s="349"/>
      <c r="Q1474" s="349"/>
    </row>
    <row r="1475" spans="14:17" x14ac:dyDescent="0.3">
      <c r="N1475" s="533"/>
      <c r="O1475" s="533"/>
      <c r="P1475" s="349"/>
      <c r="Q1475" s="349"/>
    </row>
    <row r="1476" spans="14:17" x14ac:dyDescent="0.3">
      <c r="N1476" s="533"/>
      <c r="O1476" s="533"/>
      <c r="P1476" s="349"/>
      <c r="Q1476" s="349"/>
    </row>
    <row r="1477" spans="14:17" x14ac:dyDescent="0.3">
      <c r="N1477" s="533"/>
      <c r="O1477" s="533"/>
      <c r="P1477" s="349"/>
      <c r="Q1477" s="349"/>
    </row>
    <row r="1478" spans="14:17" x14ac:dyDescent="0.3">
      <c r="N1478" s="533"/>
      <c r="O1478" s="533"/>
      <c r="P1478" s="349"/>
      <c r="Q1478" s="349"/>
    </row>
    <row r="1479" spans="14:17" x14ac:dyDescent="0.3">
      <c r="N1479" s="533"/>
      <c r="O1479" s="533"/>
      <c r="P1479" s="349"/>
      <c r="Q1479" s="349"/>
    </row>
    <row r="1480" spans="14:17" x14ac:dyDescent="0.3">
      <c r="N1480" s="533"/>
      <c r="O1480" s="533"/>
      <c r="P1480" s="349"/>
      <c r="Q1480" s="349"/>
    </row>
    <row r="1481" spans="14:17" x14ac:dyDescent="0.3">
      <c r="N1481" s="533"/>
      <c r="O1481" s="533"/>
      <c r="P1481" s="349"/>
      <c r="Q1481" s="349"/>
    </row>
    <row r="1482" spans="14:17" x14ac:dyDescent="0.3">
      <c r="N1482" s="533"/>
      <c r="O1482" s="533"/>
      <c r="P1482" s="349"/>
      <c r="Q1482" s="349"/>
    </row>
    <row r="1483" spans="14:17" x14ac:dyDescent="0.3">
      <c r="N1483" s="533"/>
      <c r="O1483" s="533"/>
      <c r="P1483" s="349"/>
      <c r="Q1483" s="349"/>
    </row>
    <row r="1484" spans="14:17" x14ac:dyDescent="0.3">
      <c r="N1484" s="533"/>
      <c r="O1484" s="533"/>
      <c r="P1484" s="349"/>
      <c r="Q1484" s="349"/>
    </row>
    <row r="1485" spans="14:17" x14ac:dyDescent="0.3">
      <c r="N1485" s="533"/>
      <c r="O1485" s="533"/>
      <c r="P1485" s="349"/>
      <c r="Q1485" s="349"/>
    </row>
    <row r="1486" spans="14:17" x14ac:dyDescent="0.3">
      <c r="N1486" s="533"/>
      <c r="O1486" s="533"/>
      <c r="P1486" s="349"/>
      <c r="Q1486" s="349"/>
    </row>
    <row r="1487" spans="14:17" x14ac:dyDescent="0.3">
      <c r="N1487" s="533"/>
      <c r="O1487" s="533"/>
      <c r="P1487" s="349"/>
      <c r="Q1487" s="349"/>
    </row>
    <row r="1488" spans="14:17" x14ac:dyDescent="0.3">
      <c r="N1488" s="533"/>
      <c r="O1488" s="533"/>
      <c r="P1488" s="349"/>
      <c r="Q1488" s="349"/>
    </row>
    <row r="1489" spans="14:17" x14ac:dyDescent="0.3">
      <c r="N1489" s="533"/>
      <c r="O1489" s="533"/>
      <c r="P1489" s="349"/>
      <c r="Q1489" s="349"/>
    </row>
    <row r="1490" spans="14:17" x14ac:dyDescent="0.3">
      <c r="N1490" s="533"/>
      <c r="O1490" s="533"/>
      <c r="P1490" s="349"/>
      <c r="Q1490" s="349"/>
    </row>
    <row r="1491" spans="14:17" x14ac:dyDescent="0.3">
      <c r="N1491" s="533"/>
      <c r="O1491" s="533"/>
      <c r="P1491" s="349"/>
      <c r="Q1491" s="349"/>
    </row>
    <row r="1492" spans="14:17" x14ac:dyDescent="0.3">
      <c r="N1492" s="533"/>
      <c r="O1492" s="533"/>
      <c r="P1492" s="349"/>
      <c r="Q1492" s="349"/>
    </row>
    <row r="1493" spans="14:17" x14ac:dyDescent="0.3">
      <c r="N1493" s="533"/>
      <c r="O1493" s="533"/>
      <c r="P1493" s="349"/>
      <c r="Q1493" s="349"/>
    </row>
    <row r="1494" spans="14:17" x14ac:dyDescent="0.3">
      <c r="N1494" s="533"/>
      <c r="O1494" s="533"/>
      <c r="P1494" s="349"/>
      <c r="Q1494" s="349"/>
    </row>
    <row r="1495" spans="14:17" x14ac:dyDescent="0.3">
      <c r="N1495" s="533"/>
      <c r="O1495" s="533"/>
      <c r="P1495" s="349"/>
      <c r="Q1495" s="349"/>
    </row>
    <row r="1496" spans="14:17" x14ac:dyDescent="0.3">
      <c r="N1496" s="533"/>
      <c r="O1496" s="533"/>
      <c r="P1496" s="349"/>
      <c r="Q1496" s="349"/>
    </row>
    <row r="1497" spans="14:17" x14ac:dyDescent="0.3">
      <c r="N1497" s="533"/>
      <c r="O1497" s="533"/>
      <c r="P1497" s="349"/>
      <c r="Q1497" s="349"/>
    </row>
    <row r="1498" spans="14:17" x14ac:dyDescent="0.3">
      <c r="N1498" s="533"/>
      <c r="O1498" s="533"/>
      <c r="P1498" s="349"/>
      <c r="Q1498" s="349"/>
    </row>
    <row r="1499" spans="14:17" x14ac:dyDescent="0.3">
      <c r="N1499" s="533"/>
      <c r="O1499" s="533"/>
      <c r="P1499" s="349"/>
      <c r="Q1499" s="349"/>
    </row>
    <row r="1500" spans="14:17" x14ac:dyDescent="0.3">
      <c r="N1500" s="533"/>
      <c r="O1500" s="533"/>
      <c r="P1500" s="349"/>
      <c r="Q1500" s="349"/>
    </row>
    <row r="1501" spans="14:17" x14ac:dyDescent="0.3">
      <c r="N1501" s="533"/>
      <c r="O1501" s="533"/>
      <c r="P1501" s="349"/>
      <c r="Q1501" s="349"/>
    </row>
    <row r="1502" spans="14:17" x14ac:dyDescent="0.3">
      <c r="N1502" s="533"/>
      <c r="O1502" s="533"/>
      <c r="P1502" s="349"/>
      <c r="Q1502" s="349"/>
    </row>
    <row r="1503" spans="14:17" x14ac:dyDescent="0.3">
      <c r="N1503" s="533"/>
      <c r="O1503" s="533"/>
      <c r="P1503" s="349"/>
      <c r="Q1503" s="349"/>
    </row>
    <row r="1504" spans="14:17" x14ac:dyDescent="0.3">
      <c r="N1504" s="533"/>
      <c r="O1504" s="533"/>
      <c r="P1504" s="349"/>
      <c r="Q1504" s="349"/>
    </row>
    <row r="1505" spans="14:17" x14ac:dyDescent="0.3">
      <c r="N1505" s="533"/>
      <c r="O1505" s="533"/>
      <c r="P1505" s="349"/>
      <c r="Q1505" s="349"/>
    </row>
    <row r="1506" spans="14:17" x14ac:dyDescent="0.3">
      <c r="N1506" s="533"/>
      <c r="O1506" s="533"/>
      <c r="P1506" s="349"/>
      <c r="Q1506" s="349"/>
    </row>
    <row r="1507" spans="14:17" x14ac:dyDescent="0.3">
      <c r="N1507" s="533"/>
      <c r="O1507" s="533"/>
      <c r="P1507" s="349"/>
      <c r="Q1507" s="349"/>
    </row>
    <row r="1508" spans="14:17" x14ac:dyDescent="0.3">
      <c r="N1508" s="533"/>
      <c r="O1508" s="533"/>
      <c r="P1508" s="349"/>
      <c r="Q1508" s="349"/>
    </row>
    <row r="1509" spans="14:17" x14ac:dyDescent="0.3">
      <c r="N1509" s="533"/>
      <c r="O1509" s="533"/>
      <c r="P1509" s="349"/>
      <c r="Q1509" s="349"/>
    </row>
    <row r="1510" spans="14:17" x14ac:dyDescent="0.3">
      <c r="N1510" s="533"/>
      <c r="O1510" s="533"/>
      <c r="P1510" s="349"/>
      <c r="Q1510" s="349"/>
    </row>
    <row r="1511" spans="14:17" x14ac:dyDescent="0.3">
      <c r="N1511" s="533"/>
      <c r="O1511" s="533"/>
      <c r="P1511" s="349"/>
      <c r="Q1511" s="349"/>
    </row>
    <row r="1512" spans="14:17" x14ac:dyDescent="0.3">
      <c r="N1512" s="533"/>
      <c r="O1512" s="533"/>
      <c r="P1512" s="349"/>
      <c r="Q1512" s="349"/>
    </row>
    <row r="1513" spans="14:17" x14ac:dyDescent="0.3">
      <c r="N1513" s="533"/>
      <c r="O1513" s="533"/>
      <c r="P1513" s="349"/>
      <c r="Q1513" s="349"/>
    </row>
    <row r="1514" spans="14:17" x14ac:dyDescent="0.3">
      <c r="N1514" s="533"/>
      <c r="O1514" s="533"/>
      <c r="P1514" s="349"/>
      <c r="Q1514" s="349"/>
    </row>
    <row r="1515" spans="14:17" x14ac:dyDescent="0.3">
      <c r="N1515" s="533"/>
      <c r="O1515" s="533"/>
      <c r="P1515" s="349"/>
      <c r="Q1515" s="349"/>
    </row>
    <row r="1516" spans="14:17" x14ac:dyDescent="0.3">
      <c r="N1516" s="533"/>
      <c r="O1516" s="533"/>
      <c r="P1516" s="349"/>
      <c r="Q1516" s="349"/>
    </row>
    <row r="1517" spans="14:17" x14ac:dyDescent="0.3">
      <c r="N1517" s="533"/>
      <c r="O1517" s="533"/>
      <c r="P1517" s="349"/>
      <c r="Q1517" s="349"/>
    </row>
    <row r="1518" spans="14:17" x14ac:dyDescent="0.3">
      <c r="N1518" s="533"/>
      <c r="O1518" s="533"/>
      <c r="P1518" s="349"/>
      <c r="Q1518" s="349"/>
    </row>
    <row r="1519" spans="14:17" x14ac:dyDescent="0.3">
      <c r="N1519" s="533"/>
      <c r="O1519" s="533"/>
      <c r="P1519" s="349"/>
      <c r="Q1519" s="349"/>
    </row>
    <row r="1520" spans="14:17" x14ac:dyDescent="0.3">
      <c r="N1520" s="533"/>
      <c r="O1520" s="533"/>
      <c r="P1520" s="349"/>
      <c r="Q1520" s="349"/>
    </row>
    <row r="1521" spans="14:17" x14ac:dyDescent="0.3">
      <c r="N1521" s="533"/>
      <c r="O1521" s="533"/>
      <c r="P1521" s="349"/>
      <c r="Q1521" s="349"/>
    </row>
    <row r="1522" spans="14:17" x14ac:dyDescent="0.3">
      <c r="N1522" s="533"/>
      <c r="O1522" s="533"/>
      <c r="P1522" s="349"/>
      <c r="Q1522" s="349"/>
    </row>
    <row r="1523" spans="14:17" x14ac:dyDescent="0.3">
      <c r="N1523" s="533"/>
      <c r="O1523" s="533"/>
      <c r="P1523" s="349"/>
      <c r="Q1523" s="349"/>
    </row>
    <row r="1524" spans="14:17" x14ac:dyDescent="0.3">
      <c r="N1524" s="533"/>
      <c r="O1524" s="533"/>
      <c r="P1524" s="349"/>
      <c r="Q1524" s="349"/>
    </row>
    <row r="1525" spans="14:17" x14ac:dyDescent="0.3">
      <c r="N1525" s="533"/>
      <c r="O1525" s="533"/>
      <c r="P1525" s="349"/>
      <c r="Q1525" s="349"/>
    </row>
    <row r="1526" spans="14:17" x14ac:dyDescent="0.3">
      <c r="N1526" s="533"/>
      <c r="O1526" s="533"/>
      <c r="P1526" s="349"/>
      <c r="Q1526" s="349"/>
    </row>
    <row r="1527" spans="14:17" x14ac:dyDescent="0.3">
      <c r="N1527" s="533"/>
      <c r="O1527" s="533"/>
      <c r="P1527" s="349"/>
      <c r="Q1527" s="349"/>
    </row>
    <row r="1528" spans="14:17" x14ac:dyDescent="0.3">
      <c r="N1528" s="533"/>
      <c r="O1528" s="533"/>
      <c r="P1528" s="349"/>
      <c r="Q1528" s="349"/>
    </row>
    <row r="1529" spans="14:17" x14ac:dyDescent="0.3">
      <c r="N1529" s="533"/>
      <c r="O1529" s="533"/>
      <c r="P1529" s="349"/>
      <c r="Q1529" s="349"/>
    </row>
    <row r="1530" spans="14:17" x14ac:dyDescent="0.3">
      <c r="N1530" s="533"/>
      <c r="O1530" s="533"/>
      <c r="P1530" s="349"/>
      <c r="Q1530" s="349"/>
    </row>
    <row r="1531" spans="14:17" x14ac:dyDescent="0.3">
      <c r="N1531" s="533"/>
      <c r="O1531" s="533"/>
      <c r="P1531" s="349"/>
      <c r="Q1531" s="349"/>
    </row>
    <row r="1532" spans="14:17" x14ac:dyDescent="0.3">
      <c r="N1532" s="533"/>
      <c r="O1532" s="533"/>
      <c r="P1532" s="349"/>
      <c r="Q1532" s="349"/>
    </row>
    <row r="1533" spans="14:17" x14ac:dyDescent="0.3">
      <c r="N1533" s="533"/>
      <c r="O1533" s="533"/>
      <c r="P1533" s="349"/>
      <c r="Q1533" s="349"/>
    </row>
    <row r="1534" spans="14:17" x14ac:dyDescent="0.3">
      <c r="N1534" s="533"/>
      <c r="O1534" s="533"/>
      <c r="P1534" s="349"/>
      <c r="Q1534" s="349"/>
    </row>
    <row r="1535" spans="14:17" x14ac:dyDescent="0.3">
      <c r="N1535" s="533"/>
      <c r="O1535" s="533"/>
      <c r="P1535" s="349"/>
      <c r="Q1535" s="349"/>
    </row>
    <row r="1536" spans="14:17" x14ac:dyDescent="0.3">
      <c r="N1536" s="533"/>
      <c r="O1536" s="533"/>
      <c r="P1536" s="349"/>
      <c r="Q1536" s="349"/>
    </row>
    <row r="1537" spans="14:17" x14ac:dyDescent="0.3">
      <c r="N1537" s="533"/>
      <c r="O1537" s="533"/>
      <c r="P1537" s="349"/>
      <c r="Q1537" s="349"/>
    </row>
    <row r="1538" spans="14:17" x14ac:dyDescent="0.3">
      <c r="N1538" s="533"/>
      <c r="O1538" s="533"/>
      <c r="P1538" s="349"/>
      <c r="Q1538" s="349"/>
    </row>
    <row r="1539" spans="14:17" x14ac:dyDescent="0.3">
      <c r="N1539" s="533"/>
      <c r="O1539" s="533"/>
      <c r="P1539" s="349"/>
      <c r="Q1539" s="349"/>
    </row>
    <row r="1540" spans="14:17" x14ac:dyDescent="0.3">
      <c r="N1540" s="533"/>
      <c r="O1540" s="533"/>
      <c r="P1540" s="349"/>
      <c r="Q1540" s="349"/>
    </row>
    <row r="1541" spans="14:17" x14ac:dyDescent="0.3">
      <c r="N1541" s="533"/>
      <c r="O1541" s="533"/>
      <c r="P1541" s="349"/>
      <c r="Q1541" s="349"/>
    </row>
    <row r="1542" spans="14:17" x14ac:dyDescent="0.3">
      <c r="N1542" s="533"/>
      <c r="O1542" s="533"/>
      <c r="P1542" s="349"/>
      <c r="Q1542" s="349"/>
    </row>
    <row r="1543" spans="14:17" x14ac:dyDescent="0.3">
      <c r="N1543" s="533"/>
      <c r="O1543" s="533"/>
      <c r="P1543" s="349"/>
      <c r="Q1543" s="349"/>
    </row>
    <row r="1544" spans="14:17" x14ac:dyDescent="0.3">
      <c r="N1544" s="533"/>
      <c r="O1544" s="533"/>
      <c r="P1544" s="349"/>
      <c r="Q1544" s="349"/>
    </row>
    <row r="1545" spans="14:17" x14ac:dyDescent="0.3">
      <c r="N1545" s="533"/>
      <c r="O1545" s="533"/>
      <c r="P1545" s="349"/>
      <c r="Q1545" s="349"/>
    </row>
    <row r="1546" spans="14:17" x14ac:dyDescent="0.3">
      <c r="N1546" s="533"/>
      <c r="O1546" s="533"/>
      <c r="P1546" s="349"/>
      <c r="Q1546" s="349"/>
    </row>
    <row r="1547" spans="14:17" x14ac:dyDescent="0.3">
      <c r="N1547" s="533"/>
      <c r="O1547" s="533"/>
      <c r="P1547" s="349"/>
      <c r="Q1547" s="349"/>
    </row>
    <row r="1548" spans="14:17" x14ac:dyDescent="0.3">
      <c r="N1548" s="533"/>
      <c r="O1548" s="533"/>
      <c r="P1548" s="349"/>
      <c r="Q1548" s="349"/>
    </row>
    <row r="1549" spans="14:17" x14ac:dyDescent="0.3">
      <c r="N1549" s="533"/>
      <c r="O1549" s="533"/>
      <c r="P1549" s="349"/>
      <c r="Q1549" s="349"/>
    </row>
    <row r="1550" spans="14:17" x14ac:dyDescent="0.3">
      <c r="N1550" s="533"/>
      <c r="O1550" s="533"/>
      <c r="P1550" s="349"/>
      <c r="Q1550" s="349"/>
    </row>
    <row r="1551" spans="14:17" x14ac:dyDescent="0.3">
      <c r="N1551" s="533"/>
      <c r="O1551" s="533"/>
      <c r="P1551" s="349"/>
      <c r="Q1551" s="349"/>
    </row>
    <row r="1552" spans="14:17" x14ac:dyDescent="0.3">
      <c r="N1552" s="533"/>
      <c r="O1552" s="533"/>
      <c r="P1552" s="349"/>
      <c r="Q1552" s="349"/>
    </row>
    <row r="1553" spans="14:17" x14ac:dyDescent="0.3">
      <c r="N1553" s="533"/>
      <c r="O1553" s="533"/>
      <c r="P1553" s="349"/>
      <c r="Q1553" s="349"/>
    </row>
    <row r="1554" spans="14:17" x14ac:dyDescent="0.3">
      <c r="N1554" s="533"/>
      <c r="O1554" s="533"/>
      <c r="P1554" s="349"/>
      <c r="Q1554" s="349"/>
    </row>
    <row r="1555" spans="14:17" x14ac:dyDescent="0.3">
      <c r="N1555" s="533"/>
      <c r="O1555" s="533"/>
      <c r="P1555" s="349"/>
      <c r="Q1555" s="349"/>
    </row>
    <row r="1556" spans="14:17" x14ac:dyDescent="0.3">
      <c r="N1556" s="533"/>
      <c r="O1556" s="533"/>
      <c r="P1556" s="349"/>
      <c r="Q1556" s="349"/>
    </row>
    <row r="1557" spans="14:17" x14ac:dyDescent="0.3">
      <c r="N1557" s="533"/>
      <c r="O1557" s="533"/>
      <c r="P1557" s="349"/>
      <c r="Q1557" s="349"/>
    </row>
    <row r="1558" spans="14:17" x14ac:dyDescent="0.3">
      <c r="N1558" s="533"/>
      <c r="O1558" s="533"/>
      <c r="P1558" s="349"/>
      <c r="Q1558" s="349"/>
    </row>
    <row r="1559" spans="14:17" x14ac:dyDescent="0.3">
      <c r="N1559" s="533"/>
      <c r="O1559" s="533"/>
      <c r="P1559" s="349"/>
      <c r="Q1559" s="349"/>
    </row>
    <row r="1560" spans="14:17" x14ac:dyDescent="0.3">
      <c r="N1560" s="533"/>
      <c r="O1560" s="533"/>
      <c r="P1560" s="349"/>
      <c r="Q1560" s="349"/>
    </row>
    <row r="1561" spans="14:17" x14ac:dyDescent="0.3">
      <c r="N1561" s="533"/>
      <c r="O1561" s="533"/>
      <c r="P1561" s="349"/>
      <c r="Q1561" s="349"/>
    </row>
    <row r="1562" spans="14:17" x14ac:dyDescent="0.3">
      <c r="N1562" s="533"/>
      <c r="O1562" s="533"/>
      <c r="P1562" s="349"/>
      <c r="Q1562" s="349"/>
    </row>
    <row r="1563" spans="14:17" x14ac:dyDescent="0.3">
      <c r="N1563" s="533"/>
      <c r="O1563" s="533"/>
      <c r="P1563" s="349"/>
      <c r="Q1563" s="349"/>
    </row>
    <row r="1564" spans="14:17" x14ac:dyDescent="0.3">
      <c r="N1564" s="533"/>
      <c r="O1564" s="533"/>
      <c r="P1564" s="349"/>
      <c r="Q1564" s="349"/>
    </row>
    <row r="1565" spans="14:17" x14ac:dyDescent="0.3">
      <c r="N1565" s="533"/>
      <c r="O1565" s="533"/>
      <c r="P1565" s="349"/>
      <c r="Q1565" s="349"/>
    </row>
    <row r="1566" spans="14:17" x14ac:dyDescent="0.3">
      <c r="N1566" s="533"/>
      <c r="O1566" s="533"/>
      <c r="P1566" s="349"/>
      <c r="Q1566" s="349"/>
    </row>
    <row r="1567" spans="14:17" x14ac:dyDescent="0.3">
      <c r="N1567" s="533"/>
      <c r="O1567" s="533"/>
      <c r="P1567" s="349"/>
      <c r="Q1567" s="349"/>
    </row>
    <row r="1568" spans="14:17" x14ac:dyDescent="0.3">
      <c r="N1568" s="533"/>
      <c r="O1568" s="533"/>
      <c r="P1568" s="349"/>
      <c r="Q1568" s="349"/>
    </row>
    <row r="1569" spans="14:17" x14ac:dyDescent="0.3">
      <c r="N1569" s="533"/>
      <c r="O1569" s="533"/>
      <c r="P1569" s="349"/>
      <c r="Q1569" s="349"/>
    </row>
    <row r="1570" spans="14:17" x14ac:dyDescent="0.3">
      <c r="N1570" s="533"/>
      <c r="O1570" s="533"/>
      <c r="P1570" s="349"/>
      <c r="Q1570" s="349"/>
    </row>
    <row r="1571" spans="14:17" x14ac:dyDescent="0.3">
      <c r="N1571" s="533"/>
      <c r="O1571" s="533"/>
      <c r="P1571" s="349"/>
      <c r="Q1571" s="349"/>
    </row>
    <row r="1572" spans="14:17" x14ac:dyDescent="0.3">
      <c r="N1572" s="533"/>
      <c r="O1572" s="533"/>
      <c r="P1572" s="349"/>
      <c r="Q1572" s="349"/>
    </row>
    <row r="1573" spans="14:17" x14ac:dyDescent="0.3">
      <c r="N1573" s="533"/>
      <c r="O1573" s="533"/>
      <c r="P1573" s="349"/>
      <c r="Q1573" s="349"/>
    </row>
    <row r="1574" spans="14:17" x14ac:dyDescent="0.3">
      <c r="N1574" s="533"/>
      <c r="O1574" s="533"/>
      <c r="P1574" s="349"/>
      <c r="Q1574" s="349"/>
    </row>
    <row r="1575" spans="14:17" x14ac:dyDescent="0.3">
      <c r="N1575" s="533"/>
      <c r="O1575" s="533"/>
      <c r="P1575" s="349"/>
      <c r="Q1575" s="349"/>
    </row>
    <row r="1576" spans="14:17" x14ac:dyDescent="0.3">
      <c r="N1576" s="533"/>
      <c r="O1576" s="533"/>
      <c r="P1576" s="349"/>
      <c r="Q1576" s="349"/>
    </row>
    <row r="1577" spans="14:17" x14ac:dyDescent="0.3">
      <c r="N1577" s="533"/>
      <c r="O1577" s="533"/>
      <c r="P1577" s="349"/>
      <c r="Q1577" s="349"/>
    </row>
    <row r="1578" spans="14:17" x14ac:dyDescent="0.3">
      <c r="N1578" s="533"/>
      <c r="O1578" s="533"/>
      <c r="P1578" s="349"/>
      <c r="Q1578" s="349"/>
    </row>
    <row r="1579" spans="14:17" x14ac:dyDescent="0.3">
      <c r="N1579" s="533"/>
      <c r="O1579" s="533"/>
      <c r="P1579" s="349"/>
      <c r="Q1579" s="349"/>
    </row>
    <row r="1580" spans="14:17" x14ac:dyDescent="0.3">
      <c r="N1580" s="533"/>
      <c r="O1580" s="533"/>
      <c r="P1580" s="349"/>
      <c r="Q1580" s="349"/>
    </row>
    <row r="1581" spans="14:17" x14ac:dyDescent="0.3">
      <c r="N1581" s="533"/>
      <c r="O1581" s="533"/>
      <c r="P1581" s="349"/>
      <c r="Q1581" s="349"/>
    </row>
    <row r="1582" spans="14:17" x14ac:dyDescent="0.3">
      <c r="N1582" s="533"/>
      <c r="O1582" s="533"/>
      <c r="P1582" s="349"/>
      <c r="Q1582" s="349"/>
    </row>
    <row r="1583" spans="14:17" x14ac:dyDescent="0.3">
      <c r="N1583" s="533"/>
      <c r="O1583" s="533"/>
      <c r="P1583" s="349"/>
      <c r="Q1583" s="349"/>
    </row>
    <row r="1584" spans="14:17" x14ac:dyDescent="0.3">
      <c r="N1584" s="533"/>
      <c r="O1584" s="533"/>
      <c r="P1584" s="349"/>
      <c r="Q1584" s="349"/>
    </row>
    <row r="1585" spans="14:17" x14ac:dyDescent="0.3">
      <c r="N1585" s="533"/>
      <c r="O1585" s="533"/>
      <c r="P1585" s="349"/>
      <c r="Q1585" s="349"/>
    </row>
    <row r="1586" spans="14:17" x14ac:dyDescent="0.3">
      <c r="N1586" s="533"/>
      <c r="O1586" s="533"/>
      <c r="P1586" s="349"/>
      <c r="Q1586" s="349"/>
    </row>
    <row r="1587" spans="14:17" x14ac:dyDescent="0.3">
      <c r="N1587" s="533"/>
      <c r="O1587" s="533"/>
      <c r="P1587" s="349"/>
      <c r="Q1587" s="349"/>
    </row>
    <row r="1588" spans="14:17" x14ac:dyDescent="0.3">
      <c r="N1588" s="533"/>
      <c r="O1588" s="533"/>
      <c r="P1588" s="349"/>
      <c r="Q1588" s="349"/>
    </row>
    <row r="1589" spans="14:17" x14ac:dyDescent="0.3">
      <c r="N1589" s="533"/>
      <c r="O1589" s="533"/>
      <c r="P1589" s="349"/>
      <c r="Q1589" s="349"/>
    </row>
    <row r="1590" spans="14:17" x14ac:dyDescent="0.3">
      <c r="N1590" s="533"/>
      <c r="O1590" s="533"/>
      <c r="P1590" s="349"/>
      <c r="Q1590" s="349"/>
    </row>
    <row r="1591" spans="14:17" x14ac:dyDescent="0.3">
      <c r="N1591" s="533"/>
      <c r="O1591" s="533"/>
      <c r="P1591" s="349"/>
      <c r="Q1591" s="349"/>
    </row>
    <row r="1592" spans="14:17" x14ac:dyDescent="0.3">
      <c r="N1592" s="533"/>
      <c r="O1592" s="533"/>
      <c r="P1592" s="349"/>
      <c r="Q1592" s="349"/>
    </row>
    <row r="1593" spans="14:17" x14ac:dyDescent="0.3">
      <c r="N1593" s="533"/>
      <c r="O1593" s="533"/>
      <c r="P1593" s="349"/>
      <c r="Q1593" s="349"/>
    </row>
    <row r="1594" spans="14:17" x14ac:dyDescent="0.3">
      <c r="N1594" s="533"/>
      <c r="O1594" s="533"/>
      <c r="P1594" s="349"/>
      <c r="Q1594" s="349"/>
    </row>
    <row r="1595" spans="14:17" x14ac:dyDescent="0.3">
      <c r="N1595" s="533"/>
      <c r="O1595" s="533"/>
      <c r="P1595" s="349"/>
      <c r="Q1595" s="349"/>
    </row>
    <row r="1596" spans="14:17" x14ac:dyDescent="0.3">
      <c r="N1596" s="533"/>
      <c r="O1596" s="533"/>
      <c r="P1596" s="349"/>
      <c r="Q1596" s="349"/>
    </row>
    <row r="1597" spans="14:17" x14ac:dyDescent="0.3">
      <c r="N1597" s="533"/>
      <c r="O1597" s="533"/>
      <c r="P1597" s="349"/>
      <c r="Q1597" s="349"/>
    </row>
    <row r="1598" spans="14:17" x14ac:dyDescent="0.3">
      <c r="N1598" s="533"/>
      <c r="O1598" s="533"/>
      <c r="P1598" s="349"/>
      <c r="Q1598" s="349"/>
    </row>
    <row r="1599" spans="14:17" x14ac:dyDescent="0.3">
      <c r="N1599" s="533"/>
      <c r="O1599" s="533"/>
      <c r="P1599" s="349"/>
      <c r="Q1599" s="349"/>
    </row>
    <row r="1600" spans="14:17" x14ac:dyDescent="0.3">
      <c r="N1600" s="533"/>
      <c r="O1600" s="533"/>
      <c r="P1600" s="349"/>
      <c r="Q1600" s="349"/>
    </row>
    <row r="1601" spans="14:17" x14ac:dyDescent="0.3">
      <c r="N1601" s="533"/>
      <c r="O1601" s="533"/>
      <c r="P1601" s="349"/>
      <c r="Q1601" s="349"/>
    </row>
    <row r="1602" spans="14:17" x14ac:dyDescent="0.3">
      <c r="N1602" s="533"/>
      <c r="O1602" s="533"/>
      <c r="P1602" s="349"/>
      <c r="Q1602" s="349"/>
    </row>
    <row r="1603" spans="14:17" x14ac:dyDescent="0.3">
      <c r="N1603" s="533"/>
      <c r="O1603" s="533"/>
      <c r="P1603" s="349"/>
      <c r="Q1603" s="349"/>
    </row>
    <row r="1604" spans="14:17" x14ac:dyDescent="0.3">
      <c r="N1604" s="533"/>
      <c r="O1604" s="533"/>
      <c r="P1604" s="349"/>
      <c r="Q1604" s="349"/>
    </row>
    <row r="1605" spans="14:17" x14ac:dyDescent="0.3">
      <c r="N1605" s="533"/>
      <c r="O1605" s="533"/>
      <c r="P1605" s="349"/>
      <c r="Q1605" s="349"/>
    </row>
    <row r="1606" spans="14:17" x14ac:dyDescent="0.3">
      <c r="N1606" s="533"/>
      <c r="O1606" s="533"/>
      <c r="P1606" s="349"/>
      <c r="Q1606" s="349"/>
    </row>
    <row r="1607" spans="14:17" x14ac:dyDescent="0.3">
      <c r="N1607" s="533"/>
      <c r="O1607" s="533"/>
      <c r="P1607" s="349"/>
      <c r="Q1607" s="349"/>
    </row>
    <row r="1608" spans="14:17" x14ac:dyDescent="0.3">
      <c r="N1608" s="533"/>
      <c r="O1608" s="533"/>
      <c r="P1608" s="349"/>
      <c r="Q1608" s="349"/>
    </row>
    <row r="1609" spans="14:17" x14ac:dyDescent="0.3">
      <c r="N1609" s="533"/>
      <c r="O1609" s="533"/>
      <c r="P1609" s="349"/>
      <c r="Q1609" s="349"/>
    </row>
    <row r="1610" spans="14:17" x14ac:dyDescent="0.3">
      <c r="N1610" s="533"/>
      <c r="O1610" s="533"/>
      <c r="P1610" s="349"/>
      <c r="Q1610" s="349"/>
    </row>
    <row r="1611" spans="14:17" x14ac:dyDescent="0.3">
      <c r="N1611" s="533"/>
      <c r="O1611" s="533"/>
      <c r="P1611" s="349"/>
      <c r="Q1611" s="349"/>
    </row>
    <row r="1612" spans="14:17" x14ac:dyDescent="0.3">
      <c r="N1612" s="533"/>
      <c r="O1612" s="533"/>
      <c r="P1612" s="349"/>
      <c r="Q1612" s="349"/>
    </row>
    <row r="1613" spans="14:17" x14ac:dyDescent="0.3">
      <c r="N1613" s="533"/>
      <c r="O1613" s="533"/>
      <c r="P1613" s="349"/>
      <c r="Q1613" s="349"/>
    </row>
    <row r="1614" spans="14:17" x14ac:dyDescent="0.3">
      <c r="N1614" s="533"/>
      <c r="O1614" s="533"/>
      <c r="P1614" s="349"/>
      <c r="Q1614" s="349"/>
    </row>
    <row r="1615" spans="14:17" x14ac:dyDescent="0.3">
      <c r="N1615" s="533"/>
      <c r="O1615" s="533"/>
      <c r="P1615" s="349"/>
      <c r="Q1615" s="349"/>
    </row>
    <row r="1616" spans="14:17" x14ac:dyDescent="0.3">
      <c r="N1616" s="533"/>
      <c r="O1616" s="533"/>
      <c r="P1616" s="349"/>
      <c r="Q1616" s="349"/>
    </row>
    <row r="1617" spans="14:17" x14ac:dyDescent="0.3">
      <c r="N1617" s="533"/>
      <c r="O1617" s="533"/>
      <c r="P1617" s="349"/>
      <c r="Q1617" s="349"/>
    </row>
    <row r="1618" spans="14:17" x14ac:dyDescent="0.3">
      <c r="N1618" s="533"/>
      <c r="O1618" s="533"/>
      <c r="P1618" s="349"/>
      <c r="Q1618" s="349"/>
    </row>
    <row r="1619" spans="14:17" x14ac:dyDescent="0.3">
      <c r="N1619" s="533"/>
      <c r="O1619" s="533"/>
      <c r="P1619" s="349"/>
      <c r="Q1619" s="349"/>
    </row>
    <row r="1620" spans="14:17" x14ac:dyDescent="0.3">
      <c r="N1620" s="533"/>
      <c r="O1620" s="533"/>
      <c r="P1620" s="349"/>
      <c r="Q1620" s="349"/>
    </row>
    <row r="1621" spans="14:17" x14ac:dyDescent="0.3">
      <c r="N1621" s="533"/>
      <c r="O1621" s="533"/>
      <c r="P1621" s="349"/>
      <c r="Q1621" s="349"/>
    </row>
    <row r="1622" spans="14:17" x14ac:dyDescent="0.3">
      <c r="N1622" s="533"/>
      <c r="O1622" s="533"/>
      <c r="P1622" s="349"/>
      <c r="Q1622" s="349"/>
    </row>
    <row r="1623" spans="14:17" x14ac:dyDescent="0.3">
      <c r="N1623" s="533"/>
      <c r="O1623" s="533"/>
      <c r="P1623" s="349"/>
      <c r="Q1623" s="349"/>
    </row>
    <row r="1624" spans="14:17" x14ac:dyDescent="0.3">
      <c r="N1624" s="533"/>
      <c r="O1624" s="533"/>
      <c r="P1624" s="349"/>
      <c r="Q1624" s="349"/>
    </row>
    <row r="1625" spans="14:17" x14ac:dyDescent="0.3">
      <c r="N1625" s="533"/>
      <c r="O1625" s="533"/>
      <c r="P1625" s="349"/>
      <c r="Q1625" s="349"/>
    </row>
    <row r="1626" spans="14:17" x14ac:dyDescent="0.3">
      <c r="N1626" s="533"/>
      <c r="O1626" s="533"/>
      <c r="P1626" s="349"/>
      <c r="Q1626" s="349"/>
    </row>
    <row r="1627" spans="14:17" x14ac:dyDescent="0.3">
      <c r="N1627" s="533"/>
      <c r="O1627" s="533"/>
      <c r="P1627" s="349"/>
      <c r="Q1627" s="349"/>
    </row>
    <row r="1628" spans="14:17" x14ac:dyDescent="0.3">
      <c r="N1628" s="533"/>
      <c r="O1628" s="533"/>
      <c r="P1628" s="349"/>
      <c r="Q1628" s="349"/>
    </row>
    <row r="1629" spans="14:17" x14ac:dyDescent="0.3">
      <c r="N1629" s="533"/>
      <c r="O1629" s="533"/>
      <c r="P1629" s="349"/>
      <c r="Q1629" s="349"/>
    </row>
    <row r="1630" spans="14:17" x14ac:dyDescent="0.3">
      <c r="N1630" s="533"/>
      <c r="O1630" s="533"/>
      <c r="P1630" s="349"/>
      <c r="Q1630" s="349"/>
    </row>
    <row r="1631" spans="14:17" x14ac:dyDescent="0.3">
      <c r="N1631" s="533"/>
      <c r="O1631" s="533"/>
      <c r="P1631" s="349"/>
      <c r="Q1631" s="349"/>
    </row>
    <row r="1632" spans="14:17" x14ac:dyDescent="0.3">
      <c r="N1632" s="533"/>
      <c r="O1632" s="533"/>
      <c r="P1632" s="349"/>
      <c r="Q1632" s="349"/>
    </row>
    <row r="1633" spans="14:17" x14ac:dyDescent="0.3">
      <c r="N1633" s="533"/>
      <c r="O1633" s="533"/>
      <c r="P1633" s="349"/>
      <c r="Q1633" s="349"/>
    </row>
    <row r="1634" spans="14:17" x14ac:dyDescent="0.3">
      <c r="N1634" s="533"/>
      <c r="O1634" s="533"/>
      <c r="P1634" s="349"/>
      <c r="Q1634" s="349"/>
    </row>
    <row r="1635" spans="14:17" x14ac:dyDescent="0.3">
      <c r="N1635" s="533"/>
      <c r="O1635" s="533"/>
      <c r="P1635" s="349"/>
      <c r="Q1635" s="349"/>
    </row>
    <row r="1636" spans="14:17" x14ac:dyDescent="0.3">
      <c r="N1636" s="533"/>
      <c r="O1636" s="533"/>
      <c r="P1636" s="349"/>
      <c r="Q1636" s="349"/>
    </row>
    <row r="1637" spans="14:17" x14ac:dyDescent="0.3">
      <c r="N1637" s="533"/>
      <c r="O1637" s="533"/>
      <c r="P1637" s="349"/>
      <c r="Q1637" s="349"/>
    </row>
    <row r="1638" spans="14:17" x14ac:dyDescent="0.3">
      <c r="N1638" s="533"/>
      <c r="O1638" s="533"/>
      <c r="P1638" s="349"/>
      <c r="Q1638" s="349"/>
    </row>
    <row r="1639" spans="14:17" x14ac:dyDescent="0.3">
      <c r="N1639" s="533"/>
      <c r="O1639" s="533"/>
      <c r="P1639" s="349"/>
      <c r="Q1639" s="349"/>
    </row>
    <row r="1640" spans="14:17" x14ac:dyDescent="0.3">
      <c r="N1640" s="533"/>
      <c r="O1640" s="533"/>
      <c r="P1640" s="349"/>
      <c r="Q1640" s="349"/>
    </row>
    <row r="1641" spans="14:17" x14ac:dyDescent="0.3">
      <c r="N1641" s="533"/>
      <c r="O1641" s="533"/>
      <c r="P1641" s="349"/>
      <c r="Q1641" s="349"/>
    </row>
    <row r="1642" spans="14:17" x14ac:dyDescent="0.3">
      <c r="N1642" s="533"/>
      <c r="O1642" s="533"/>
      <c r="P1642" s="349"/>
      <c r="Q1642" s="349"/>
    </row>
    <row r="1643" spans="14:17" x14ac:dyDescent="0.3">
      <c r="N1643" s="533"/>
      <c r="O1643" s="533"/>
      <c r="P1643" s="349"/>
      <c r="Q1643" s="349"/>
    </row>
    <row r="1644" spans="14:17" x14ac:dyDescent="0.3">
      <c r="N1644" s="533"/>
      <c r="O1644" s="533"/>
      <c r="P1644" s="349"/>
      <c r="Q1644" s="349"/>
    </row>
    <row r="1645" spans="14:17" x14ac:dyDescent="0.3">
      <c r="N1645" s="533"/>
      <c r="O1645" s="533"/>
      <c r="P1645" s="349"/>
      <c r="Q1645" s="349"/>
    </row>
    <row r="1646" spans="14:17" x14ac:dyDescent="0.3">
      <c r="N1646" s="533"/>
      <c r="O1646" s="533"/>
      <c r="P1646" s="349"/>
      <c r="Q1646" s="349"/>
    </row>
    <row r="1647" spans="14:17" x14ac:dyDescent="0.3">
      <c r="N1647" s="533"/>
      <c r="O1647" s="533"/>
      <c r="P1647" s="349"/>
      <c r="Q1647" s="349"/>
    </row>
    <row r="1648" spans="14:17" x14ac:dyDescent="0.3">
      <c r="N1648" s="533"/>
      <c r="O1648" s="533"/>
      <c r="P1648" s="349"/>
      <c r="Q1648" s="349"/>
    </row>
    <row r="1649" spans="14:17" x14ac:dyDescent="0.3">
      <c r="N1649" s="533"/>
      <c r="O1649" s="533"/>
      <c r="P1649" s="349"/>
      <c r="Q1649" s="349"/>
    </row>
    <row r="1650" spans="14:17" x14ac:dyDescent="0.3">
      <c r="N1650" s="533"/>
      <c r="O1650" s="533"/>
      <c r="P1650" s="349"/>
      <c r="Q1650" s="349"/>
    </row>
    <row r="1651" spans="14:17" x14ac:dyDescent="0.3">
      <c r="N1651" s="533"/>
      <c r="O1651" s="533"/>
      <c r="P1651" s="349"/>
      <c r="Q1651" s="349"/>
    </row>
    <row r="1652" spans="14:17" x14ac:dyDescent="0.3">
      <c r="N1652" s="533"/>
      <c r="O1652" s="533"/>
      <c r="P1652" s="349"/>
      <c r="Q1652" s="349"/>
    </row>
    <row r="1653" spans="14:17" x14ac:dyDescent="0.3">
      <c r="N1653" s="533"/>
      <c r="O1653" s="533"/>
      <c r="P1653" s="349"/>
      <c r="Q1653" s="349"/>
    </row>
    <row r="1654" spans="14:17" x14ac:dyDescent="0.3">
      <c r="N1654" s="533"/>
      <c r="O1654" s="533"/>
      <c r="P1654" s="349"/>
      <c r="Q1654" s="349"/>
    </row>
    <row r="1655" spans="14:17" x14ac:dyDescent="0.3">
      <c r="N1655" s="533"/>
      <c r="O1655" s="533"/>
      <c r="P1655" s="349"/>
      <c r="Q1655" s="349"/>
    </row>
    <row r="1656" spans="14:17" x14ac:dyDescent="0.3">
      <c r="N1656" s="533"/>
      <c r="O1656" s="533"/>
      <c r="P1656" s="349"/>
      <c r="Q1656" s="349"/>
    </row>
    <row r="1657" spans="14:17" x14ac:dyDescent="0.3">
      <c r="N1657" s="533"/>
      <c r="O1657" s="533"/>
      <c r="P1657" s="349"/>
      <c r="Q1657" s="349"/>
    </row>
    <row r="1658" spans="14:17" x14ac:dyDescent="0.3">
      <c r="N1658" s="533"/>
      <c r="O1658" s="533"/>
      <c r="P1658" s="349"/>
      <c r="Q1658" s="349"/>
    </row>
    <row r="1659" spans="14:17" x14ac:dyDescent="0.3">
      <c r="N1659" s="533"/>
      <c r="O1659" s="533"/>
      <c r="P1659" s="349"/>
      <c r="Q1659" s="349"/>
    </row>
    <row r="1660" spans="14:17" x14ac:dyDescent="0.3">
      <c r="N1660" s="533"/>
      <c r="O1660" s="533"/>
      <c r="P1660" s="349"/>
      <c r="Q1660" s="349"/>
    </row>
    <row r="1661" spans="14:17" x14ac:dyDescent="0.3">
      <c r="N1661" s="533"/>
      <c r="O1661" s="533"/>
      <c r="P1661" s="349"/>
      <c r="Q1661" s="349"/>
    </row>
    <row r="1662" spans="14:17" x14ac:dyDescent="0.3">
      <c r="N1662" s="533"/>
      <c r="O1662" s="533"/>
      <c r="P1662" s="349"/>
      <c r="Q1662" s="349"/>
    </row>
    <row r="1663" spans="14:17" x14ac:dyDescent="0.3">
      <c r="N1663" s="533"/>
      <c r="O1663" s="533"/>
      <c r="P1663" s="349"/>
      <c r="Q1663" s="349"/>
    </row>
    <row r="1664" spans="14:17" x14ac:dyDescent="0.3">
      <c r="N1664" s="533"/>
      <c r="O1664" s="533"/>
      <c r="P1664" s="349"/>
      <c r="Q1664" s="349"/>
    </row>
    <row r="1665" spans="14:17" x14ac:dyDescent="0.3">
      <c r="N1665" s="533"/>
      <c r="O1665" s="533"/>
      <c r="P1665" s="349"/>
      <c r="Q1665" s="349"/>
    </row>
    <row r="1666" spans="14:17" x14ac:dyDescent="0.3">
      <c r="N1666" s="533"/>
      <c r="O1666" s="533"/>
      <c r="P1666" s="349"/>
      <c r="Q1666" s="349"/>
    </row>
    <row r="1667" spans="14:17" x14ac:dyDescent="0.3">
      <c r="N1667" s="533"/>
      <c r="O1667" s="533"/>
      <c r="P1667" s="349"/>
      <c r="Q1667" s="349"/>
    </row>
    <row r="1668" spans="14:17" x14ac:dyDescent="0.3">
      <c r="N1668" s="533"/>
      <c r="O1668" s="533"/>
      <c r="P1668" s="349"/>
      <c r="Q1668" s="349"/>
    </row>
    <row r="1669" spans="14:17" x14ac:dyDescent="0.3">
      <c r="N1669" s="533"/>
      <c r="O1669" s="533"/>
      <c r="P1669" s="349"/>
      <c r="Q1669" s="349"/>
    </row>
    <row r="1670" spans="14:17" x14ac:dyDescent="0.3">
      <c r="N1670" s="533"/>
      <c r="O1670" s="533"/>
      <c r="P1670" s="349"/>
      <c r="Q1670" s="349"/>
    </row>
    <row r="1671" spans="14:17" x14ac:dyDescent="0.3">
      <c r="N1671" s="533"/>
      <c r="O1671" s="533"/>
      <c r="P1671" s="349"/>
      <c r="Q1671" s="349"/>
    </row>
    <row r="1672" spans="14:17" x14ac:dyDescent="0.3">
      <c r="N1672" s="533"/>
      <c r="O1672" s="533"/>
      <c r="P1672" s="349"/>
      <c r="Q1672" s="349"/>
    </row>
    <row r="1673" spans="14:17" x14ac:dyDescent="0.3">
      <c r="N1673" s="533"/>
      <c r="O1673" s="533"/>
      <c r="P1673" s="349"/>
      <c r="Q1673" s="349"/>
    </row>
    <row r="1674" spans="14:17" x14ac:dyDescent="0.3">
      <c r="N1674" s="533"/>
      <c r="O1674" s="533"/>
      <c r="P1674" s="349"/>
      <c r="Q1674" s="349"/>
    </row>
    <row r="1675" spans="14:17" x14ac:dyDescent="0.3">
      <c r="N1675" s="533"/>
      <c r="O1675" s="533"/>
      <c r="P1675" s="349"/>
      <c r="Q1675" s="349"/>
    </row>
    <row r="1676" spans="14:17" x14ac:dyDescent="0.3">
      <c r="N1676" s="533"/>
      <c r="O1676" s="533"/>
      <c r="P1676" s="349"/>
      <c r="Q1676" s="349"/>
    </row>
    <row r="1677" spans="14:17" x14ac:dyDescent="0.3">
      <c r="N1677" s="533"/>
      <c r="O1677" s="533"/>
      <c r="P1677" s="349"/>
      <c r="Q1677" s="349"/>
    </row>
    <row r="1678" spans="14:17" x14ac:dyDescent="0.3">
      <c r="N1678" s="533"/>
      <c r="O1678" s="533"/>
      <c r="P1678" s="349"/>
      <c r="Q1678" s="349"/>
    </row>
    <row r="1679" spans="14:17" x14ac:dyDescent="0.3">
      <c r="N1679" s="533"/>
      <c r="O1679" s="533"/>
      <c r="P1679" s="349"/>
      <c r="Q1679" s="349"/>
    </row>
    <row r="1680" spans="14:17" x14ac:dyDescent="0.3">
      <c r="N1680" s="533"/>
      <c r="O1680" s="533"/>
      <c r="P1680" s="349"/>
      <c r="Q1680" s="349"/>
    </row>
    <row r="1681" spans="14:17" x14ac:dyDescent="0.3">
      <c r="N1681" s="533"/>
      <c r="O1681" s="533"/>
      <c r="P1681" s="349"/>
      <c r="Q1681" s="349"/>
    </row>
    <row r="1682" spans="14:17" x14ac:dyDescent="0.3">
      <c r="N1682" s="533"/>
      <c r="O1682" s="533"/>
      <c r="P1682" s="349"/>
      <c r="Q1682" s="349"/>
    </row>
    <row r="1683" spans="14:17" x14ac:dyDescent="0.3">
      <c r="N1683" s="533"/>
      <c r="O1683" s="533"/>
      <c r="P1683" s="349"/>
      <c r="Q1683" s="349"/>
    </row>
    <row r="1684" spans="14:17" x14ac:dyDescent="0.3">
      <c r="N1684" s="533"/>
      <c r="O1684" s="533"/>
      <c r="P1684" s="349"/>
      <c r="Q1684" s="349"/>
    </row>
    <row r="1685" spans="14:17" x14ac:dyDescent="0.3">
      <c r="N1685" s="533"/>
      <c r="O1685" s="533"/>
      <c r="P1685" s="349"/>
      <c r="Q1685" s="349"/>
    </row>
    <row r="1686" spans="14:17" x14ac:dyDescent="0.3">
      <c r="N1686" s="533"/>
      <c r="O1686" s="533"/>
      <c r="P1686" s="349"/>
      <c r="Q1686" s="349"/>
    </row>
    <row r="1687" spans="14:17" x14ac:dyDescent="0.3">
      <c r="N1687" s="533"/>
      <c r="O1687" s="533"/>
      <c r="P1687" s="349"/>
      <c r="Q1687" s="349"/>
    </row>
    <row r="1688" spans="14:17" x14ac:dyDescent="0.3">
      <c r="N1688" s="533"/>
      <c r="O1688" s="533"/>
      <c r="P1688" s="349"/>
      <c r="Q1688" s="349"/>
    </row>
    <row r="1689" spans="14:17" x14ac:dyDescent="0.3">
      <c r="N1689" s="533"/>
      <c r="O1689" s="533"/>
      <c r="P1689" s="349"/>
      <c r="Q1689" s="349"/>
    </row>
    <row r="1690" spans="14:17" x14ac:dyDescent="0.3">
      <c r="N1690" s="533"/>
      <c r="O1690" s="533"/>
      <c r="P1690" s="349"/>
      <c r="Q1690" s="349"/>
    </row>
    <row r="1691" spans="14:17" x14ac:dyDescent="0.3">
      <c r="N1691" s="533"/>
      <c r="O1691" s="533"/>
      <c r="P1691" s="349"/>
      <c r="Q1691" s="349"/>
    </row>
    <row r="1692" spans="14:17" x14ac:dyDescent="0.3">
      <c r="N1692" s="533"/>
      <c r="O1692" s="533"/>
      <c r="P1692" s="349"/>
      <c r="Q1692" s="349"/>
    </row>
    <row r="1693" spans="14:17" x14ac:dyDescent="0.3">
      <c r="N1693" s="533"/>
      <c r="O1693" s="533"/>
      <c r="P1693" s="349"/>
      <c r="Q1693" s="349"/>
    </row>
    <row r="1694" spans="14:17" x14ac:dyDescent="0.3">
      <c r="N1694" s="533"/>
      <c r="O1694" s="533"/>
      <c r="P1694" s="349"/>
      <c r="Q1694" s="349"/>
    </row>
    <row r="1695" spans="14:17" x14ac:dyDescent="0.3">
      <c r="N1695" s="533"/>
      <c r="O1695" s="533"/>
      <c r="P1695" s="349"/>
      <c r="Q1695" s="349"/>
    </row>
    <row r="1696" spans="14:17" x14ac:dyDescent="0.3">
      <c r="N1696" s="533"/>
      <c r="O1696" s="533"/>
      <c r="P1696" s="349"/>
      <c r="Q1696" s="349"/>
    </row>
    <row r="1697" spans="14:17" x14ac:dyDescent="0.3">
      <c r="N1697" s="533"/>
      <c r="O1697" s="533"/>
      <c r="P1697" s="349"/>
      <c r="Q1697" s="349"/>
    </row>
    <row r="1698" spans="14:17" x14ac:dyDescent="0.3">
      <c r="N1698" s="533"/>
      <c r="O1698" s="533"/>
      <c r="P1698" s="349"/>
      <c r="Q1698" s="349"/>
    </row>
    <row r="1699" spans="14:17" x14ac:dyDescent="0.3">
      <c r="N1699" s="533"/>
      <c r="O1699" s="533"/>
      <c r="P1699" s="349"/>
      <c r="Q1699" s="349"/>
    </row>
    <row r="1700" spans="14:17" x14ac:dyDescent="0.3">
      <c r="N1700" s="533"/>
      <c r="O1700" s="533"/>
      <c r="P1700" s="349"/>
      <c r="Q1700" s="349"/>
    </row>
    <row r="1701" spans="14:17" x14ac:dyDescent="0.3">
      <c r="N1701" s="533"/>
      <c r="O1701" s="533"/>
      <c r="P1701" s="349"/>
      <c r="Q1701" s="349"/>
    </row>
    <row r="1702" spans="14:17" x14ac:dyDescent="0.3">
      <c r="N1702" s="533"/>
      <c r="O1702" s="533"/>
      <c r="P1702" s="349"/>
      <c r="Q1702" s="349"/>
    </row>
    <row r="1703" spans="14:17" x14ac:dyDescent="0.3">
      <c r="N1703" s="533"/>
      <c r="O1703" s="533"/>
      <c r="P1703" s="349"/>
      <c r="Q1703" s="349"/>
    </row>
    <row r="1704" spans="14:17" x14ac:dyDescent="0.3">
      <c r="N1704" s="533"/>
      <c r="O1704" s="533"/>
      <c r="P1704" s="349"/>
      <c r="Q1704" s="349"/>
    </row>
    <row r="1705" spans="14:17" x14ac:dyDescent="0.3">
      <c r="N1705" s="533"/>
      <c r="O1705" s="533"/>
      <c r="P1705" s="349"/>
      <c r="Q1705" s="349"/>
    </row>
    <row r="1706" spans="14:17" x14ac:dyDescent="0.3">
      <c r="N1706" s="533"/>
      <c r="O1706" s="533"/>
      <c r="P1706" s="349"/>
      <c r="Q1706" s="349"/>
    </row>
    <row r="1707" spans="14:17" x14ac:dyDescent="0.3">
      <c r="N1707" s="533"/>
      <c r="O1707" s="533"/>
      <c r="P1707" s="349"/>
      <c r="Q1707" s="349"/>
    </row>
    <row r="1708" spans="14:17" x14ac:dyDescent="0.3">
      <c r="N1708" s="533"/>
      <c r="O1708" s="533"/>
      <c r="P1708" s="349"/>
      <c r="Q1708" s="349"/>
    </row>
    <row r="1709" spans="14:17" x14ac:dyDescent="0.3">
      <c r="N1709" s="533"/>
      <c r="O1709" s="533"/>
      <c r="P1709" s="349"/>
      <c r="Q1709" s="349"/>
    </row>
    <row r="1710" spans="14:17" x14ac:dyDescent="0.3">
      <c r="N1710" s="533"/>
      <c r="O1710" s="533"/>
      <c r="P1710" s="349"/>
      <c r="Q1710" s="349"/>
    </row>
    <row r="1711" spans="14:17" x14ac:dyDescent="0.3">
      <c r="N1711" s="533"/>
      <c r="O1711" s="533"/>
      <c r="P1711" s="349"/>
      <c r="Q1711" s="349"/>
    </row>
    <row r="1712" spans="14:17" x14ac:dyDescent="0.3">
      <c r="N1712" s="533"/>
      <c r="O1712" s="533"/>
      <c r="P1712" s="349"/>
      <c r="Q1712" s="349"/>
    </row>
    <row r="1713" spans="14:17" x14ac:dyDescent="0.3">
      <c r="N1713" s="533"/>
      <c r="O1713" s="533"/>
      <c r="P1713" s="349"/>
      <c r="Q1713" s="349"/>
    </row>
    <row r="1714" spans="14:17" x14ac:dyDescent="0.3">
      <c r="N1714" s="533"/>
      <c r="O1714" s="533"/>
      <c r="P1714" s="349"/>
      <c r="Q1714" s="349"/>
    </row>
    <row r="1715" spans="14:17" x14ac:dyDescent="0.3">
      <c r="N1715" s="533"/>
      <c r="O1715" s="533"/>
      <c r="P1715" s="349"/>
      <c r="Q1715" s="349"/>
    </row>
    <row r="1716" spans="14:17" x14ac:dyDescent="0.3">
      <c r="N1716" s="533"/>
      <c r="O1716" s="533"/>
      <c r="P1716" s="349"/>
      <c r="Q1716" s="349"/>
    </row>
    <row r="1717" spans="14:17" x14ac:dyDescent="0.3">
      <c r="N1717" s="533"/>
      <c r="O1717" s="533"/>
      <c r="P1717" s="349"/>
      <c r="Q1717" s="349"/>
    </row>
    <row r="1718" spans="14:17" x14ac:dyDescent="0.3">
      <c r="N1718" s="533"/>
      <c r="O1718" s="533"/>
      <c r="P1718" s="349"/>
      <c r="Q1718" s="349"/>
    </row>
    <row r="1719" spans="14:17" x14ac:dyDescent="0.3">
      <c r="N1719" s="533"/>
      <c r="O1719" s="533"/>
      <c r="P1719" s="349"/>
      <c r="Q1719" s="349"/>
    </row>
    <row r="1720" spans="14:17" x14ac:dyDescent="0.3">
      <c r="N1720" s="533"/>
      <c r="O1720" s="533"/>
      <c r="P1720" s="349"/>
      <c r="Q1720" s="349"/>
    </row>
    <row r="1721" spans="14:17" x14ac:dyDescent="0.3">
      <c r="N1721" s="533"/>
      <c r="O1721" s="533"/>
      <c r="P1721" s="349"/>
      <c r="Q1721" s="349"/>
    </row>
    <row r="1722" spans="14:17" x14ac:dyDescent="0.3">
      <c r="N1722" s="533"/>
      <c r="O1722" s="533"/>
      <c r="P1722" s="349"/>
      <c r="Q1722" s="349"/>
    </row>
    <row r="1723" spans="14:17" x14ac:dyDescent="0.3">
      <c r="N1723" s="533"/>
      <c r="O1723" s="533"/>
      <c r="P1723" s="349"/>
      <c r="Q1723" s="349"/>
    </row>
    <row r="1724" spans="14:17" x14ac:dyDescent="0.3">
      <c r="N1724" s="533"/>
      <c r="O1724" s="533"/>
      <c r="P1724" s="349"/>
      <c r="Q1724" s="349"/>
    </row>
    <row r="1725" spans="14:17" x14ac:dyDescent="0.3">
      <c r="N1725" s="533"/>
      <c r="O1725" s="533"/>
      <c r="P1725" s="349"/>
      <c r="Q1725" s="349"/>
    </row>
    <row r="1726" spans="14:17" x14ac:dyDescent="0.3">
      <c r="N1726" s="533"/>
      <c r="O1726" s="533"/>
      <c r="P1726" s="349"/>
      <c r="Q1726" s="349"/>
    </row>
    <row r="1727" spans="14:17" x14ac:dyDescent="0.3">
      <c r="N1727" s="533"/>
      <c r="O1727" s="533"/>
      <c r="P1727" s="349"/>
      <c r="Q1727" s="349"/>
    </row>
    <row r="1728" spans="14:17" x14ac:dyDescent="0.3">
      <c r="N1728" s="533"/>
      <c r="O1728" s="533"/>
      <c r="P1728" s="349"/>
      <c r="Q1728" s="349"/>
    </row>
    <row r="1729" spans="14:17" x14ac:dyDescent="0.3">
      <c r="N1729" s="533"/>
      <c r="O1729" s="533"/>
      <c r="P1729" s="349"/>
      <c r="Q1729" s="349"/>
    </row>
    <row r="1730" spans="14:17" x14ac:dyDescent="0.3">
      <c r="N1730" s="533"/>
      <c r="O1730" s="533"/>
      <c r="P1730" s="349"/>
      <c r="Q1730" s="349"/>
    </row>
    <row r="1731" spans="14:17" x14ac:dyDescent="0.3">
      <c r="N1731" s="533"/>
      <c r="O1731" s="533"/>
      <c r="P1731" s="349"/>
      <c r="Q1731" s="349"/>
    </row>
    <row r="1732" spans="14:17" x14ac:dyDescent="0.3">
      <c r="N1732" s="533"/>
      <c r="O1732" s="533"/>
      <c r="P1732" s="349"/>
      <c r="Q1732" s="349"/>
    </row>
    <row r="1733" spans="14:17" x14ac:dyDescent="0.3">
      <c r="N1733" s="533"/>
      <c r="O1733" s="533"/>
      <c r="P1733" s="349"/>
      <c r="Q1733" s="349"/>
    </row>
    <row r="1734" spans="14:17" x14ac:dyDescent="0.3">
      <c r="N1734" s="533"/>
      <c r="O1734" s="533"/>
      <c r="P1734" s="349"/>
      <c r="Q1734" s="349"/>
    </row>
    <row r="1735" spans="14:17" x14ac:dyDescent="0.3">
      <c r="N1735" s="533"/>
      <c r="O1735" s="533"/>
      <c r="P1735" s="349"/>
      <c r="Q1735" s="349"/>
    </row>
    <row r="1736" spans="14:17" x14ac:dyDescent="0.3">
      <c r="N1736" s="533"/>
      <c r="O1736" s="533"/>
      <c r="P1736" s="349"/>
      <c r="Q1736" s="349"/>
    </row>
    <row r="1737" spans="14:17" x14ac:dyDescent="0.3">
      <c r="N1737" s="533"/>
      <c r="O1737" s="533"/>
      <c r="P1737" s="349"/>
      <c r="Q1737" s="349"/>
    </row>
    <row r="1738" spans="14:17" x14ac:dyDescent="0.3">
      <c r="N1738" s="533"/>
      <c r="O1738" s="533"/>
      <c r="P1738" s="349"/>
      <c r="Q1738" s="349"/>
    </row>
    <row r="1739" spans="14:17" x14ac:dyDescent="0.3">
      <c r="N1739" s="533"/>
      <c r="O1739" s="533"/>
      <c r="P1739" s="349"/>
      <c r="Q1739" s="349"/>
    </row>
    <row r="1740" spans="14:17" x14ac:dyDescent="0.3">
      <c r="N1740" s="533"/>
      <c r="O1740" s="533"/>
      <c r="P1740" s="349"/>
      <c r="Q1740" s="349"/>
    </row>
    <row r="1741" spans="14:17" x14ac:dyDescent="0.3">
      <c r="N1741" s="533"/>
      <c r="O1741" s="533"/>
      <c r="P1741" s="349"/>
      <c r="Q1741" s="349"/>
    </row>
    <row r="1742" spans="14:17" x14ac:dyDescent="0.3">
      <c r="N1742" s="533"/>
      <c r="O1742" s="533"/>
      <c r="P1742" s="349"/>
      <c r="Q1742" s="349"/>
    </row>
    <row r="1743" spans="14:17" x14ac:dyDescent="0.3">
      <c r="N1743" s="533"/>
      <c r="O1743" s="533"/>
      <c r="P1743" s="349"/>
      <c r="Q1743" s="349"/>
    </row>
    <row r="1744" spans="14:17" x14ac:dyDescent="0.3">
      <c r="N1744" s="533"/>
      <c r="O1744" s="533"/>
      <c r="P1744" s="349"/>
      <c r="Q1744" s="349"/>
    </row>
    <row r="1745" spans="14:17" x14ac:dyDescent="0.3">
      <c r="N1745" s="533"/>
      <c r="O1745" s="533"/>
      <c r="P1745" s="349"/>
      <c r="Q1745" s="349"/>
    </row>
    <row r="1746" spans="14:17" x14ac:dyDescent="0.3">
      <c r="N1746" s="533"/>
      <c r="O1746" s="533"/>
      <c r="P1746" s="349"/>
      <c r="Q1746" s="349"/>
    </row>
    <row r="1747" spans="14:17" x14ac:dyDescent="0.3">
      <c r="N1747" s="533"/>
      <c r="O1747" s="533"/>
      <c r="P1747" s="349"/>
      <c r="Q1747" s="349"/>
    </row>
    <row r="1748" spans="14:17" x14ac:dyDescent="0.3">
      <c r="N1748" s="533"/>
      <c r="O1748" s="533"/>
      <c r="P1748" s="349"/>
      <c r="Q1748" s="349"/>
    </row>
    <row r="1749" spans="14:17" x14ac:dyDescent="0.3">
      <c r="N1749" s="533"/>
      <c r="O1749" s="533"/>
      <c r="P1749" s="349"/>
      <c r="Q1749" s="349"/>
    </row>
    <row r="1750" spans="14:17" x14ac:dyDescent="0.3">
      <c r="N1750" s="533"/>
      <c r="O1750" s="533"/>
      <c r="P1750" s="349"/>
      <c r="Q1750" s="349"/>
    </row>
    <row r="1751" spans="14:17" x14ac:dyDescent="0.3">
      <c r="N1751" s="533"/>
      <c r="O1751" s="533"/>
      <c r="P1751" s="349"/>
      <c r="Q1751" s="349"/>
    </row>
    <row r="1752" spans="14:17" x14ac:dyDescent="0.3">
      <c r="N1752" s="533"/>
      <c r="O1752" s="533"/>
      <c r="P1752" s="349"/>
      <c r="Q1752" s="349"/>
    </row>
    <row r="1753" spans="14:17" x14ac:dyDescent="0.3">
      <c r="N1753" s="533"/>
      <c r="O1753" s="533"/>
      <c r="P1753" s="349"/>
      <c r="Q1753" s="349"/>
    </row>
    <row r="1754" spans="14:17" x14ac:dyDescent="0.3">
      <c r="N1754" s="533"/>
      <c r="O1754" s="533"/>
      <c r="P1754" s="349"/>
      <c r="Q1754" s="349"/>
    </row>
    <row r="1755" spans="14:17" x14ac:dyDescent="0.3">
      <c r="N1755" s="533"/>
      <c r="O1755" s="533"/>
      <c r="P1755" s="349"/>
      <c r="Q1755" s="349"/>
    </row>
    <row r="1756" spans="14:17" x14ac:dyDescent="0.3">
      <c r="N1756" s="533"/>
      <c r="O1756" s="533"/>
      <c r="P1756" s="349"/>
      <c r="Q1756" s="349"/>
    </row>
    <row r="1757" spans="14:17" x14ac:dyDescent="0.3">
      <c r="N1757" s="533"/>
      <c r="O1757" s="533"/>
      <c r="P1757" s="349"/>
      <c r="Q1757" s="349"/>
    </row>
    <row r="1758" spans="14:17" x14ac:dyDescent="0.3">
      <c r="N1758" s="533"/>
      <c r="O1758" s="533"/>
      <c r="P1758" s="349"/>
      <c r="Q1758" s="349"/>
    </row>
    <row r="1759" spans="14:17" x14ac:dyDescent="0.3">
      <c r="N1759" s="533"/>
      <c r="O1759" s="533"/>
      <c r="P1759" s="349"/>
      <c r="Q1759" s="349"/>
    </row>
    <row r="1760" spans="14:17" x14ac:dyDescent="0.3">
      <c r="N1760" s="533"/>
      <c r="O1760" s="533"/>
      <c r="P1760" s="349"/>
      <c r="Q1760" s="349"/>
    </row>
    <row r="1761" spans="14:17" x14ac:dyDescent="0.3">
      <c r="N1761" s="533"/>
      <c r="O1761" s="533"/>
      <c r="P1761" s="349"/>
      <c r="Q1761" s="349"/>
    </row>
    <row r="1762" spans="14:17" x14ac:dyDescent="0.3">
      <c r="N1762" s="533"/>
      <c r="O1762" s="533"/>
      <c r="P1762" s="349"/>
      <c r="Q1762" s="349"/>
    </row>
    <row r="1763" spans="14:17" x14ac:dyDescent="0.3">
      <c r="N1763" s="533"/>
      <c r="O1763" s="533"/>
      <c r="P1763" s="349"/>
      <c r="Q1763" s="349"/>
    </row>
    <row r="1764" spans="14:17" x14ac:dyDescent="0.3">
      <c r="N1764" s="533"/>
      <c r="O1764" s="533"/>
      <c r="P1764" s="349"/>
      <c r="Q1764" s="349"/>
    </row>
    <row r="1765" spans="14:17" x14ac:dyDescent="0.3">
      <c r="N1765" s="533"/>
      <c r="O1765" s="533"/>
      <c r="P1765" s="349"/>
      <c r="Q1765" s="349"/>
    </row>
    <row r="1766" spans="14:17" x14ac:dyDescent="0.3">
      <c r="N1766" s="533"/>
      <c r="O1766" s="533"/>
      <c r="P1766" s="349"/>
      <c r="Q1766" s="349"/>
    </row>
    <row r="1767" spans="14:17" x14ac:dyDescent="0.3">
      <c r="N1767" s="533"/>
      <c r="O1767" s="533"/>
      <c r="P1767" s="349"/>
      <c r="Q1767" s="349"/>
    </row>
    <row r="1768" spans="14:17" x14ac:dyDescent="0.3">
      <c r="N1768" s="533"/>
      <c r="O1768" s="533"/>
      <c r="P1768" s="349"/>
      <c r="Q1768" s="349"/>
    </row>
    <row r="1769" spans="14:17" x14ac:dyDescent="0.3">
      <c r="N1769" s="533"/>
      <c r="O1769" s="533"/>
      <c r="P1769" s="349"/>
      <c r="Q1769" s="349"/>
    </row>
    <row r="1770" spans="14:17" x14ac:dyDescent="0.3">
      <c r="N1770" s="533"/>
      <c r="O1770" s="533"/>
      <c r="P1770" s="349"/>
      <c r="Q1770" s="349"/>
    </row>
    <row r="1771" spans="14:17" x14ac:dyDescent="0.3">
      <c r="N1771" s="533"/>
      <c r="O1771" s="533"/>
      <c r="P1771" s="349"/>
      <c r="Q1771" s="349"/>
    </row>
    <row r="1772" spans="14:17" x14ac:dyDescent="0.3">
      <c r="N1772" s="533"/>
      <c r="O1772" s="533"/>
      <c r="P1772" s="349"/>
      <c r="Q1772" s="349"/>
    </row>
    <row r="1773" spans="14:17" x14ac:dyDescent="0.3">
      <c r="N1773" s="533"/>
      <c r="O1773" s="533"/>
      <c r="P1773" s="349"/>
      <c r="Q1773" s="349"/>
    </row>
    <row r="1774" spans="14:17" x14ac:dyDescent="0.3">
      <c r="N1774" s="533"/>
      <c r="O1774" s="533"/>
      <c r="P1774" s="349"/>
      <c r="Q1774" s="349"/>
    </row>
    <row r="1775" spans="14:17" x14ac:dyDescent="0.3">
      <c r="N1775" s="533"/>
      <c r="O1775" s="533"/>
      <c r="P1775" s="349"/>
      <c r="Q1775" s="349"/>
    </row>
    <row r="1776" spans="14:17" x14ac:dyDescent="0.3">
      <c r="N1776" s="533"/>
      <c r="O1776" s="533"/>
      <c r="P1776" s="349"/>
      <c r="Q1776" s="349"/>
    </row>
    <row r="1777" spans="14:17" x14ac:dyDescent="0.3">
      <c r="N1777" s="533"/>
      <c r="O1777" s="533"/>
      <c r="P1777" s="349"/>
      <c r="Q1777" s="349"/>
    </row>
    <row r="1778" spans="14:17" x14ac:dyDescent="0.3">
      <c r="N1778" s="533"/>
      <c r="O1778" s="533"/>
      <c r="P1778" s="349"/>
      <c r="Q1778" s="349"/>
    </row>
    <row r="1779" spans="14:17" x14ac:dyDescent="0.3">
      <c r="N1779" s="533"/>
      <c r="O1779" s="533"/>
      <c r="P1779" s="349"/>
      <c r="Q1779" s="349"/>
    </row>
    <row r="1780" spans="14:17" x14ac:dyDescent="0.3">
      <c r="N1780" s="533"/>
      <c r="O1780" s="533"/>
      <c r="P1780" s="349"/>
      <c r="Q1780" s="349"/>
    </row>
    <row r="1781" spans="14:17" x14ac:dyDescent="0.3">
      <c r="N1781" s="533"/>
      <c r="O1781" s="533"/>
      <c r="P1781" s="349"/>
      <c r="Q1781" s="349"/>
    </row>
    <row r="1782" spans="14:17" x14ac:dyDescent="0.3">
      <c r="N1782" s="533"/>
      <c r="O1782" s="533"/>
      <c r="P1782" s="349"/>
      <c r="Q1782" s="349"/>
    </row>
    <row r="1783" spans="14:17" x14ac:dyDescent="0.3">
      <c r="N1783" s="533"/>
      <c r="O1783" s="533"/>
      <c r="P1783" s="349"/>
      <c r="Q1783" s="349"/>
    </row>
    <row r="1784" spans="14:17" x14ac:dyDescent="0.3">
      <c r="N1784" s="533"/>
      <c r="O1784" s="533"/>
      <c r="P1784" s="349"/>
      <c r="Q1784" s="349"/>
    </row>
    <row r="1785" spans="14:17" x14ac:dyDescent="0.3">
      <c r="N1785" s="533"/>
      <c r="O1785" s="533"/>
      <c r="P1785" s="349"/>
      <c r="Q1785" s="349"/>
    </row>
    <row r="1786" spans="14:17" x14ac:dyDescent="0.3">
      <c r="N1786" s="533"/>
      <c r="O1786" s="533"/>
      <c r="P1786" s="349"/>
      <c r="Q1786" s="349"/>
    </row>
    <row r="1787" spans="14:17" x14ac:dyDescent="0.3">
      <c r="N1787" s="533"/>
      <c r="O1787" s="533"/>
      <c r="P1787" s="349"/>
      <c r="Q1787" s="349"/>
    </row>
    <row r="1788" spans="14:17" x14ac:dyDescent="0.3">
      <c r="N1788" s="533"/>
      <c r="O1788" s="533"/>
      <c r="P1788" s="349"/>
      <c r="Q1788" s="349"/>
    </row>
    <row r="1789" spans="14:17" x14ac:dyDescent="0.3">
      <c r="N1789" s="533"/>
      <c r="O1789" s="533"/>
      <c r="P1789" s="349"/>
      <c r="Q1789" s="349"/>
    </row>
    <row r="1790" spans="14:17" x14ac:dyDescent="0.3">
      <c r="N1790" s="533"/>
      <c r="O1790" s="533"/>
      <c r="P1790" s="349"/>
      <c r="Q1790" s="349"/>
    </row>
    <row r="1791" spans="14:17" x14ac:dyDescent="0.3">
      <c r="N1791" s="533"/>
      <c r="O1791" s="533"/>
      <c r="P1791" s="349"/>
      <c r="Q1791" s="349"/>
    </row>
    <row r="1792" spans="14:17" x14ac:dyDescent="0.3">
      <c r="N1792" s="533"/>
      <c r="O1792" s="533"/>
      <c r="P1792" s="349"/>
      <c r="Q1792" s="349"/>
    </row>
    <row r="1793" spans="14:17" x14ac:dyDescent="0.3">
      <c r="N1793" s="533"/>
      <c r="O1793" s="533"/>
      <c r="P1793" s="349"/>
      <c r="Q1793" s="349"/>
    </row>
    <row r="1794" spans="14:17" x14ac:dyDescent="0.3">
      <c r="N1794" s="533"/>
      <c r="O1794" s="533"/>
      <c r="P1794" s="349"/>
      <c r="Q1794" s="349"/>
    </row>
    <row r="1795" spans="14:17" x14ac:dyDescent="0.3">
      <c r="N1795" s="533"/>
      <c r="O1795" s="533"/>
      <c r="P1795" s="349"/>
      <c r="Q1795" s="349"/>
    </row>
    <row r="1796" spans="14:17" x14ac:dyDescent="0.3">
      <c r="N1796" s="533"/>
      <c r="O1796" s="533"/>
      <c r="P1796" s="349"/>
      <c r="Q1796" s="349"/>
    </row>
    <row r="1797" spans="14:17" x14ac:dyDescent="0.3">
      <c r="N1797" s="533"/>
      <c r="O1797" s="533"/>
      <c r="P1797" s="349"/>
      <c r="Q1797" s="349"/>
    </row>
    <row r="1798" spans="14:17" x14ac:dyDescent="0.3">
      <c r="N1798" s="533"/>
      <c r="O1798" s="533"/>
      <c r="P1798" s="349"/>
      <c r="Q1798" s="349"/>
    </row>
    <row r="1799" spans="14:17" x14ac:dyDescent="0.3">
      <c r="N1799" s="533"/>
      <c r="O1799" s="533"/>
      <c r="P1799" s="349"/>
      <c r="Q1799" s="349"/>
    </row>
    <row r="1800" spans="14:17" x14ac:dyDescent="0.3">
      <c r="N1800" s="533"/>
      <c r="O1800" s="533"/>
      <c r="P1800" s="349"/>
      <c r="Q1800" s="349"/>
    </row>
    <row r="1801" spans="14:17" x14ac:dyDescent="0.3">
      <c r="N1801" s="533"/>
      <c r="O1801" s="533"/>
      <c r="P1801" s="349"/>
      <c r="Q1801" s="349"/>
    </row>
    <row r="1802" spans="14:17" x14ac:dyDescent="0.3">
      <c r="N1802" s="533"/>
      <c r="O1802" s="533"/>
      <c r="P1802" s="349"/>
      <c r="Q1802" s="349"/>
    </row>
    <row r="1803" spans="14:17" x14ac:dyDescent="0.3">
      <c r="N1803" s="533"/>
      <c r="O1803" s="533"/>
      <c r="P1803" s="349"/>
      <c r="Q1803" s="349"/>
    </row>
    <row r="1804" spans="14:17" x14ac:dyDescent="0.3">
      <c r="N1804" s="533"/>
      <c r="O1804" s="533"/>
      <c r="P1804" s="349"/>
      <c r="Q1804" s="349"/>
    </row>
    <row r="1805" spans="14:17" x14ac:dyDescent="0.3">
      <c r="N1805" s="533"/>
      <c r="O1805" s="533"/>
      <c r="P1805" s="349"/>
      <c r="Q1805" s="349"/>
    </row>
    <row r="1806" spans="14:17" x14ac:dyDescent="0.3">
      <c r="N1806" s="533"/>
      <c r="O1806" s="533"/>
      <c r="P1806" s="349"/>
      <c r="Q1806" s="349"/>
    </row>
    <row r="1807" spans="14:17" x14ac:dyDescent="0.3">
      <c r="N1807" s="533"/>
      <c r="O1807" s="533"/>
      <c r="P1807" s="349"/>
      <c r="Q1807" s="349"/>
    </row>
    <row r="1808" spans="14:17" x14ac:dyDescent="0.3">
      <c r="N1808" s="533"/>
      <c r="O1808" s="533"/>
      <c r="P1808" s="349"/>
      <c r="Q1808" s="349"/>
    </row>
    <row r="1809" spans="14:17" x14ac:dyDescent="0.3">
      <c r="N1809" s="533"/>
      <c r="O1809" s="533"/>
      <c r="P1809" s="349"/>
      <c r="Q1809" s="349"/>
    </row>
    <row r="1810" spans="14:17" x14ac:dyDescent="0.3">
      <c r="N1810" s="533"/>
      <c r="O1810" s="533"/>
      <c r="P1810" s="349"/>
      <c r="Q1810" s="349"/>
    </row>
    <row r="1811" spans="14:17" x14ac:dyDescent="0.3">
      <c r="N1811" s="533"/>
      <c r="O1811" s="533"/>
      <c r="P1811" s="349"/>
      <c r="Q1811" s="349"/>
    </row>
    <row r="1812" spans="14:17" x14ac:dyDescent="0.3">
      <c r="N1812" s="533"/>
      <c r="O1812" s="533"/>
      <c r="P1812" s="349"/>
      <c r="Q1812" s="349"/>
    </row>
    <row r="1813" spans="14:17" x14ac:dyDescent="0.3">
      <c r="N1813" s="533"/>
      <c r="O1813" s="533"/>
      <c r="P1813" s="349"/>
      <c r="Q1813" s="349"/>
    </row>
    <row r="1814" spans="14:17" x14ac:dyDescent="0.3">
      <c r="N1814" s="533"/>
      <c r="O1814" s="533"/>
      <c r="P1814" s="349"/>
      <c r="Q1814" s="349"/>
    </row>
    <row r="1815" spans="14:17" x14ac:dyDescent="0.3">
      <c r="N1815" s="533"/>
      <c r="O1815" s="533"/>
      <c r="P1815" s="349"/>
      <c r="Q1815" s="349"/>
    </row>
    <row r="1816" spans="14:17" x14ac:dyDescent="0.3">
      <c r="N1816" s="533"/>
      <c r="O1816" s="533"/>
      <c r="P1816" s="349"/>
      <c r="Q1816" s="349"/>
    </row>
    <row r="1817" spans="14:17" x14ac:dyDescent="0.3">
      <c r="N1817" s="533"/>
      <c r="O1817" s="533"/>
      <c r="P1817" s="349"/>
      <c r="Q1817" s="349"/>
    </row>
    <row r="1818" spans="14:17" x14ac:dyDescent="0.3">
      <c r="N1818" s="533"/>
      <c r="O1818" s="533"/>
      <c r="P1818" s="349"/>
      <c r="Q1818" s="349"/>
    </row>
    <row r="1819" spans="14:17" x14ac:dyDescent="0.3">
      <c r="N1819" s="533"/>
      <c r="O1819" s="533"/>
      <c r="P1819" s="349"/>
      <c r="Q1819" s="349"/>
    </row>
    <row r="1820" spans="14:17" x14ac:dyDescent="0.3">
      <c r="N1820" s="533"/>
      <c r="O1820" s="533"/>
      <c r="P1820" s="349"/>
      <c r="Q1820" s="349"/>
    </row>
    <row r="1821" spans="14:17" x14ac:dyDescent="0.3">
      <c r="N1821" s="533"/>
      <c r="O1821" s="533"/>
      <c r="P1821" s="349"/>
      <c r="Q1821" s="349"/>
    </row>
    <row r="1822" spans="14:17" x14ac:dyDescent="0.3">
      <c r="N1822" s="533"/>
      <c r="O1822" s="533"/>
      <c r="P1822" s="349"/>
      <c r="Q1822" s="349"/>
    </row>
    <row r="1823" spans="14:17" x14ac:dyDescent="0.3">
      <c r="N1823" s="533"/>
      <c r="O1823" s="533"/>
      <c r="P1823" s="349"/>
      <c r="Q1823" s="349"/>
    </row>
    <row r="1824" spans="14:17" x14ac:dyDescent="0.3">
      <c r="N1824" s="533"/>
      <c r="O1824" s="533"/>
      <c r="P1824" s="349"/>
      <c r="Q1824" s="349"/>
    </row>
    <row r="1825" spans="14:17" x14ac:dyDescent="0.3">
      <c r="N1825" s="533"/>
      <c r="O1825" s="533"/>
      <c r="P1825" s="349"/>
      <c r="Q1825" s="349"/>
    </row>
    <row r="1826" spans="14:17" x14ac:dyDescent="0.3">
      <c r="N1826" s="533"/>
      <c r="O1826" s="533"/>
      <c r="P1826" s="349"/>
      <c r="Q1826" s="349"/>
    </row>
    <row r="1827" spans="14:17" x14ac:dyDescent="0.3">
      <c r="N1827" s="533"/>
      <c r="O1827" s="533"/>
      <c r="P1827" s="349"/>
      <c r="Q1827" s="349"/>
    </row>
    <row r="1828" spans="14:17" x14ac:dyDescent="0.3">
      <c r="N1828" s="533"/>
      <c r="O1828" s="533"/>
      <c r="P1828" s="349"/>
      <c r="Q1828" s="349"/>
    </row>
    <row r="1829" spans="14:17" x14ac:dyDescent="0.3">
      <c r="N1829" s="533"/>
      <c r="O1829" s="533"/>
      <c r="P1829" s="349"/>
      <c r="Q1829" s="349"/>
    </row>
    <row r="1830" spans="14:17" x14ac:dyDescent="0.3">
      <c r="N1830" s="533"/>
      <c r="O1830" s="533"/>
      <c r="P1830" s="349"/>
      <c r="Q1830" s="349"/>
    </row>
    <row r="1831" spans="14:17" x14ac:dyDescent="0.3">
      <c r="N1831" s="533"/>
      <c r="O1831" s="533"/>
      <c r="P1831" s="349"/>
      <c r="Q1831" s="349"/>
    </row>
    <row r="1832" spans="14:17" x14ac:dyDescent="0.3">
      <c r="N1832" s="533"/>
      <c r="O1832" s="533"/>
      <c r="P1832" s="349"/>
      <c r="Q1832" s="349"/>
    </row>
    <row r="1833" spans="14:17" x14ac:dyDescent="0.3">
      <c r="N1833" s="533"/>
      <c r="O1833" s="533"/>
      <c r="P1833" s="349"/>
      <c r="Q1833" s="349"/>
    </row>
    <row r="1834" spans="14:17" x14ac:dyDescent="0.3">
      <c r="N1834" s="533"/>
      <c r="O1834" s="533"/>
      <c r="P1834" s="349"/>
      <c r="Q1834" s="349"/>
    </row>
    <row r="1835" spans="14:17" x14ac:dyDescent="0.3">
      <c r="N1835" s="533"/>
      <c r="O1835" s="533"/>
      <c r="P1835" s="349"/>
      <c r="Q1835" s="349"/>
    </row>
    <row r="1836" spans="14:17" x14ac:dyDescent="0.3">
      <c r="N1836" s="533"/>
      <c r="O1836" s="533"/>
      <c r="P1836" s="349"/>
      <c r="Q1836" s="349"/>
    </row>
    <row r="1837" spans="14:17" x14ac:dyDescent="0.3">
      <c r="N1837" s="533"/>
      <c r="O1837" s="533"/>
      <c r="P1837" s="349"/>
      <c r="Q1837" s="349"/>
    </row>
    <row r="1838" spans="14:17" x14ac:dyDescent="0.3">
      <c r="N1838" s="533"/>
      <c r="O1838" s="533"/>
      <c r="P1838" s="349"/>
      <c r="Q1838" s="349"/>
    </row>
    <row r="1839" spans="14:17" x14ac:dyDescent="0.3">
      <c r="N1839" s="533"/>
      <c r="O1839" s="533"/>
      <c r="P1839" s="349"/>
      <c r="Q1839" s="349"/>
    </row>
    <row r="1840" spans="14:17" x14ac:dyDescent="0.3">
      <c r="N1840" s="533"/>
      <c r="O1840" s="533"/>
      <c r="P1840" s="349"/>
      <c r="Q1840" s="349"/>
    </row>
    <row r="1841" spans="14:17" x14ac:dyDescent="0.3">
      <c r="N1841" s="533"/>
      <c r="O1841" s="533"/>
      <c r="P1841" s="349"/>
      <c r="Q1841" s="349"/>
    </row>
    <row r="1842" spans="14:17" x14ac:dyDescent="0.3">
      <c r="N1842" s="533"/>
      <c r="O1842" s="533"/>
      <c r="P1842" s="349"/>
      <c r="Q1842" s="349"/>
    </row>
    <row r="1843" spans="14:17" x14ac:dyDescent="0.3">
      <c r="N1843" s="533"/>
      <c r="O1843" s="533"/>
      <c r="P1843" s="349"/>
      <c r="Q1843" s="349"/>
    </row>
    <row r="1844" spans="14:17" x14ac:dyDescent="0.3">
      <c r="N1844" s="533"/>
      <c r="O1844" s="533"/>
      <c r="P1844" s="349"/>
      <c r="Q1844" s="349"/>
    </row>
    <row r="1845" spans="14:17" x14ac:dyDescent="0.3">
      <c r="N1845" s="533"/>
      <c r="O1845" s="533"/>
      <c r="P1845" s="349"/>
      <c r="Q1845" s="349"/>
    </row>
    <row r="1846" spans="14:17" x14ac:dyDescent="0.3">
      <c r="N1846" s="533"/>
      <c r="O1846" s="533"/>
      <c r="P1846" s="349"/>
      <c r="Q1846" s="349"/>
    </row>
    <row r="1847" spans="14:17" x14ac:dyDescent="0.3">
      <c r="N1847" s="533"/>
      <c r="O1847" s="533"/>
      <c r="P1847" s="349"/>
      <c r="Q1847" s="349"/>
    </row>
    <row r="1848" spans="14:17" x14ac:dyDescent="0.3">
      <c r="N1848" s="533"/>
      <c r="O1848" s="533"/>
      <c r="P1848" s="349"/>
      <c r="Q1848" s="349"/>
    </row>
    <row r="1849" spans="14:17" x14ac:dyDescent="0.3">
      <c r="N1849" s="533"/>
      <c r="O1849" s="533"/>
      <c r="P1849" s="349"/>
      <c r="Q1849" s="349"/>
    </row>
    <row r="1850" spans="14:17" x14ac:dyDescent="0.3">
      <c r="N1850" s="533"/>
      <c r="O1850" s="533"/>
      <c r="P1850" s="349"/>
      <c r="Q1850" s="349"/>
    </row>
    <row r="1851" spans="14:17" x14ac:dyDescent="0.3">
      <c r="N1851" s="533"/>
      <c r="O1851" s="533"/>
      <c r="P1851" s="349"/>
      <c r="Q1851" s="349"/>
    </row>
    <row r="1852" spans="14:17" x14ac:dyDescent="0.3">
      <c r="N1852" s="533"/>
      <c r="O1852" s="533"/>
      <c r="P1852" s="349"/>
      <c r="Q1852" s="349"/>
    </row>
    <row r="1853" spans="14:17" x14ac:dyDescent="0.3">
      <c r="N1853" s="533"/>
      <c r="O1853" s="533"/>
      <c r="P1853" s="349"/>
      <c r="Q1853" s="349"/>
    </row>
    <row r="1854" spans="14:17" x14ac:dyDescent="0.3">
      <c r="N1854" s="533"/>
      <c r="O1854" s="533"/>
      <c r="P1854" s="349"/>
      <c r="Q1854" s="349"/>
    </row>
    <row r="1855" spans="14:17" x14ac:dyDescent="0.3">
      <c r="N1855" s="533"/>
      <c r="O1855" s="533"/>
      <c r="P1855" s="349"/>
      <c r="Q1855" s="349"/>
    </row>
    <row r="1856" spans="14:17" x14ac:dyDescent="0.3">
      <c r="N1856" s="533"/>
      <c r="O1856" s="533"/>
      <c r="P1856" s="349"/>
      <c r="Q1856" s="349"/>
    </row>
    <row r="1857" spans="14:17" x14ac:dyDescent="0.3">
      <c r="N1857" s="533"/>
      <c r="O1857" s="533"/>
      <c r="P1857" s="349"/>
      <c r="Q1857" s="349"/>
    </row>
    <row r="1858" spans="14:17" x14ac:dyDescent="0.3">
      <c r="N1858" s="533"/>
      <c r="O1858" s="533"/>
      <c r="P1858" s="349"/>
      <c r="Q1858" s="349"/>
    </row>
    <row r="1859" spans="14:17" x14ac:dyDescent="0.3">
      <c r="N1859" s="533"/>
      <c r="O1859" s="533"/>
      <c r="P1859" s="349"/>
      <c r="Q1859" s="349"/>
    </row>
    <row r="1860" spans="14:17" x14ac:dyDescent="0.3">
      <c r="N1860" s="533"/>
      <c r="O1860" s="533"/>
      <c r="P1860" s="349"/>
      <c r="Q1860" s="349"/>
    </row>
    <row r="1861" spans="14:17" x14ac:dyDescent="0.3">
      <c r="N1861" s="533"/>
      <c r="O1861" s="533"/>
      <c r="P1861" s="349"/>
      <c r="Q1861" s="349"/>
    </row>
    <row r="1862" spans="14:17" x14ac:dyDescent="0.3">
      <c r="N1862" s="533"/>
      <c r="O1862" s="533"/>
      <c r="P1862" s="349"/>
      <c r="Q1862" s="349"/>
    </row>
    <row r="1863" spans="14:17" x14ac:dyDescent="0.3">
      <c r="N1863" s="533"/>
      <c r="O1863" s="533"/>
      <c r="P1863" s="349"/>
      <c r="Q1863" s="349"/>
    </row>
    <row r="1864" spans="14:17" x14ac:dyDescent="0.3">
      <c r="N1864" s="533"/>
      <c r="O1864" s="533"/>
      <c r="P1864" s="349"/>
      <c r="Q1864" s="349"/>
    </row>
    <row r="1865" spans="14:17" x14ac:dyDescent="0.3">
      <c r="N1865" s="533"/>
      <c r="O1865" s="533"/>
      <c r="P1865" s="349"/>
      <c r="Q1865" s="349"/>
    </row>
    <row r="1866" spans="14:17" x14ac:dyDescent="0.3">
      <c r="N1866" s="533"/>
      <c r="O1866" s="533"/>
      <c r="P1866" s="349"/>
      <c r="Q1866" s="349"/>
    </row>
    <row r="1867" spans="14:17" x14ac:dyDescent="0.3">
      <c r="N1867" s="533"/>
      <c r="O1867" s="533"/>
      <c r="P1867" s="349"/>
      <c r="Q1867" s="349"/>
    </row>
    <row r="1868" spans="14:17" x14ac:dyDescent="0.3">
      <c r="N1868" s="533"/>
      <c r="O1868" s="533"/>
      <c r="P1868" s="349"/>
      <c r="Q1868" s="349"/>
    </row>
    <row r="1869" spans="14:17" x14ac:dyDescent="0.3">
      <c r="N1869" s="533"/>
      <c r="O1869" s="533"/>
      <c r="P1869" s="349"/>
      <c r="Q1869" s="349"/>
    </row>
    <row r="1870" spans="14:17" x14ac:dyDescent="0.3">
      <c r="N1870" s="533"/>
      <c r="O1870" s="533"/>
      <c r="P1870" s="349"/>
      <c r="Q1870" s="349"/>
    </row>
    <row r="1871" spans="14:17" x14ac:dyDescent="0.3">
      <c r="N1871" s="533"/>
      <c r="O1871" s="533"/>
      <c r="P1871" s="349"/>
      <c r="Q1871" s="349"/>
    </row>
    <row r="1872" spans="14:17" x14ac:dyDescent="0.3">
      <c r="N1872" s="533"/>
      <c r="O1872" s="533"/>
      <c r="P1872" s="349"/>
      <c r="Q1872" s="349"/>
    </row>
    <row r="1873" spans="14:17" x14ac:dyDescent="0.3">
      <c r="N1873" s="533"/>
      <c r="O1873" s="533"/>
      <c r="P1873" s="349"/>
      <c r="Q1873" s="349"/>
    </row>
    <row r="1874" spans="14:17" x14ac:dyDescent="0.3">
      <c r="N1874" s="533"/>
      <c r="O1874" s="533"/>
      <c r="P1874" s="349"/>
      <c r="Q1874" s="349"/>
    </row>
    <row r="1875" spans="14:17" x14ac:dyDescent="0.3">
      <c r="N1875" s="533"/>
      <c r="O1875" s="533"/>
      <c r="P1875" s="349"/>
      <c r="Q1875" s="349"/>
    </row>
    <row r="1876" spans="14:17" x14ac:dyDescent="0.3">
      <c r="N1876" s="533"/>
      <c r="O1876" s="533"/>
      <c r="P1876" s="349"/>
      <c r="Q1876" s="349"/>
    </row>
    <row r="1877" spans="14:17" x14ac:dyDescent="0.3">
      <c r="N1877" s="533"/>
      <c r="O1877" s="533"/>
      <c r="P1877" s="349"/>
      <c r="Q1877" s="349"/>
    </row>
    <row r="1878" spans="14:17" x14ac:dyDescent="0.3">
      <c r="N1878" s="533"/>
      <c r="O1878" s="533"/>
      <c r="P1878" s="349"/>
      <c r="Q1878" s="349"/>
    </row>
    <row r="1879" spans="14:17" x14ac:dyDescent="0.3">
      <c r="N1879" s="533"/>
      <c r="O1879" s="533"/>
      <c r="P1879" s="349"/>
      <c r="Q1879" s="349"/>
    </row>
    <row r="1880" spans="14:17" x14ac:dyDescent="0.3">
      <c r="N1880" s="533"/>
      <c r="O1880" s="533"/>
      <c r="P1880" s="349"/>
      <c r="Q1880" s="349"/>
    </row>
    <row r="1881" spans="14:17" x14ac:dyDescent="0.3">
      <c r="N1881" s="533"/>
      <c r="O1881" s="533"/>
      <c r="P1881" s="349"/>
      <c r="Q1881" s="349"/>
    </row>
    <row r="1882" spans="14:17" x14ac:dyDescent="0.3">
      <c r="N1882" s="533"/>
      <c r="O1882" s="533"/>
      <c r="P1882" s="349"/>
      <c r="Q1882" s="349"/>
    </row>
    <row r="1883" spans="14:17" x14ac:dyDescent="0.3">
      <c r="N1883" s="533"/>
      <c r="O1883" s="533"/>
      <c r="P1883" s="349"/>
      <c r="Q1883" s="349"/>
    </row>
    <row r="1884" spans="14:17" x14ac:dyDescent="0.3">
      <c r="N1884" s="533"/>
      <c r="O1884" s="533"/>
      <c r="P1884" s="349"/>
      <c r="Q1884" s="349"/>
    </row>
    <row r="1885" spans="14:17" x14ac:dyDescent="0.3">
      <c r="N1885" s="533"/>
      <c r="O1885" s="533"/>
      <c r="P1885" s="349"/>
      <c r="Q1885" s="349"/>
    </row>
    <row r="1886" spans="14:17" x14ac:dyDescent="0.3">
      <c r="N1886" s="533"/>
      <c r="O1886" s="533"/>
      <c r="P1886" s="349"/>
      <c r="Q1886" s="349"/>
    </row>
    <row r="1887" spans="14:17" x14ac:dyDescent="0.3">
      <c r="N1887" s="533"/>
      <c r="O1887" s="533"/>
      <c r="P1887" s="349"/>
      <c r="Q1887" s="349"/>
    </row>
    <row r="1888" spans="14:17" x14ac:dyDescent="0.3">
      <c r="N1888" s="533"/>
      <c r="O1888" s="533"/>
      <c r="P1888" s="349"/>
      <c r="Q1888" s="349"/>
    </row>
    <row r="1889" spans="14:17" x14ac:dyDescent="0.3">
      <c r="N1889" s="533"/>
      <c r="O1889" s="533"/>
      <c r="P1889" s="349"/>
      <c r="Q1889" s="349"/>
    </row>
    <row r="1890" spans="14:17" x14ac:dyDescent="0.3">
      <c r="N1890" s="533"/>
      <c r="O1890" s="533"/>
      <c r="P1890" s="349"/>
      <c r="Q1890" s="349"/>
    </row>
    <row r="1891" spans="14:17" x14ac:dyDescent="0.3">
      <c r="N1891" s="533"/>
      <c r="O1891" s="533"/>
      <c r="P1891" s="349"/>
      <c r="Q1891" s="349"/>
    </row>
    <row r="1892" spans="14:17" x14ac:dyDescent="0.3">
      <c r="N1892" s="533"/>
      <c r="O1892" s="533"/>
      <c r="P1892" s="349"/>
      <c r="Q1892" s="349"/>
    </row>
    <row r="1893" spans="14:17" x14ac:dyDescent="0.3">
      <c r="N1893" s="533"/>
      <c r="O1893" s="533"/>
      <c r="P1893" s="349"/>
      <c r="Q1893" s="349"/>
    </row>
    <row r="1894" spans="14:17" x14ac:dyDescent="0.3">
      <c r="N1894" s="533"/>
      <c r="O1894" s="533"/>
      <c r="P1894" s="349"/>
      <c r="Q1894" s="349"/>
    </row>
    <row r="1895" spans="14:17" x14ac:dyDescent="0.3">
      <c r="N1895" s="533"/>
      <c r="O1895" s="533"/>
      <c r="P1895" s="349"/>
      <c r="Q1895" s="349"/>
    </row>
    <row r="1896" spans="14:17" x14ac:dyDescent="0.3">
      <c r="N1896" s="533"/>
      <c r="O1896" s="533"/>
      <c r="P1896" s="349"/>
      <c r="Q1896" s="349"/>
    </row>
    <row r="1897" spans="14:17" x14ac:dyDescent="0.3">
      <c r="N1897" s="533"/>
      <c r="O1897" s="533"/>
      <c r="P1897" s="349"/>
      <c r="Q1897" s="349"/>
    </row>
    <row r="1898" spans="14:17" x14ac:dyDescent="0.3">
      <c r="N1898" s="533"/>
      <c r="O1898" s="533"/>
      <c r="P1898" s="349"/>
      <c r="Q1898" s="349"/>
    </row>
    <row r="1899" spans="14:17" x14ac:dyDescent="0.3">
      <c r="N1899" s="533"/>
      <c r="O1899" s="533"/>
      <c r="P1899" s="349"/>
      <c r="Q1899" s="349"/>
    </row>
    <row r="1900" spans="14:17" x14ac:dyDescent="0.3">
      <c r="N1900" s="533"/>
      <c r="O1900" s="533"/>
      <c r="P1900" s="349"/>
      <c r="Q1900" s="349"/>
    </row>
    <row r="1901" spans="14:17" x14ac:dyDescent="0.3">
      <c r="N1901" s="533"/>
      <c r="O1901" s="533"/>
      <c r="P1901" s="349"/>
      <c r="Q1901" s="349"/>
    </row>
    <row r="1902" spans="14:17" x14ac:dyDescent="0.3">
      <c r="N1902" s="533"/>
      <c r="O1902" s="533"/>
      <c r="P1902" s="349"/>
      <c r="Q1902" s="349"/>
    </row>
    <row r="1903" spans="14:17" x14ac:dyDescent="0.3">
      <c r="N1903" s="533"/>
      <c r="O1903" s="533"/>
      <c r="P1903" s="349"/>
      <c r="Q1903" s="349"/>
    </row>
    <row r="1904" spans="14:17" x14ac:dyDescent="0.3">
      <c r="N1904" s="533"/>
      <c r="O1904" s="533"/>
      <c r="P1904" s="349"/>
      <c r="Q1904" s="349"/>
    </row>
    <row r="1905" spans="14:17" x14ac:dyDescent="0.3">
      <c r="N1905" s="533"/>
      <c r="O1905" s="533"/>
      <c r="P1905" s="349"/>
      <c r="Q1905" s="349"/>
    </row>
    <row r="1906" spans="14:17" x14ac:dyDescent="0.3">
      <c r="N1906" s="533"/>
      <c r="O1906" s="533"/>
      <c r="P1906" s="349"/>
      <c r="Q1906" s="349"/>
    </row>
    <row r="1907" spans="14:17" x14ac:dyDescent="0.3">
      <c r="N1907" s="533"/>
      <c r="O1907" s="533"/>
      <c r="P1907" s="349"/>
      <c r="Q1907" s="349"/>
    </row>
    <row r="1908" spans="14:17" x14ac:dyDescent="0.3">
      <c r="N1908" s="533"/>
      <c r="O1908" s="533"/>
      <c r="P1908" s="349"/>
      <c r="Q1908" s="349"/>
    </row>
    <row r="1909" spans="14:17" x14ac:dyDescent="0.3">
      <c r="N1909" s="533"/>
      <c r="O1909" s="533"/>
      <c r="P1909" s="349"/>
      <c r="Q1909" s="349"/>
    </row>
    <row r="1910" spans="14:17" x14ac:dyDescent="0.3">
      <c r="N1910" s="533"/>
      <c r="O1910" s="533"/>
      <c r="P1910" s="349"/>
      <c r="Q1910" s="349"/>
    </row>
    <row r="1911" spans="14:17" x14ac:dyDescent="0.3">
      <c r="N1911" s="533"/>
      <c r="O1911" s="533"/>
      <c r="P1911" s="349"/>
      <c r="Q1911" s="349"/>
    </row>
    <row r="1912" spans="14:17" x14ac:dyDescent="0.3">
      <c r="N1912" s="533"/>
      <c r="O1912" s="533"/>
      <c r="P1912" s="349"/>
      <c r="Q1912" s="349"/>
    </row>
    <row r="1913" spans="14:17" x14ac:dyDescent="0.3">
      <c r="N1913" s="533"/>
      <c r="O1913" s="533"/>
      <c r="P1913" s="349"/>
      <c r="Q1913" s="349"/>
    </row>
    <row r="1914" spans="14:17" x14ac:dyDescent="0.3">
      <c r="N1914" s="533"/>
      <c r="O1914" s="533"/>
      <c r="P1914" s="349"/>
      <c r="Q1914" s="349"/>
    </row>
    <row r="1915" spans="14:17" x14ac:dyDescent="0.3">
      <c r="N1915" s="533"/>
      <c r="O1915" s="533"/>
      <c r="P1915" s="349"/>
      <c r="Q1915" s="349"/>
    </row>
    <row r="1916" spans="14:17" x14ac:dyDescent="0.3">
      <c r="N1916" s="533"/>
      <c r="O1916" s="533"/>
      <c r="P1916" s="349"/>
      <c r="Q1916" s="349"/>
    </row>
    <row r="1917" spans="14:17" x14ac:dyDescent="0.3">
      <c r="N1917" s="533"/>
      <c r="O1917" s="533"/>
      <c r="P1917" s="349"/>
      <c r="Q1917" s="349"/>
    </row>
    <row r="1918" spans="14:17" x14ac:dyDescent="0.3">
      <c r="N1918" s="533"/>
      <c r="O1918" s="533"/>
      <c r="P1918" s="349"/>
      <c r="Q1918" s="349"/>
    </row>
    <row r="1919" spans="14:17" x14ac:dyDescent="0.3">
      <c r="N1919" s="533"/>
      <c r="O1919" s="533"/>
      <c r="P1919" s="349"/>
      <c r="Q1919" s="349"/>
    </row>
    <row r="1920" spans="14:17" x14ac:dyDescent="0.3">
      <c r="N1920" s="533"/>
      <c r="O1920" s="533"/>
      <c r="P1920" s="349"/>
      <c r="Q1920" s="349"/>
    </row>
    <row r="1921" spans="14:17" x14ac:dyDescent="0.3">
      <c r="N1921" s="533"/>
      <c r="O1921" s="533"/>
      <c r="P1921" s="349"/>
      <c r="Q1921" s="349"/>
    </row>
    <row r="1922" spans="14:17" x14ac:dyDescent="0.3">
      <c r="N1922" s="533"/>
      <c r="O1922" s="533"/>
      <c r="P1922" s="349"/>
      <c r="Q1922" s="349"/>
    </row>
    <row r="1923" spans="14:17" x14ac:dyDescent="0.3">
      <c r="N1923" s="533"/>
      <c r="O1923" s="533"/>
      <c r="P1923" s="349"/>
      <c r="Q1923" s="349"/>
    </row>
    <row r="1924" spans="14:17" x14ac:dyDescent="0.3">
      <c r="N1924" s="533"/>
      <c r="O1924" s="533"/>
      <c r="P1924" s="349"/>
      <c r="Q1924" s="349"/>
    </row>
    <row r="1925" spans="14:17" x14ac:dyDescent="0.3">
      <c r="N1925" s="533"/>
      <c r="O1925" s="533"/>
      <c r="P1925" s="349"/>
      <c r="Q1925" s="349"/>
    </row>
    <row r="1926" spans="14:17" x14ac:dyDescent="0.3">
      <c r="N1926" s="533"/>
      <c r="O1926" s="533"/>
      <c r="P1926" s="349"/>
      <c r="Q1926" s="349"/>
    </row>
    <row r="1927" spans="14:17" x14ac:dyDescent="0.3">
      <c r="N1927" s="533"/>
      <c r="O1927" s="533"/>
      <c r="P1927" s="349"/>
      <c r="Q1927" s="349"/>
    </row>
    <row r="1928" spans="14:17" x14ac:dyDescent="0.3">
      <c r="N1928" s="533"/>
      <c r="O1928" s="533"/>
      <c r="P1928" s="349"/>
      <c r="Q1928" s="349"/>
    </row>
    <row r="1929" spans="14:17" x14ac:dyDescent="0.3">
      <c r="N1929" s="533"/>
      <c r="O1929" s="533"/>
      <c r="P1929" s="349"/>
      <c r="Q1929" s="349"/>
    </row>
    <row r="1930" spans="14:17" x14ac:dyDescent="0.3">
      <c r="N1930" s="533"/>
      <c r="O1930" s="533"/>
      <c r="P1930" s="349"/>
      <c r="Q1930" s="349"/>
    </row>
    <row r="1931" spans="14:17" x14ac:dyDescent="0.3">
      <c r="N1931" s="533"/>
      <c r="O1931" s="533"/>
      <c r="P1931" s="349"/>
      <c r="Q1931" s="349"/>
    </row>
    <row r="1932" spans="14:17" x14ac:dyDescent="0.3">
      <c r="N1932" s="533"/>
      <c r="O1932" s="533"/>
      <c r="P1932" s="349"/>
      <c r="Q1932" s="349"/>
    </row>
    <row r="1933" spans="14:17" x14ac:dyDescent="0.3">
      <c r="N1933" s="533"/>
      <c r="O1933" s="533"/>
      <c r="P1933" s="349"/>
      <c r="Q1933" s="349"/>
    </row>
    <row r="1934" spans="14:17" x14ac:dyDescent="0.3">
      <c r="N1934" s="533"/>
      <c r="O1934" s="533"/>
      <c r="P1934" s="349"/>
      <c r="Q1934" s="349"/>
    </row>
    <row r="1935" spans="14:17" x14ac:dyDescent="0.3">
      <c r="N1935" s="533"/>
      <c r="O1935" s="533"/>
      <c r="P1935" s="349"/>
      <c r="Q1935" s="349"/>
    </row>
    <row r="1936" spans="14:17" x14ac:dyDescent="0.3">
      <c r="N1936" s="533"/>
      <c r="O1936" s="533"/>
      <c r="P1936" s="349"/>
      <c r="Q1936" s="349"/>
    </row>
    <row r="1937" spans="14:17" x14ac:dyDescent="0.3">
      <c r="N1937" s="533"/>
      <c r="O1937" s="533"/>
      <c r="P1937" s="349"/>
      <c r="Q1937" s="349"/>
    </row>
    <row r="1938" spans="14:17" x14ac:dyDescent="0.3">
      <c r="N1938" s="533"/>
      <c r="O1938" s="533"/>
      <c r="P1938" s="349"/>
      <c r="Q1938" s="349"/>
    </row>
    <row r="1939" spans="14:17" x14ac:dyDescent="0.3">
      <c r="N1939" s="533"/>
      <c r="O1939" s="533"/>
      <c r="P1939" s="349"/>
      <c r="Q1939" s="349"/>
    </row>
    <row r="1940" spans="14:17" x14ac:dyDescent="0.3">
      <c r="N1940" s="533"/>
      <c r="O1940" s="533"/>
      <c r="P1940" s="349"/>
      <c r="Q1940" s="349"/>
    </row>
    <row r="1941" spans="14:17" x14ac:dyDescent="0.3">
      <c r="N1941" s="533"/>
      <c r="O1941" s="533"/>
      <c r="P1941" s="349"/>
      <c r="Q1941" s="349"/>
    </row>
    <row r="1942" spans="14:17" x14ac:dyDescent="0.3">
      <c r="N1942" s="533"/>
      <c r="O1942" s="533"/>
      <c r="P1942" s="349"/>
      <c r="Q1942" s="349"/>
    </row>
    <row r="1943" spans="14:17" x14ac:dyDescent="0.3">
      <c r="N1943" s="533"/>
      <c r="O1943" s="533"/>
      <c r="P1943" s="349"/>
      <c r="Q1943" s="349"/>
    </row>
    <row r="1944" spans="14:17" x14ac:dyDescent="0.3">
      <c r="N1944" s="533"/>
      <c r="O1944" s="533"/>
      <c r="P1944" s="349"/>
      <c r="Q1944" s="349"/>
    </row>
    <row r="1945" spans="14:17" x14ac:dyDescent="0.3">
      <c r="N1945" s="533"/>
      <c r="O1945" s="533"/>
      <c r="P1945" s="349"/>
      <c r="Q1945" s="349"/>
    </row>
    <row r="1946" spans="14:17" x14ac:dyDescent="0.3">
      <c r="N1946" s="533"/>
      <c r="O1946" s="533"/>
      <c r="P1946" s="349"/>
      <c r="Q1946" s="349"/>
    </row>
    <row r="1947" spans="14:17" x14ac:dyDescent="0.3">
      <c r="N1947" s="533"/>
      <c r="O1947" s="533"/>
      <c r="P1947" s="349"/>
      <c r="Q1947" s="349"/>
    </row>
    <row r="1948" spans="14:17" x14ac:dyDescent="0.3">
      <c r="N1948" s="533"/>
      <c r="O1948" s="533"/>
      <c r="P1948" s="349"/>
      <c r="Q1948" s="349"/>
    </row>
    <row r="1949" spans="14:17" x14ac:dyDescent="0.3">
      <c r="N1949" s="533"/>
      <c r="O1949" s="533"/>
      <c r="P1949" s="349"/>
      <c r="Q1949" s="349"/>
    </row>
    <row r="1950" spans="14:17" x14ac:dyDescent="0.3">
      <c r="N1950" s="533"/>
      <c r="O1950" s="533"/>
      <c r="P1950" s="349"/>
      <c r="Q1950" s="349"/>
    </row>
    <row r="1951" spans="14:17" x14ac:dyDescent="0.3">
      <c r="N1951" s="533"/>
      <c r="O1951" s="533"/>
      <c r="P1951" s="349"/>
      <c r="Q1951" s="349"/>
    </row>
    <row r="1952" spans="14:17" x14ac:dyDescent="0.3">
      <c r="N1952" s="533"/>
      <c r="O1952" s="533"/>
      <c r="P1952" s="349"/>
      <c r="Q1952" s="349"/>
    </row>
    <row r="1953" spans="14:17" x14ac:dyDescent="0.3">
      <c r="N1953" s="533"/>
      <c r="O1953" s="533"/>
      <c r="P1953" s="349"/>
      <c r="Q1953" s="349"/>
    </row>
    <row r="1954" spans="14:17" x14ac:dyDescent="0.3">
      <c r="N1954" s="533"/>
      <c r="O1954" s="533"/>
      <c r="P1954" s="349"/>
      <c r="Q1954" s="349"/>
    </row>
    <row r="1955" spans="14:17" x14ac:dyDescent="0.3">
      <c r="N1955" s="533"/>
      <c r="O1955" s="533"/>
      <c r="P1955" s="349"/>
      <c r="Q1955" s="349"/>
    </row>
    <row r="1956" spans="14:17" x14ac:dyDescent="0.3">
      <c r="N1956" s="533"/>
      <c r="O1956" s="533"/>
      <c r="P1956" s="349"/>
      <c r="Q1956" s="349"/>
    </row>
    <row r="1957" spans="14:17" x14ac:dyDescent="0.3">
      <c r="N1957" s="533"/>
      <c r="O1957" s="533"/>
      <c r="P1957" s="349"/>
      <c r="Q1957" s="349"/>
    </row>
    <row r="1958" spans="14:17" x14ac:dyDescent="0.3">
      <c r="N1958" s="533"/>
      <c r="O1958" s="533"/>
      <c r="P1958" s="349"/>
      <c r="Q1958" s="349"/>
    </row>
    <row r="1959" spans="14:17" x14ac:dyDescent="0.3">
      <c r="N1959" s="533"/>
      <c r="O1959" s="533"/>
      <c r="P1959" s="349"/>
      <c r="Q1959" s="349"/>
    </row>
    <row r="1960" spans="14:17" x14ac:dyDescent="0.3">
      <c r="N1960" s="533"/>
      <c r="O1960" s="533"/>
      <c r="P1960" s="349"/>
      <c r="Q1960" s="349"/>
    </row>
    <row r="1961" spans="14:17" x14ac:dyDescent="0.3">
      <c r="N1961" s="533"/>
      <c r="O1961" s="533"/>
      <c r="P1961" s="349"/>
      <c r="Q1961" s="349"/>
    </row>
    <row r="1962" spans="14:17" x14ac:dyDescent="0.3">
      <c r="N1962" s="533"/>
      <c r="O1962" s="533"/>
      <c r="P1962" s="349"/>
      <c r="Q1962" s="349"/>
    </row>
    <row r="1963" spans="14:17" x14ac:dyDescent="0.3">
      <c r="N1963" s="533"/>
      <c r="O1963" s="533"/>
      <c r="P1963" s="349"/>
      <c r="Q1963" s="349"/>
    </row>
    <row r="1964" spans="14:17" x14ac:dyDescent="0.3">
      <c r="N1964" s="533"/>
      <c r="O1964" s="533"/>
      <c r="P1964" s="349"/>
      <c r="Q1964" s="349"/>
    </row>
    <row r="1965" spans="14:17" x14ac:dyDescent="0.3">
      <c r="N1965" s="533"/>
      <c r="O1965" s="533"/>
      <c r="P1965" s="349"/>
      <c r="Q1965" s="349"/>
    </row>
    <row r="1966" spans="14:17" x14ac:dyDescent="0.3">
      <c r="N1966" s="533"/>
      <c r="O1966" s="533"/>
      <c r="P1966" s="349"/>
      <c r="Q1966" s="349"/>
    </row>
    <row r="1967" spans="14:17" x14ac:dyDescent="0.3">
      <c r="N1967" s="533"/>
      <c r="O1967" s="533"/>
      <c r="P1967" s="349"/>
      <c r="Q1967" s="349"/>
    </row>
    <row r="1968" spans="14:17" x14ac:dyDescent="0.3">
      <c r="N1968" s="533"/>
      <c r="O1968" s="533"/>
      <c r="P1968" s="349"/>
      <c r="Q1968" s="349"/>
    </row>
    <row r="1969" spans="14:17" x14ac:dyDescent="0.3">
      <c r="N1969" s="533"/>
      <c r="O1969" s="533"/>
      <c r="P1969" s="349"/>
      <c r="Q1969" s="349"/>
    </row>
    <row r="1970" spans="14:17" x14ac:dyDescent="0.3">
      <c r="N1970" s="533"/>
      <c r="O1970" s="533"/>
      <c r="P1970" s="349"/>
      <c r="Q1970" s="349"/>
    </row>
    <row r="1971" spans="14:17" x14ac:dyDescent="0.3">
      <c r="N1971" s="533"/>
      <c r="O1971" s="533"/>
      <c r="P1971" s="349"/>
      <c r="Q1971" s="349"/>
    </row>
    <row r="1972" spans="14:17" x14ac:dyDescent="0.3">
      <c r="N1972" s="533"/>
      <c r="O1972" s="533"/>
      <c r="P1972" s="349"/>
      <c r="Q1972" s="349"/>
    </row>
    <row r="1973" spans="14:17" x14ac:dyDescent="0.3">
      <c r="N1973" s="533"/>
      <c r="O1973" s="533"/>
      <c r="P1973" s="349"/>
      <c r="Q1973" s="349"/>
    </row>
    <row r="1974" spans="14:17" x14ac:dyDescent="0.3">
      <c r="N1974" s="533"/>
      <c r="O1974" s="533"/>
      <c r="P1974" s="349"/>
      <c r="Q1974" s="349"/>
    </row>
    <row r="1975" spans="14:17" x14ac:dyDescent="0.3">
      <c r="N1975" s="533"/>
      <c r="O1975" s="533"/>
      <c r="P1975" s="349"/>
      <c r="Q1975" s="349"/>
    </row>
    <row r="1976" spans="14:17" x14ac:dyDescent="0.3">
      <c r="N1976" s="533"/>
      <c r="O1976" s="533"/>
      <c r="P1976" s="349"/>
      <c r="Q1976" s="349"/>
    </row>
    <row r="1977" spans="14:17" x14ac:dyDescent="0.3">
      <c r="N1977" s="533"/>
      <c r="O1977" s="533"/>
      <c r="P1977" s="349"/>
      <c r="Q1977" s="349"/>
    </row>
    <row r="1978" spans="14:17" x14ac:dyDescent="0.3">
      <c r="N1978" s="533"/>
      <c r="O1978" s="533"/>
      <c r="P1978" s="349"/>
      <c r="Q1978" s="349"/>
    </row>
    <row r="1979" spans="14:17" x14ac:dyDescent="0.3">
      <c r="N1979" s="533"/>
      <c r="O1979" s="533"/>
      <c r="P1979" s="349"/>
      <c r="Q1979" s="349"/>
    </row>
    <row r="1980" spans="14:17" x14ac:dyDescent="0.3">
      <c r="N1980" s="533"/>
      <c r="O1980" s="533"/>
      <c r="P1980" s="349"/>
      <c r="Q1980" s="349"/>
    </row>
    <row r="1981" spans="14:17" x14ac:dyDescent="0.3">
      <c r="N1981" s="533"/>
      <c r="O1981" s="533"/>
      <c r="P1981" s="349"/>
      <c r="Q1981" s="349"/>
    </row>
    <row r="1982" spans="14:17" x14ac:dyDescent="0.3">
      <c r="N1982" s="533"/>
      <c r="O1982" s="533"/>
      <c r="P1982" s="349"/>
      <c r="Q1982" s="349"/>
    </row>
    <row r="1983" spans="14:17" x14ac:dyDescent="0.3">
      <c r="N1983" s="533"/>
      <c r="O1983" s="533"/>
      <c r="P1983" s="349"/>
      <c r="Q1983" s="349"/>
    </row>
    <row r="1984" spans="14:17" x14ac:dyDescent="0.3">
      <c r="N1984" s="533"/>
      <c r="O1984" s="533"/>
      <c r="P1984" s="349"/>
      <c r="Q1984" s="349"/>
    </row>
    <row r="1985" spans="14:17" x14ac:dyDescent="0.3">
      <c r="N1985" s="533"/>
      <c r="O1985" s="533"/>
      <c r="P1985" s="349"/>
      <c r="Q1985" s="349"/>
    </row>
    <row r="1986" spans="14:17" x14ac:dyDescent="0.3">
      <c r="N1986" s="533"/>
      <c r="O1986" s="533"/>
      <c r="P1986" s="349"/>
      <c r="Q1986" s="349"/>
    </row>
    <row r="1987" spans="14:17" x14ac:dyDescent="0.3">
      <c r="N1987" s="533"/>
      <c r="O1987" s="533"/>
      <c r="P1987" s="349"/>
      <c r="Q1987" s="349"/>
    </row>
    <row r="1988" spans="14:17" x14ac:dyDescent="0.3">
      <c r="N1988" s="533"/>
      <c r="O1988" s="533"/>
      <c r="P1988" s="349"/>
      <c r="Q1988" s="349"/>
    </row>
    <row r="1989" spans="14:17" x14ac:dyDescent="0.3">
      <c r="N1989" s="533"/>
      <c r="O1989" s="533"/>
      <c r="P1989" s="349"/>
      <c r="Q1989" s="349"/>
    </row>
    <row r="1990" spans="14:17" x14ac:dyDescent="0.3">
      <c r="N1990" s="533"/>
      <c r="O1990" s="533"/>
      <c r="P1990" s="349"/>
      <c r="Q1990" s="349"/>
    </row>
    <row r="1991" spans="14:17" x14ac:dyDescent="0.3">
      <c r="N1991" s="533"/>
      <c r="O1991" s="533"/>
      <c r="P1991" s="349"/>
      <c r="Q1991" s="349"/>
    </row>
    <row r="1992" spans="14:17" x14ac:dyDescent="0.3">
      <c r="N1992" s="533"/>
      <c r="O1992" s="533"/>
      <c r="P1992" s="349"/>
      <c r="Q1992" s="349"/>
    </row>
    <row r="1993" spans="14:17" x14ac:dyDescent="0.3">
      <c r="N1993" s="533"/>
      <c r="O1993" s="533"/>
      <c r="P1993" s="349"/>
      <c r="Q1993" s="349"/>
    </row>
    <row r="1994" spans="14:17" x14ac:dyDescent="0.3">
      <c r="N1994" s="533"/>
      <c r="O1994" s="533"/>
      <c r="P1994" s="349"/>
      <c r="Q1994" s="349"/>
    </row>
    <row r="1995" spans="14:17" x14ac:dyDescent="0.3">
      <c r="N1995" s="533"/>
      <c r="O1995" s="533"/>
      <c r="P1995" s="349"/>
      <c r="Q1995" s="349"/>
    </row>
    <row r="1996" spans="14:17" x14ac:dyDescent="0.3">
      <c r="N1996" s="533"/>
      <c r="O1996" s="533"/>
      <c r="P1996" s="349"/>
      <c r="Q1996" s="349"/>
    </row>
    <row r="1997" spans="14:17" x14ac:dyDescent="0.3">
      <c r="N1997" s="533"/>
      <c r="O1997" s="533"/>
      <c r="P1997" s="349"/>
      <c r="Q1997" s="349"/>
    </row>
    <row r="1998" spans="14:17" x14ac:dyDescent="0.3">
      <c r="N1998" s="533"/>
      <c r="O1998" s="533"/>
      <c r="P1998" s="349"/>
      <c r="Q1998" s="349"/>
    </row>
    <row r="1999" spans="14:17" x14ac:dyDescent="0.3">
      <c r="N1999" s="533"/>
      <c r="O1999" s="533"/>
      <c r="P1999" s="349"/>
      <c r="Q1999" s="349"/>
    </row>
    <row r="2000" spans="14:17" x14ac:dyDescent="0.3">
      <c r="N2000" s="533"/>
      <c r="O2000" s="533"/>
      <c r="P2000" s="349"/>
      <c r="Q2000" s="349"/>
    </row>
    <row r="2001" spans="14:17" x14ac:dyDescent="0.3">
      <c r="N2001" s="533"/>
      <c r="O2001" s="533"/>
      <c r="P2001" s="349"/>
      <c r="Q2001" s="349"/>
    </row>
    <row r="2002" spans="14:17" x14ac:dyDescent="0.3">
      <c r="N2002" s="533"/>
      <c r="O2002" s="533"/>
      <c r="P2002" s="349"/>
      <c r="Q2002" s="349"/>
    </row>
    <row r="2003" spans="14:17" x14ac:dyDescent="0.3">
      <c r="N2003" s="533"/>
      <c r="O2003" s="533"/>
      <c r="P2003" s="349"/>
      <c r="Q2003" s="349"/>
    </row>
    <row r="2004" spans="14:17" x14ac:dyDescent="0.3">
      <c r="N2004" s="533"/>
      <c r="O2004" s="533"/>
      <c r="P2004" s="349"/>
      <c r="Q2004" s="349"/>
    </row>
    <row r="2005" spans="14:17" x14ac:dyDescent="0.3">
      <c r="N2005" s="533"/>
      <c r="O2005" s="533"/>
      <c r="P2005" s="349"/>
      <c r="Q2005" s="349"/>
    </row>
    <row r="2006" spans="14:17" x14ac:dyDescent="0.3">
      <c r="N2006" s="533"/>
      <c r="O2006" s="533"/>
      <c r="P2006" s="349"/>
      <c r="Q2006" s="349"/>
    </row>
    <row r="2007" spans="14:17" x14ac:dyDescent="0.3">
      <c r="N2007" s="533"/>
      <c r="O2007" s="533"/>
      <c r="P2007" s="349"/>
      <c r="Q2007" s="349"/>
    </row>
    <row r="2008" spans="14:17" x14ac:dyDescent="0.3">
      <c r="N2008" s="533"/>
      <c r="O2008" s="533"/>
      <c r="P2008" s="349"/>
      <c r="Q2008" s="349"/>
    </row>
    <row r="2009" spans="14:17" x14ac:dyDescent="0.3">
      <c r="N2009" s="533"/>
      <c r="O2009" s="533"/>
      <c r="P2009" s="349"/>
      <c r="Q2009" s="349"/>
    </row>
    <row r="2010" spans="14:17" x14ac:dyDescent="0.3">
      <c r="N2010" s="533"/>
      <c r="O2010" s="533"/>
      <c r="P2010" s="349"/>
      <c r="Q2010" s="349"/>
    </row>
    <row r="2011" spans="14:17" x14ac:dyDescent="0.3">
      <c r="N2011" s="533"/>
      <c r="O2011" s="533"/>
      <c r="P2011" s="349"/>
      <c r="Q2011" s="349"/>
    </row>
    <row r="2012" spans="14:17" x14ac:dyDescent="0.3">
      <c r="N2012" s="533"/>
      <c r="O2012" s="533"/>
      <c r="P2012" s="349"/>
      <c r="Q2012" s="349"/>
    </row>
    <row r="2013" spans="14:17" x14ac:dyDescent="0.3">
      <c r="N2013" s="533"/>
      <c r="O2013" s="533"/>
      <c r="P2013" s="349"/>
      <c r="Q2013" s="349"/>
    </row>
    <row r="2014" spans="14:17" x14ac:dyDescent="0.3">
      <c r="N2014" s="533"/>
      <c r="O2014" s="533"/>
      <c r="P2014" s="349"/>
      <c r="Q2014" s="349"/>
    </row>
    <row r="2015" spans="14:17" x14ac:dyDescent="0.3">
      <c r="N2015" s="533"/>
      <c r="O2015" s="533"/>
      <c r="P2015" s="349"/>
      <c r="Q2015" s="349"/>
    </row>
    <row r="2016" spans="14:17" x14ac:dyDescent="0.3">
      <c r="N2016" s="533"/>
      <c r="O2016" s="533"/>
      <c r="P2016" s="349"/>
      <c r="Q2016" s="349"/>
    </row>
    <row r="2017" spans="14:17" x14ac:dyDescent="0.3">
      <c r="N2017" s="533"/>
      <c r="O2017" s="533"/>
      <c r="P2017" s="349"/>
      <c r="Q2017" s="349"/>
    </row>
    <row r="2018" spans="14:17" x14ac:dyDescent="0.3">
      <c r="N2018" s="533"/>
      <c r="O2018" s="533"/>
      <c r="P2018" s="349"/>
      <c r="Q2018" s="349"/>
    </row>
    <row r="2019" spans="14:17" x14ac:dyDescent="0.3">
      <c r="N2019" s="533"/>
      <c r="O2019" s="533"/>
      <c r="P2019" s="349"/>
      <c r="Q2019" s="349"/>
    </row>
    <row r="2020" spans="14:17" x14ac:dyDescent="0.3">
      <c r="N2020" s="533"/>
      <c r="O2020" s="533"/>
      <c r="P2020" s="349"/>
      <c r="Q2020" s="349"/>
    </row>
    <row r="2021" spans="14:17" x14ac:dyDescent="0.3">
      <c r="N2021" s="533"/>
      <c r="O2021" s="533"/>
      <c r="P2021" s="349"/>
      <c r="Q2021" s="349"/>
    </row>
    <row r="2022" spans="14:17" x14ac:dyDescent="0.3">
      <c r="N2022" s="533"/>
      <c r="O2022" s="533"/>
      <c r="P2022" s="349"/>
      <c r="Q2022" s="349"/>
    </row>
    <row r="2023" spans="14:17" x14ac:dyDescent="0.3">
      <c r="N2023" s="533"/>
      <c r="O2023" s="533"/>
      <c r="P2023" s="349"/>
      <c r="Q2023" s="349"/>
    </row>
    <row r="2024" spans="14:17" x14ac:dyDescent="0.3">
      <c r="N2024" s="533"/>
      <c r="O2024" s="533"/>
      <c r="P2024" s="349"/>
      <c r="Q2024" s="349"/>
    </row>
    <row r="2025" spans="14:17" x14ac:dyDescent="0.3">
      <c r="N2025" s="533"/>
      <c r="O2025" s="533"/>
      <c r="P2025" s="349"/>
      <c r="Q2025" s="349"/>
    </row>
    <row r="2026" spans="14:17" x14ac:dyDescent="0.3">
      <c r="N2026" s="533"/>
      <c r="O2026" s="533"/>
      <c r="P2026" s="349"/>
      <c r="Q2026" s="349"/>
    </row>
    <row r="2027" spans="14:17" x14ac:dyDescent="0.3">
      <c r="N2027" s="533"/>
      <c r="O2027" s="533"/>
      <c r="P2027" s="349"/>
      <c r="Q2027" s="349"/>
    </row>
    <row r="2028" spans="14:17" x14ac:dyDescent="0.3">
      <c r="N2028" s="533"/>
      <c r="O2028" s="533"/>
      <c r="P2028" s="349"/>
      <c r="Q2028" s="349"/>
    </row>
    <row r="2029" spans="14:17" x14ac:dyDescent="0.3">
      <c r="N2029" s="533"/>
      <c r="O2029" s="533"/>
      <c r="P2029" s="349"/>
      <c r="Q2029" s="349"/>
    </row>
    <row r="2030" spans="14:17" x14ac:dyDescent="0.3">
      <c r="N2030" s="533"/>
      <c r="O2030" s="533"/>
      <c r="P2030" s="349"/>
      <c r="Q2030" s="349"/>
    </row>
    <row r="2031" spans="14:17" x14ac:dyDescent="0.3">
      <c r="N2031" s="533"/>
      <c r="O2031" s="533"/>
      <c r="P2031" s="349"/>
      <c r="Q2031" s="349"/>
    </row>
    <row r="2032" spans="14:17" x14ac:dyDescent="0.3">
      <c r="N2032" s="533"/>
      <c r="O2032" s="533"/>
      <c r="P2032" s="349"/>
      <c r="Q2032" s="349"/>
    </row>
    <row r="2033" spans="14:17" x14ac:dyDescent="0.3">
      <c r="N2033" s="533"/>
      <c r="O2033" s="533"/>
      <c r="P2033" s="349"/>
      <c r="Q2033" s="349"/>
    </row>
    <row r="2034" spans="14:17" x14ac:dyDescent="0.3">
      <c r="N2034" s="533"/>
      <c r="O2034" s="533"/>
      <c r="P2034" s="349"/>
      <c r="Q2034" s="349"/>
    </row>
    <row r="2035" spans="14:17" x14ac:dyDescent="0.3">
      <c r="N2035" s="533"/>
      <c r="O2035" s="533"/>
      <c r="P2035" s="349"/>
      <c r="Q2035" s="349"/>
    </row>
    <row r="2036" spans="14:17" x14ac:dyDescent="0.3">
      <c r="N2036" s="533"/>
      <c r="O2036" s="533"/>
      <c r="P2036" s="349"/>
      <c r="Q2036" s="349"/>
    </row>
    <row r="2037" spans="14:17" x14ac:dyDescent="0.3">
      <c r="N2037" s="533"/>
      <c r="O2037" s="533"/>
      <c r="P2037" s="349"/>
      <c r="Q2037" s="349"/>
    </row>
    <row r="2038" spans="14:17" x14ac:dyDescent="0.3">
      <c r="N2038" s="533"/>
      <c r="O2038" s="533"/>
      <c r="P2038" s="349"/>
      <c r="Q2038" s="349"/>
    </row>
    <row r="2039" spans="14:17" x14ac:dyDescent="0.3">
      <c r="N2039" s="533"/>
      <c r="O2039" s="533"/>
      <c r="P2039" s="349"/>
      <c r="Q2039" s="349"/>
    </row>
    <row r="2040" spans="14:17" x14ac:dyDescent="0.3">
      <c r="N2040" s="533"/>
      <c r="O2040" s="533"/>
      <c r="P2040" s="349"/>
      <c r="Q2040" s="349"/>
    </row>
    <row r="2041" spans="14:17" x14ac:dyDescent="0.3">
      <c r="N2041" s="533"/>
      <c r="O2041" s="533"/>
      <c r="P2041" s="349"/>
      <c r="Q2041" s="349"/>
    </row>
    <row r="2042" spans="14:17" x14ac:dyDescent="0.3">
      <c r="N2042" s="533"/>
      <c r="O2042" s="533"/>
      <c r="P2042" s="349"/>
      <c r="Q2042" s="349"/>
    </row>
    <row r="2043" spans="14:17" x14ac:dyDescent="0.3">
      <c r="N2043" s="533"/>
      <c r="O2043" s="533"/>
      <c r="P2043" s="349"/>
      <c r="Q2043" s="349"/>
    </row>
    <row r="2044" spans="14:17" x14ac:dyDescent="0.3">
      <c r="N2044" s="533"/>
      <c r="O2044" s="533"/>
      <c r="P2044" s="349"/>
      <c r="Q2044" s="349"/>
    </row>
    <row r="2045" spans="14:17" x14ac:dyDescent="0.3">
      <c r="N2045" s="533"/>
      <c r="O2045" s="533"/>
      <c r="P2045" s="349"/>
      <c r="Q2045" s="349"/>
    </row>
    <row r="2046" spans="14:17" x14ac:dyDescent="0.3">
      <c r="N2046" s="533"/>
      <c r="O2046" s="533"/>
      <c r="P2046" s="349"/>
      <c r="Q2046" s="349"/>
    </row>
    <row r="2047" spans="14:17" x14ac:dyDescent="0.3">
      <c r="N2047" s="533"/>
      <c r="O2047" s="533"/>
      <c r="P2047" s="349"/>
      <c r="Q2047" s="349"/>
    </row>
    <row r="2048" spans="14:17" x14ac:dyDescent="0.3">
      <c r="N2048" s="533"/>
      <c r="O2048" s="533"/>
      <c r="P2048" s="349"/>
      <c r="Q2048" s="349"/>
    </row>
    <row r="2049" spans="14:17" x14ac:dyDescent="0.3">
      <c r="N2049" s="533"/>
      <c r="O2049" s="533"/>
      <c r="P2049" s="349"/>
      <c r="Q2049" s="349"/>
    </row>
    <row r="2050" spans="14:17" x14ac:dyDescent="0.3">
      <c r="N2050" s="533"/>
      <c r="O2050" s="533"/>
      <c r="P2050" s="349"/>
      <c r="Q2050" s="349"/>
    </row>
    <row r="2051" spans="14:17" x14ac:dyDescent="0.3">
      <c r="N2051" s="533"/>
      <c r="O2051" s="533"/>
      <c r="P2051" s="349"/>
      <c r="Q2051" s="349"/>
    </row>
    <row r="2052" spans="14:17" x14ac:dyDescent="0.3">
      <c r="N2052" s="533"/>
      <c r="O2052" s="533"/>
      <c r="P2052" s="349"/>
      <c r="Q2052" s="349"/>
    </row>
    <row r="2053" spans="14:17" x14ac:dyDescent="0.3">
      <c r="N2053" s="533"/>
      <c r="O2053" s="533"/>
      <c r="P2053" s="349"/>
      <c r="Q2053" s="349"/>
    </row>
    <row r="2054" spans="14:17" x14ac:dyDescent="0.3">
      <c r="N2054" s="533"/>
      <c r="O2054" s="533"/>
      <c r="P2054" s="349"/>
      <c r="Q2054" s="349"/>
    </row>
    <row r="2055" spans="14:17" x14ac:dyDescent="0.3">
      <c r="N2055" s="533"/>
      <c r="O2055" s="533"/>
      <c r="P2055" s="349"/>
      <c r="Q2055" s="349"/>
    </row>
    <row r="2056" spans="14:17" x14ac:dyDescent="0.3">
      <c r="N2056" s="533"/>
      <c r="O2056" s="533"/>
      <c r="P2056" s="349"/>
      <c r="Q2056" s="349"/>
    </row>
    <row r="2057" spans="14:17" x14ac:dyDescent="0.3">
      <c r="N2057" s="533"/>
      <c r="O2057" s="533"/>
      <c r="P2057" s="349"/>
      <c r="Q2057" s="349"/>
    </row>
    <row r="2058" spans="14:17" x14ac:dyDescent="0.3">
      <c r="N2058" s="533"/>
      <c r="O2058" s="533"/>
      <c r="P2058" s="349"/>
      <c r="Q2058" s="349"/>
    </row>
    <row r="2059" spans="14:17" x14ac:dyDescent="0.3">
      <c r="N2059" s="533"/>
      <c r="O2059" s="533"/>
      <c r="P2059" s="349"/>
      <c r="Q2059" s="349"/>
    </row>
    <row r="2060" spans="14:17" x14ac:dyDescent="0.3">
      <c r="N2060" s="533"/>
      <c r="O2060" s="533"/>
      <c r="P2060" s="349"/>
      <c r="Q2060" s="349"/>
    </row>
    <row r="2061" spans="14:17" x14ac:dyDescent="0.3">
      <c r="N2061" s="533"/>
      <c r="O2061" s="533"/>
      <c r="P2061" s="349"/>
      <c r="Q2061" s="349"/>
    </row>
    <row r="2062" spans="14:17" x14ac:dyDescent="0.3">
      <c r="N2062" s="533"/>
      <c r="O2062" s="533"/>
      <c r="P2062" s="349"/>
      <c r="Q2062" s="349"/>
    </row>
    <row r="2063" spans="14:17" x14ac:dyDescent="0.3">
      <c r="N2063" s="533"/>
      <c r="O2063" s="533"/>
      <c r="P2063" s="349"/>
      <c r="Q2063" s="349"/>
    </row>
    <row r="2064" spans="14:17" x14ac:dyDescent="0.3">
      <c r="N2064" s="533"/>
      <c r="O2064" s="533"/>
      <c r="P2064" s="349"/>
      <c r="Q2064" s="349"/>
    </row>
    <row r="2065" spans="14:17" x14ac:dyDescent="0.3">
      <c r="N2065" s="533"/>
      <c r="O2065" s="533"/>
      <c r="P2065" s="349"/>
      <c r="Q2065" s="349"/>
    </row>
    <row r="2066" spans="14:17" x14ac:dyDescent="0.3">
      <c r="N2066" s="533"/>
      <c r="O2066" s="533"/>
      <c r="P2066" s="349"/>
      <c r="Q2066" s="349"/>
    </row>
    <row r="2067" spans="14:17" x14ac:dyDescent="0.3">
      <c r="N2067" s="533"/>
      <c r="O2067" s="533"/>
      <c r="P2067" s="349"/>
      <c r="Q2067" s="349"/>
    </row>
    <row r="2068" spans="14:17" x14ac:dyDescent="0.3">
      <c r="N2068" s="533"/>
      <c r="O2068" s="533"/>
      <c r="P2068" s="349"/>
      <c r="Q2068" s="349"/>
    </row>
    <row r="2069" spans="14:17" x14ac:dyDescent="0.3">
      <c r="N2069" s="533"/>
      <c r="O2069" s="533"/>
      <c r="P2069" s="349"/>
      <c r="Q2069" s="349"/>
    </row>
    <row r="2070" spans="14:17" x14ac:dyDescent="0.3">
      <c r="N2070" s="533"/>
      <c r="O2070" s="533"/>
      <c r="P2070" s="349"/>
      <c r="Q2070" s="349"/>
    </row>
    <row r="2071" spans="14:17" x14ac:dyDescent="0.3">
      <c r="N2071" s="533"/>
      <c r="O2071" s="533"/>
      <c r="P2071" s="349"/>
      <c r="Q2071" s="349"/>
    </row>
    <row r="2072" spans="14:17" x14ac:dyDescent="0.3">
      <c r="N2072" s="533"/>
      <c r="O2072" s="533"/>
      <c r="P2072" s="349"/>
      <c r="Q2072" s="349"/>
    </row>
    <row r="2073" spans="14:17" x14ac:dyDescent="0.3">
      <c r="N2073" s="533"/>
      <c r="O2073" s="533"/>
      <c r="P2073" s="349"/>
      <c r="Q2073" s="349"/>
    </row>
    <row r="2074" spans="14:17" x14ac:dyDescent="0.3">
      <c r="N2074" s="533"/>
      <c r="O2074" s="533"/>
      <c r="P2074" s="349"/>
      <c r="Q2074" s="349"/>
    </row>
    <row r="2075" spans="14:17" x14ac:dyDescent="0.3">
      <c r="N2075" s="533"/>
      <c r="O2075" s="533"/>
      <c r="P2075" s="349"/>
      <c r="Q2075" s="349"/>
    </row>
    <row r="2076" spans="14:17" x14ac:dyDescent="0.3">
      <c r="N2076" s="533"/>
      <c r="O2076" s="533"/>
      <c r="P2076" s="349"/>
      <c r="Q2076" s="349"/>
    </row>
    <row r="2077" spans="14:17" x14ac:dyDescent="0.3">
      <c r="N2077" s="533"/>
      <c r="O2077" s="533"/>
      <c r="P2077" s="349"/>
      <c r="Q2077" s="349"/>
    </row>
    <row r="2078" spans="14:17" x14ac:dyDescent="0.3">
      <c r="N2078" s="533"/>
      <c r="O2078" s="533"/>
      <c r="P2078" s="349"/>
      <c r="Q2078" s="349"/>
    </row>
    <row r="2079" spans="14:17" x14ac:dyDescent="0.3">
      <c r="N2079" s="533"/>
      <c r="O2079" s="533"/>
      <c r="P2079" s="349"/>
      <c r="Q2079" s="349"/>
    </row>
    <row r="2080" spans="14:17" x14ac:dyDescent="0.3">
      <c r="N2080" s="533"/>
      <c r="O2080" s="533"/>
      <c r="P2080" s="349"/>
      <c r="Q2080" s="349"/>
    </row>
    <row r="2081" spans="14:17" x14ac:dyDescent="0.3">
      <c r="N2081" s="533"/>
      <c r="O2081" s="533"/>
      <c r="P2081" s="349"/>
      <c r="Q2081" s="349"/>
    </row>
    <row r="2082" spans="14:17" x14ac:dyDescent="0.3">
      <c r="N2082" s="533"/>
      <c r="O2082" s="533"/>
      <c r="P2082" s="349"/>
      <c r="Q2082" s="349"/>
    </row>
    <row r="2083" spans="14:17" x14ac:dyDescent="0.3">
      <c r="N2083" s="533"/>
      <c r="O2083" s="533"/>
      <c r="P2083" s="349"/>
      <c r="Q2083" s="349"/>
    </row>
    <row r="2084" spans="14:17" x14ac:dyDescent="0.3">
      <c r="N2084" s="533"/>
      <c r="O2084" s="533"/>
      <c r="P2084" s="349"/>
      <c r="Q2084" s="349"/>
    </row>
    <row r="2085" spans="14:17" x14ac:dyDescent="0.3">
      <c r="N2085" s="533"/>
      <c r="O2085" s="533"/>
      <c r="P2085" s="349"/>
      <c r="Q2085" s="349"/>
    </row>
    <row r="2086" spans="14:17" x14ac:dyDescent="0.3">
      <c r="N2086" s="533"/>
      <c r="O2086" s="533"/>
      <c r="P2086" s="349"/>
      <c r="Q2086" s="349"/>
    </row>
    <row r="2087" spans="14:17" x14ac:dyDescent="0.3">
      <c r="N2087" s="533"/>
      <c r="O2087" s="533"/>
      <c r="P2087" s="349"/>
      <c r="Q2087" s="349"/>
    </row>
    <row r="2088" spans="14:17" x14ac:dyDescent="0.3">
      <c r="N2088" s="533"/>
      <c r="O2088" s="533"/>
      <c r="P2088" s="349"/>
      <c r="Q2088" s="349"/>
    </row>
    <row r="2089" spans="14:17" x14ac:dyDescent="0.3">
      <c r="N2089" s="533"/>
      <c r="O2089" s="533"/>
      <c r="P2089" s="349"/>
      <c r="Q2089" s="349"/>
    </row>
    <row r="2090" spans="14:17" x14ac:dyDescent="0.3">
      <c r="N2090" s="533"/>
      <c r="O2090" s="533"/>
      <c r="P2090" s="349"/>
      <c r="Q2090" s="349"/>
    </row>
    <row r="2091" spans="14:17" x14ac:dyDescent="0.3">
      <c r="N2091" s="533"/>
      <c r="O2091" s="533"/>
      <c r="P2091" s="349"/>
      <c r="Q2091" s="349"/>
    </row>
    <row r="2092" spans="14:17" x14ac:dyDescent="0.3">
      <c r="N2092" s="533"/>
      <c r="O2092" s="533"/>
      <c r="P2092" s="349"/>
      <c r="Q2092" s="349"/>
    </row>
    <row r="2093" spans="14:17" x14ac:dyDescent="0.3">
      <c r="N2093" s="533"/>
      <c r="O2093" s="533"/>
      <c r="P2093" s="349"/>
      <c r="Q2093" s="349"/>
    </row>
    <row r="2094" spans="14:17" x14ac:dyDescent="0.3">
      <c r="N2094" s="533"/>
      <c r="O2094" s="533"/>
      <c r="P2094" s="349"/>
      <c r="Q2094" s="349"/>
    </row>
    <row r="2095" spans="14:17" x14ac:dyDescent="0.3">
      <c r="N2095" s="533"/>
      <c r="O2095" s="533"/>
      <c r="P2095" s="349"/>
      <c r="Q2095" s="349"/>
    </row>
    <row r="2096" spans="14:17" x14ac:dyDescent="0.3">
      <c r="N2096" s="533"/>
      <c r="O2096" s="533"/>
      <c r="P2096" s="349"/>
      <c r="Q2096" s="349"/>
    </row>
    <row r="2097" spans="14:17" x14ac:dyDescent="0.3">
      <c r="N2097" s="533"/>
      <c r="O2097" s="533"/>
      <c r="P2097" s="349"/>
      <c r="Q2097" s="349"/>
    </row>
    <row r="2098" spans="14:17" x14ac:dyDescent="0.3">
      <c r="N2098" s="533"/>
      <c r="O2098" s="533"/>
      <c r="P2098" s="349"/>
      <c r="Q2098" s="349"/>
    </row>
    <row r="2099" spans="14:17" x14ac:dyDescent="0.3">
      <c r="N2099" s="533"/>
      <c r="O2099" s="533"/>
      <c r="P2099" s="349"/>
      <c r="Q2099" s="349"/>
    </row>
    <row r="2100" spans="14:17" x14ac:dyDescent="0.3">
      <c r="N2100" s="533"/>
      <c r="O2100" s="533"/>
      <c r="P2100" s="349"/>
      <c r="Q2100" s="349"/>
    </row>
    <row r="2101" spans="14:17" x14ac:dyDescent="0.3">
      <c r="N2101" s="533"/>
      <c r="O2101" s="533"/>
      <c r="P2101" s="349"/>
      <c r="Q2101" s="349"/>
    </row>
    <row r="2102" spans="14:17" x14ac:dyDescent="0.3">
      <c r="N2102" s="533"/>
      <c r="O2102" s="533"/>
      <c r="P2102" s="349"/>
      <c r="Q2102" s="349"/>
    </row>
    <row r="2103" spans="14:17" x14ac:dyDescent="0.3">
      <c r="N2103" s="533"/>
      <c r="O2103" s="533"/>
      <c r="P2103" s="349"/>
      <c r="Q2103" s="349"/>
    </row>
    <row r="2104" spans="14:17" x14ac:dyDescent="0.3">
      <c r="N2104" s="533"/>
      <c r="O2104" s="533"/>
      <c r="P2104" s="349"/>
      <c r="Q2104" s="349"/>
    </row>
    <row r="2105" spans="14:17" x14ac:dyDescent="0.3">
      <c r="N2105" s="533"/>
      <c r="O2105" s="533"/>
      <c r="P2105" s="349"/>
      <c r="Q2105" s="349"/>
    </row>
    <row r="2106" spans="14:17" x14ac:dyDescent="0.3">
      <c r="N2106" s="533"/>
      <c r="O2106" s="533"/>
      <c r="P2106" s="349"/>
      <c r="Q2106" s="349"/>
    </row>
    <row r="2107" spans="14:17" x14ac:dyDescent="0.3">
      <c r="N2107" s="533"/>
      <c r="O2107" s="533"/>
      <c r="P2107" s="349"/>
      <c r="Q2107" s="349"/>
    </row>
    <row r="2108" spans="14:17" x14ac:dyDescent="0.3">
      <c r="N2108" s="533"/>
      <c r="O2108" s="533"/>
      <c r="P2108" s="349"/>
      <c r="Q2108" s="349"/>
    </row>
    <row r="2109" spans="14:17" x14ac:dyDescent="0.3">
      <c r="N2109" s="533"/>
      <c r="O2109" s="533"/>
      <c r="P2109" s="349"/>
      <c r="Q2109" s="349"/>
    </row>
    <row r="2110" spans="14:17" x14ac:dyDescent="0.3">
      <c r="N2110" s="533"/>
      <c r="O2110" s="533"/>
      <c r="P2110" s="349"/>
      <c r="Q2110" s="349"/>
    </row>
    <row r="2111" spans="14:17" x14ac:dyDescent="0.3">
      <c r="N2111" s="533"/>
      <c r="O2111" s="533"/>
      <c r="P2111" s="349"/>
      <c r="Q2111" s="349"/>
    </row>
    <row r="2112" spans="14:17" x14ac:dyDescent="0.3">
      <c r="N2112" s="533"/>
      <c r="O2112" s="533"/>
      <c r="P2112" s="349"/>
      <c r="Q2112" s="349"/>
    </row>
    <row r="2113" spans="14:17" x14ac:dyDescent="0.3">
      <c r="N2113" s="533"/>
      <c r="O2113" s="533"/>
      <c r="P2113" s="349"/>
      <c r="Q2113" s="349"/>
    </row>
    <row r="2114" spans="14:17" x14ac:dyDescent="0.3">
      <c r="N2114" s="533"/>
      <c r="O2114" s="533"/>
      <c r="P2114" s="349"/>
      <c r="Q2114" s="349"/>
    </row>
    <row r="2115" spans="14:17" x14ac:dyDescent="0.3">
      <c r="N2115" s="533"/>
      <c r="O2115" s="533"/>
      <c r="P2115" s="349"/>
      <c r="Q2115" s="349"/>
    </row>
    <row r="2116" spans="14:17" x14ac:dyDescent="0.3">
      <c r="N2116" s="533"/>
      <c r="O2116" s="533"/>
      <c r="P2116" s="349"/>
      <c r="Q2116" s="349"/>
    </row>
    <row r="2117" spans="14:17" x14ac:dyDescent="0.3">
      <c r="N2117" s="533"/>
      <c r="O2117" s="533"/>
      <c r="P2117" s="349"/>
      <c r="Q2117" s="349"/>
    </row>
    <row r="2118" spans="14:17" x14ac:dyDescent="0.3">
      <c r="N2118" s="533"/>
      <c r="O2118" s="533"/>
      <c r="P2118" s="349"/>
      <c r="Q2118" s="349"/>
    </row>
    <row r="2119" spans="14:17" x14ac:dyDescent="0.3">
      <c r="N2119" s="533"/>
      <c r="O2119" s="533"/>
      <c r="P2119" s="349"/>
      <c r="Q2119" s="349"/>
    </row>
    <row r="2120" spans="14:17" x14ac:dyDescent="0.3">
      <c r="N2120" s="533"/>
      <c r="O2120" s="533"/>
      <c r="P2120" s="349"/>
      <c r="Q2120" s="349"/>
    </row>
    <row r="2121" spans="14:17" x14ac:dyDescent="0.3">
      <c r="N2121" s="533"/>
      <c r="O2121" s="533"/>
      <c r="P2121" s="349"/>
      <c r="Q2121" s="349"/>
    </row>
    <row r="2122" spans="14:17" x14ac:dyDescent="0.3">
      <c r="N2122" s="533"/>
      <c r="O2122" s="533"/>
      <c r="P2122" s="349"/>
      <c r="Q2122" s="349"/>
    </row>
    <row r="2123" spans="14:17" x14ac:dyDescent="0.3">
      <c r="N2123" s="533"/>
      <c r="O2123" s="533"/>
      <c r="P2123" s="349"/>
      <c r="Q2123" s="349"/>
    </row>
    <row r="2124" spans="14:17" x14ac:dyDescent="0.3">
      <c r="N2124" s="533"/>
      <c r="O2124" s="533"/>
      <c r="P2124" s="349"/>
      <c r="Q2124" s="349"/>
    </row>
    <row r="2125" spans="14:17" x14ac:dyDescent="0.3">
      <c r="N2125" s="533"/>
      <c r="O2125" s="533"/>
      <c r="P2125" s="349"/>
      <c r="Q2125" s="349"/>
    </row>
    <row r="2126" spans="14:17" x14ac:dyDescent="0.3">
      <c r="N2126" s="533"/>
      <c r="O2126" s="533"/>
      <c r="P2126" s="349"/>
      <c r="Q2126" s="349"/>
    </row>
    <row r="2127" spans="14:17" x14ac:dyDescent="0.3">
      <c r="N2127" s="533"/>
      <c r="O2127" s="533"/>
      <c r="P2127" s="349"/>
      <c r="Q2127" s="349"/>
    </row>
    <row r="2128" spans="14:17" x14ac:dyDescent="0.3">
      <c r="N2128" s="533"/>
      <c r="O2128" s="533"/>
      <c r="P2128" s="349"/>
      <c r="Q2128" s="349"/>
    </row>
    <row r="2129" spans="14:17" x14ac:dyDescent="0.3">
      <c r="N2129" s="533"/>
      <c r="O2129" s="533"/>
      <c r="P2129" s="349"/>
      <c r="Q2129" s="349"/>
    </row>
    <row r="2130" spans="14:17" x14ac:dyDescent="0.3">
      <c r="N2130" s="533"/>
      <c r="O2130" s="533"/>
      <c r="P2130" s="349"/>
      <c r="Q2130" s="349"/>
    </row>
    <row r="2131" spans="14:17" x14ac:dyDescent="0.3">
      <c r="N2131" s="533"/>
      <c r="O2131" s="533"/>
      <c r="P2131" s="349"/>
      <c r="Q2131" s="349"/>
    </row>
    <row r="2132" spans="14:17" x14ac:dyDescent="0.3">
      <c r="N2132" s="533"/>
      <c r="O2132" s="533"/>
      <c r="P2132" s="349"/>
      <c r="Q2132" s="349"/>
    </row>
    <row r="2133" spans="14:17" x14ac:dyDescent="0.3">
      <c r="N2133" s="533"/>
      <c r="O2133" s="533"/>
      <c r="P2133" s="349"/>
      <c r="Q2133" s="349"/>
    </row>
    <row r="2134" spans="14:17" x14ac:dyDescent="0.3">
      <c r="N2134" s="533"/>
      <c r="O2134" s="533"/>
      <c r="P2134" s="349"/>
      <c r="Q2134" s="349"/>
    </row>
    <row r="2135" spans="14:17" x14ac:dyDescent="0.3">
      <c r="N2135" s="533"/>
      <c r="O2135" s="533"/>
      <c r="P2135" s="349"/>
      <c r="Q2135" s="349"/>
    </row>
    <row r="2136" spans="14:17" x14ac:dyDescent="0.3">
      <c r="N2136" s="533"/>
      <c r="O2136" s="533"/>
      <c r="P2136" s="349"/>
      <c r="Q2136" s="349"/>
    </row>
    <row r="2137" spans="14:17" x14ac:dyDescent="0.3">
      <c r="N2137" s="533"/>
      <c r="O2137" s="533"/>
      <c r="P2137" s="349"/>
      <c r="Q2137" s="349"/>
    </row>
    <row r="2138" spans="14:17" x14ac:dyDescent="0.3">
      <c r="N2138" s="533"/>
      <c r="O2138" s="533"/>
      <c r="P2138" s="349"/>
      <c r="Q2138" s="349"/>
    </row>
    <row r="2139" spans="14:17" x14ac:dyDescent="0.3">
      <c r="N2139" s="533"/>
      <c r="O2139" s="533"/>
      <c r="P2139" s="349"/>
      <c r="Q2139" s="349"/>
    </row>
    <row r="2140" spans="14:17" x14ac:dyDescent="0.3">
      <c r="N2140" s="533"/>
      <c r="O2140" s="533"/>
      <c r="P2140" s="349"/>
      <c r="Q2140" s="349"/>
    </row>
    <row r="2141" spans="14:17" x14ac:dyDescent="0.3">
      <c r="N2141" s="533"/>
      <c r="O2141" s="533"/>
      <c r="P2141" s="349"/>
      <c r="Q2141" s="349"/>
    </row>
    <row r="2142" spans="14:17" x14ac:dyDescent="0.3">
      <c r="N2142" s="533"/>
      <c r="O2142" s="533"/>
      <c r="P2142" s="349"/>
      <c r="Q2142" s="349"/>
    </row>
    <row r="2143" spans="14:17" x14ac:dyDescent="0.3">
      <c r="N2143" s="533"/>
      <c r="O2143" s="533"/>
      <c r="P2143" s="349"/>
      <c r="Q2143" s="349"/>
    </row>
    <row r="2144" spans="14:17" x14ac:dyDescent="0.3">
      <c r="N2144" s="533"/>
      <c r="O2144" s="533"/>
      <c r="P2144" s="349"/>
      <c r="Q2144" s="349"/>
    </row>
    <row r="2145" spans="14:17" x14ac:dyDescent="0.3">
      <c r="N2145" s="533"/>
      <c r="O2145" s="533"/>
      <c r="P2145" s="349"/>
      <c r="Q2145" s="349"/>
    </row>
    <row r="2146" spans="14:17" x14ac:dyDescent="0.3">
      <c r="N2146" s="533"/>
      <c r="O2146" s="533"/>
      <c r="P2146" s="349"/>
      <c r="Q2146" s="349"/>
    </row>
    <row r="2147" spans="14:17" x14ac:dyDescent="0.3">
      <c r="N2147" s="533"/>
      <c r="O2147" s="533"/>
      <c r="P2147" s="349"/>
      <c r="Q2147" s="349"/>
    </row>
    <row r="2148" spans="14:17" x14ac:dyDescent="0.3">
      <c r="N2148" s="533"/>
      <c r="O2148" s="533"/>
      <c r="P2148" s="349"/>
      <c r="Q2148" s="349"/>
    </row>
    <row r="2149" spans="14:17" x14ac:dyDescent="0.3">
      <c r="N2149" s="533"/>
      <c r="O2149" s="533"/>
      <c r="P2149" s="349"/>
      <c r="Q2149" s="349"/>
    </row>
    <row r="2150" spans="14:17" x14ac:dyDescent="0.3">
      <c r="N2150" s="533"/>
      <c r="O2150" s="533"/>
      <c r="P2150" s="349"/>
      <c r="Q2150" s="349"/>
    </row>
    <row r="2151" spans="14:17" x14ac:dyDescent="0.3">
      <c r="N2151" s="533"/>
      <c r="O2151" s="533"/>
      <c r="P2151" s="349"/>
      <c r="Q2151" s="349"/>
    </row>
    <row r="2152" spans="14:17" x14ac:dyDescent="0.3">
      <c r="N2152" s="533"/>
      <c r="O2152" s="533"/>
      <c r="P2152" s="349"/>
      <c r="Q2152" s="349"/>
    </row>
    <row r="2153" spans="14:17" x14ac:dyDescent="0.3">
      <c r="N2153" s="533"/>
      <c r="O2153" s="533"/>
      <c r="P2153" s="349"/>
      <c r="Q2153" s="349"/>
    </row>
    <row r="2154" spans="14:17" x14ac:dyDescent="0.3">
      <c r="N2154" s="533"/>
      <c r="O2154" s="533"/>
      <c r="P2154" s="349"/>
      <c r="Q2154" s="349"/>
    </row>
    <row r="2155" spans="14:17" x14ac:dyDescent="0.3">
      <c r="N2155" s="533"/>
      <c r="O2155" s="533"/>
      <c r="P2155" s="349"/>
      <c r="Q2155" s="349"/>
    </row>
    <row r="2156" spans="14:17" x14ac:dyDescent="0.3">
      <c r="N2156" s="533"/>
      <c r="O2156" s="533"/>
      <c r="P2156" s="349"/>
      <c r="Q2156" s="349"/>
    </row>
    <row r="2157" spans="14:17" x14ac:dyDescent="0.3">
      <c r="N2157" s="533"/>
      <c r="O2157" s="533"/>
      <c r="P2157" s="349"/>
      <c r="Q2157" s="349"/>
    </row>
    <row r="2158" spans="14:17" x14ac:dyDescent="0.3">
      <c r="N2158" s="533"/>
      <c r="O2158" s="533"/>
      <c r="P2158" s="349"/>
      <c r="Q2158" s="349"/>
    </row>
    <row r="2159" spans="14:17" x14ac:dyDescent="0.3">
      <c r="N2159" s="533"/>
      <c r="O2159" s="533"/>
      <c r="P2159" s="349"/>
      <c r="Q2159" s="349"/>
    </row>
    <row r="2160" spans="14:17" x14ac:dyDescent="0.3">
      <c r="N2160" s="533"/>
      <c r="O2160" s="533"/>
      <c r="P2160" s="349"/>
      <c r="Q2160" s="349"/>
    </row>
    <row r="2161" spans="14:17" x14ac:dyDescent="0.3">
      <c r="N2161" s="533"/>
      <c r="O2161" s="533"/>
      <c r="P2161" s="349"/>
      <c r="Q2161" s="349"/>
    </row>
    <row r="2162" spans="14:17" x14ac:dyDescent="0.3">
      <c r="N2162" s="533"/>
      <c r="O2162" s="533"/>
      <c r="P2162" s="349"/>
      <c r="Q2162" s="349"/>
    </row>
    <row r="2163" spans="14:17" x14ac:dyDescent="0.3">
      <c r="N2163" s="533"/>
      <c r="O2163" s="533"/>
      <c r="P2163" s="349"/>
      <c r="Q2163" s="349"/>
    </row>
    <row r="2164" spans="14:17" x14ac:dyDescent="0.3">
      <c r="N2164" s="533"/>
      <c r="O2164" s="533"/>
      <c r="P2164" s="349"/>
      <c r="Q2164" s="349"/>
    </row>
    <row r="2165" spans="14:17" x14ac:dyDescent="0.3">
      <c r="N2165" s="533"/>
      <c r="O2165" s="533"/>
      <c r="P2165" s="349"/>
      <c r="Q2165" s="349"/>
    </row>
    <row r="2166" spans="14:17" x14ac:dyDescent="0.3">
      <c r="N2166" s="533"/>
      <c r="O2166" s="533"/>
      <c r="P2166" s="349"/>
      <c r="Q2166" s="349"/>
    </row>
    <row r="2167" spans="14:17" x14ac:dyDescent="0.3">
      <c r="N2167" s="533"/>
      <c r="O2167" s="533"/>
      <c r="P2167" s="349"/>
      <c r="Q2167" s="349"/>
    </row>
    <row r="2168" spans="14:17" x14ac:dyDescent="0.3">
      <c r="N2168" s="533"/>
      <c r="O2168" s="533"/>
      <c r="P2168" s="349"/>
      <c r="Q2168" s="349"/>
    </row>
    <row r="2169" spans="14:17" x14ac:dyDescent="0.3">
      <c r="N2169" s="533"/>
      <c r="O2169" s="533"/>
      <c r="P2169" s="349"/>
      <c r="Q2169" s="349"/>
    </row>
    <row r="2170" spans="14:17" x14ac:dyDescent="0.3">
      <c r="N2170" s="533"/>
      <c r="O2170" s="533"/>
      <c r="P2170" s="349"/>
      <c r="Q2170" s="349"/>
    </row>
    <row r="2171" spans="14:17" x14ac:dyDescent="0.3">
      <c r="N2171" s="533"/>
      <c r="O2171" s="533"/>
      <c r="P2171" s="349"/>
      <c r="Q2171" s="349"/>
    </row>
    <row r="2172" spans="14:17" x14ac:dyDescent="0.3">
      <c r="N2172" s="533"/>
      <c r="O2172" s="533"/>
      <c r="P2172" s="349"/>
      <c r="Q2172" s="349"/>
    </row>
    <row r="2173" spans="14:17" x14ac:dyDescent="0.3">
      <c r="N2173" s="533"/>
      <c r="O2173" s="533"/>
      <c r="P2173" s="349"/>
      <c r="Q2173" s="349"/>
    </row>
    <row r="2174" spans="14:17" x14ac:dyDescent="0.3">
      <c r="N2174" s="533"/>
      <c r="O2174" s="533"/>
      <c r="P2174" s="349"/>
      <c r="Q2174" s="349"/>
    </row>
    <row r="2175" spans="14:17" x14ac:dyDescent="0.3">
      <c r="N2175" s="533"/>
      <c r="O2175" s="533"/>
      <c r="P2175" s="349"/>
      <c r="Q2175" s="349"/>
    </row>
    <row r="2176" spans="14:17" x14ac:dyDescent="0.3">
      <c r="N2176" s="533"/>
      <c r="O2176" s="533"/>
      <c r="P2176" s="349"/>
      <c r="Q2176" s="349"/>
    </row>
    <row r="2177" spans="14:17" x14ac:dyDescent="0.3">
      <c r="N2177" s="533"/>
      <c r="O2177" s="533"/>
      <c r="P2177" s="349"/>
      <c r="Q2177" s="349"/>
    </row>
    <row r="2178" spans="14:17" x14ac:dyDescent="0.3">
      <c r="N2178" s="533"/>
      <c r="O2178" s="533"/>
      <c r="P2178" s="349"/>
      <c r="Q2178" s="349"/>
    </row>
    <row r="2179" spans="14:17" x14ac:dyDescent="0.3">
      <c r="N2179" s="533"/>
      <c r="O2179" s="533"/>
      <c r="P2179" s="349"/>
      <c r="Q2179" s="349"/>
    </row>
    <row r="2180" spans="14:17" x14ac:dyDescent="0.3">
      <c r="N2180" s="533"/>
      <c r="O2180" s="533"/>
      <c r="P2180" s="349"/>
      <c r="Q2180" s="349"/>
    </row>
    <row r="2181" spans="14:17" x14ac:dyDescent="0.3">
      <c r="N2181" s="533"/>
      <c r="O2181" s="533"/>
      <c r="P2181" s="349"/>
      <c r="Q2181" s="349"/>
    </row>
    <row r="2182" spans="14:17" x14ac:dyDescent="0.3">
      <c r="N2182" s="533"/>
      <c r="O2182" s="533"/>
      <c r="P2182" s="349"/>
      <c r="Q2182" s="349"/>
    </row>
    <row r="2183" spans="14:17" x14ac:dyDescent="0.3">
      <c r="N2183" s="533"/>
      <c r="O2183" s="533"/>
      <c r="P2183" s="349"/>
      <c r="Q2183" s="349"/>
    </row>
    <row r="2184" spans="14:17" x14ac:dyDescent="0.3">
      <c r="N2184" s="533"/>
      <c r="O2184" s="533"/>
      <c r="P2184" s="349"/>
      <c r="Q2184" s="349"/>
    </row>
    <row r="2185" spans="14:17" x14ac:dyDescent="0.3">
      <c r="N2185" s="533"/>
      <c r="O2185" s="533"/>
      <c r="P2185" s="349"/>
      <c r="Q2185" s="349"/>
    </row>
    <row r="2186" spans="14:17" x14ac:dyDescent="0.3">
      <c r="N2186" s="533"/>
      <c r="O2186" s="533"/>
      <c r="P2186" s="349"/>
      <c r="Q2186" s="349"/>
    </row>
    <row r="2187" spans="14:17" x14ac:dyDescent="0.3">
      <c r="N2187" s="533"/>
      <c r="O2187" s="533"/>
      <c r="P2187" s="349"/>
      <c r="Q2187" s="349"/>
    </row>
    <row r="2188" spans="14:17" x14ac:dyDescent="0.3">
      <c r="N2188" s="533"/>
      <c r="O2188" s="533"/>
      <c r="P2188" s="349"/>
      <c r="Q2188" s="349"/>
    </row>
    <row r="2189" spans="14:17" x14ac:dyDescent="0.3">
      <c r="N2189" s="533"/>
      <c r="O2189" s="533"/>
      <c r="P2189" s="349"/>
      <c r="Q2189" s="349"/>
    </row>
    <row r="2190" spans="14:17" x14ac:dyDescent="0.3">
      <c r="N2190" s="533"/>
      <c r="O2190" s="533"/>
      <c r="P2190" s="349"/>
      <c r="Q2190" s="349"/>
    </row>
    <row r="2191" spans="14:17" x14ac:dyDescent="0.3">
      <c r="N2191" s="533"/>
      <c r="O2191" s="533"/>
      <c r="P2191" s="349"/>
      <c r="Q2191" s="349"/>
    </row>
    <row r="2192" spans="14:17" x14ac:dyDescent="0.3">
      <c r="N2192" s="533"/>
      <c r="O2192" s="533"/>
      <c r="P2192" s="349"/>
      <c r="Q2192" s="349"/>
    </row>
    <row r="2193" spans="14:17" x14ac:dyDescent="0.3">
      <c r="N2193" s="533"/>
      <c r="O2193" s="533"/>
      <c r="P2193" s="349"/>
      <c r="Q2193" s="349"/>
    </row>
    <row r="2194" spans="14:17" x14ac:dyDescent="0.3">
      <c r="N2194" s="533"/>
      <c r="O2194" s="533"/>
      <c r="P2194" s="349"/>
      <c r="Q2194" s="349"/>
    </row>
    <row r="2195" spans="14:17" x14ac:dyDescent="0.3">
      <c r="N2195" s="533"/>
      <c r="O2195" s="533"/>
      <c r="P2195" s="349"/>
      <c r="Q2195" s="349"/>
    </row>
    <row r="2196" spans="14:17" x14ac:dyDescent="0.3">
      <c r="N2196" s="533"/>
      <c r="O2196" s="533"/>
      <c r="P2196" s="349"/>
      <c r="Q2196" s="349"/>
    </row>
    <row r="2197" spans="14:17" x14ac:dyDescent="0.3">
      <c r="N2197" s="533"/>
      <c r="O2197" s="533"/>
      <c r="P2197" s="349"/>
      <c r="Q2197" s="349"/>
    </row>
    <row r="2198" spans="14:17" x14ac:dyDescent="0.3">
      <c r="N2198" s="533"/>
      <c r="O2198" s="533"/>
      <c r="P2198" s="349"/>
      <c r="Q2198" s="349"/>
    </row>
    <row r="2199" spans="14:17" x14ac:dyDescent="0.3">
      <c r="N2199" s="533"/>
      <c r="O2199" s="533"/>
      <c r="P2199" s="349"/>
      <c r="Q2199" s="349"/>
    </row>
    <row r="2200" spans="14:17" x14ac:dyDescent="0.3">
      <c r="N2200" s="533"/>
      <c r="O2200" s="533"/>
      <c r="P2200" s="349"/>
      <c r="Q2200" s="349"/>
    </row>
    <row r="2201" spans="14:17" x14ac:dyDescent="0.3">
      <c r="N2201" s="533"/>
      <c r="O2201" s="533"/>
      <c r="P2201" s="349"/>
      <c r="Q2201" s="349"/>
    </row>
    <row r="2202" spans="14:17" x14ac:dyDescent="0.3">
      <c r="N2202" s="533"/>
      <c r="O2202" s="533"/>
      <c r="P2202" s="349"/>
      <c r="Q2202" s="349"/>
    </row>
    <row r="2203" spans="14:17" x14ac:dyDescent="0.3">
      <c r="N2203" s="533"/>
      <c r="O2203" s="533"/>
      <c r="P2203" s="349"/>
      <c r="Q2203" s="349"/>
    </row>
    <row r="2204" spans="14:17" x14ac:dyDescent="0.3">
      <c r="N2204" s="533"/>
      <c r="O2204" s="533"/>
      <c r="P2204" s="349"/>
      <c r="Q2204" s="349"/>
    </row>
    <row r="2205" spans="14:17" x14ac:dyDescent="0.3">
      <c r="N2205" s="533"/>
      <c r="O2205" s="533"/>
      <c r="P2205" s="349"/>
      <c r="Q2205" s="349"/>
    </row>
    <row r="2206" spans="14:17" x14ac:dyDescent="0.3">
      <c r="N2206" s="533"/>
      <c r="O2206" s="533"/>
      <c r="P2206" s="349"/>
      <c r="Q2206" s="349"/>
    </row>
    <row r="2207" spans="14:17" x14ac:dyDescent="0.3">
      <c r="N2207" s="533"/>
      <c r="O2207" s="533"/>
      <c r="P2207" s="349"/>
      <c r="Q2207" s="349"/>
    </row>
    <row r="2208" spans="14:17" x14ac:dyDescent="0.3">
      <c r="N2208" s="533"/>
      <c r="O2208" s="533"/>
      <c r="P2208" s="349"/>
      <c r="Q2208" s="349"/>
    </row>
    <row r="2209" spans="14:17" x14ac:dyDescent="0.3">
      <c r="N2209" s="533"/>
      <c r="O2209" s="533"/>
      <c r="P2209" s="349"/>
      <c r="Q2209" s="349"/>
    </row>
    <row r="2210" spans="14:17" x14ac:dyDescent="0.3">
      <c r="N2210" s="533"/>
      <c r="O2210" s="533"/>
      <c r="P2210" s="349"/>
      <c r="Q2210" s="349"/>
    </row>
    <row r="2211" spans="14:17" x14ac:dyDescent="0.3">
      <c r="N2211" s="533"/>
      <c r="O2211" s="533"/>
      <c r="P2211" s="349"/>
      <c r="Q2211" s="349"/>
    </row>
    <row r="2212" spans="14:17" x14ac:dyDescent="0.3">
      <c r="N2212" s="533"/>
      <c r="O2212" s="533"/>
      <c r="P2212" s="349"/>
      <c r="Q2212" s="349"/>
    </row>
    <row r="2213" spans="14:17" x14ac:dyDescent="0.3">
      <c r="N2213" s="533"/>
      <c r="O2213" s="533"/>
      <c r="P2213" s="349"/>
      <c r="Q2213" s="349"/>
    </row>
    <row r="2214" spans="14:17" x14ac:dyDescent="0.3">
      <c r="N2214" s="533"/>
      <c r="O2214" s="533"/>
      <c r="P2214" s="349"/>
      <c r="Q2214" s="349"/>
    </row>
    <row r="2215" spans="14:17" x14ac:dyDescent="0.3">
      <c r="N2215" s="533"/>
      <c r="O2215" s="533"/>
      <c r="P2215" s="349"/>
      <c r="Q2215" s="349"/>
    </row>
    <row r="2216" spans="14:17" x14ac:dyDescent="0.3">
      <c r="N2216" s="533"/>
      <c r="O2216" s="533"/>
      <c r="P2216" s="349"/>
      <c r="Q2216" s="349"/>
    </row>
    <row r="2217" spans="14:17" x14ac:dyDescent="0.3">
      <c r="N2217" s="533"/>
      <c r="O2217" s="533"/>
      <c r="P2217" s="349"/>
      <c r="Q2217" s="349"/>
    </row>
    <row r="2218" spans="14:17" x14ac:dyDescent="0.3">
      <c r="N2218" s="533"/>
      <c r="O2218" s="533"/>
      <c r="P2218" s="349"/>
      <c r="Q2218" s="349"/>
    </row>
    <row r="2219" spans="14:17" x14ac:dyDescent="0.3">
      <c r="N2219" s="533"/>
      <c r="O2219" s="533"/>
      <c r="P2219" s="349"/>
      <c r="Q2219" s="349"/>
    </row>
    <row r="2220" spans="14:17" x14ac:dyDescent="0.3">
      <c r="N2220" s="533"/>
      <c r="O2220" s="533"/>
      <c r="P2220" s="349"/>
      <c r="Q2220" s="349"/>
    </row>
    <row r="2221" spans="14:17" x14ac:dyDescent="0.3">
      <c r="N2221" s="533"/>
      <c r="O2221" s="533"/>
      <c r="P2221" s="349"/>
      <c r="Q2221" s="349"/>
    </row>
    <row r="2222" spans="14:17" x14ac:dyDescent="0.3">
      <c r="N2222" s="533"/>
      <c r="O2222" s="533"/>
      <c r="P2222" s="349"/>
      <c r="Q2222" s="349"/>
    </row>
    <row r="2223" spans="14:17" x14ac:dyDescent="0.3">
      <c r="N2223" s="533"/>
      <c r="O2223" s="533"/>
      <c r="P2223" s="349"/>
      <c r="Q2223" s="349"/>
    </row>
    <row r="2224" spans="14:17" x14ac:dyDescent="0.3">
      <c r="N2224" s="533"/>
      <c r="O2224" s="533"/>
      <c r="P2224" s="349"/>
      <c r="Q2224" s="349"/>
    </row>
    <row r="2225" spans="14:17" x14ac:dyDescent="0.3">
      <c r="N2225" s="533"/>
      <c r="O2225" s="533"/>
      <c r="P2225" s="349"/>
      <c r="Q2225" s="349"/>
    </row>
    <row r="2226" spans="14:17" x14ac:dyDescent="0.3">
      <c r="N2226" s="533"/>
      <c r="O2226" s="533"/>
      <c r="P2226" s="349"/>
      <c r="Q2226" s="349"/>
    </row>
    <row r="2227" spans="14:17" x14ac:dyDescent="0.3">
      <c r="N2227" s="533"/>
      <c r="O2227" s="533"/>
      <c r="P2227" s="349"/>
      <c r="Q2227" s="349"/>
    </row>
    <row r="2228" spans="14:17" x14ac:dyDescent="0.3">
      <c r="N2228" s="533"/>
      <c r="O2228" s="533"/>
      <c r="P2228" s="349"/>
      <c r="Q2228" s="349"/>
    </row>
    <row r="2229" spans="14:17" x14ac:dyDescent="0.3">
      <c r="N2229" s="533"/>
      <c r="O2229" s="533"/>
      <c r="P2229" s="349"/>
      <c r="Q2229" s="349"/>
    </row>
    <row r="2230" spans="14:17" x14ac:dyDescent="0.3">
      <c r="N2230" s="533"/>
      <c r="O2230" s="533"/>
      <c r="P2230" s="349"/>
      <c r="Q2230" s="349"/>
    </row>
    <row r="2231" spans="14:17" x14ac:dyDescent="0.3">
      <c r="N2231" s="533"/>
      <c r="O2231" s="533"/>
      <c r="P2231" s="349"/>
      <c r="Q2231" s="349"/>
    </row>
    <row r="2232" spans="14:17" x14ac:dyDescent="0.3">
      <c r="N2232" s="533"/>
      <c r="O2232" s="533"/>
      <c r="P2232" s="349"/>
      <c r="Q2232" s="349"/>
    </row>
    <row r="2233" spans="14:17" x14ac:dyDescent="0.3">
      <c r="N2233" s="533"/>
      <c r="O2233" s="533"/>
      <c r="P2233" s="349"/>
      <c r="Q2233" s="349"/>
    </row>
    <row r="2234" spans="14:17" x14ac:dyDescent="0.3">
      <c r="N2234" s="533"/>
      <c r="O2234" s="533"/>
      <c r="P2234" s="349"/>
      <c r="Q2234" s="349"/>
    </row>
    <row r="2235" spans="14:17" x14ac:dyDescent="0.3">
      <c r="N2235" s="533"/>
      <c r="O2235" s="533"/>
      <c r="P2235" s="349"/>
      <c r="Q2235" s="349"/>
    </row>
    <row r="2236" spans="14:17" x14ac:dyDescent="0.3">
      <c r="N2236" s="533"/>
      <c r="O2236" s="533"/>
      <c r="P2236" s="349"/>
      <c r="Q2236" s="349"/>
    </row>
    <row r="2237" spans="14:17" x14ac:dyDescent="0.3">
      <c r="N2237" s="533"/>
      <c r="O2237" s="533"/>
      <c r="P2237" s="349"/>
      <c r="Q2237" s="349"/>
    </row>
    <row r="2238" spans="14:17" x14ac:dyDescent="0.3">
      <c r="N2238" s="533"/>
      <c r="O2238" s="533"/>
      <c r="P2238" s="349"/>
      <c r="Q2238" s="349"/>
    </row>
    <row r="2239" spans="14:17" x14ac:dyDescent="0.3">
      <c r="N2239" s="533"/>
      <c r="O2239" s="533"/>
      <c r="P2239" s="349"/>
      <c r="Q2239" s="349"/>
    </row>
    <row r="2240" spans="14:17" x14ac:dyDescent="0.3">
      <c r="N2240" s="533"/>
      <c r="O2240" s="533"/>
      <c r="P2240" s="349"/>
      <c r="Q2240" s="349"/>
    </row>
    <row r="2241" spans="14:17" x14ac:dyDescent="0.3">
      <c r="N2241" s="533"/>
      <c r="O2241" s="533"/>
      <c r="P2241" s="349"/>
      <c r="Q2241" s="349"/>
    </row>
    <row r="2242" spans="14:17" x14ac:dyDescent="0.3">
      <c r="N2242" s="533"/>
      <c r="O2242" s="533"/>
      <c r="P2242" s="349"/>
      <c r="Q2242" s="349"/>
    </row>
    <row r="2243" spans="14:17" x14ac:dyDescent="0.3">
      <c r="N2243" s="533"/>
      <c r="O2243" s="533"/>
      <c r="P2243" s="349"/>
      <c r="Q2243" s="349"/>
    </row>
    <row r="2244" spans="14:17" x14ac:dyDescent="0.3">
      <c r="N2244" s="533"/>
      <c r="O2244" s="533"/>
      <c r="P2244" s="349"/>
      <c r="Q2244" s="349"/>
    </row>
    <row r="2245" spans="14:17" x14ac:dyDescent="0.3">
      <c r="N2245" s="533"/>
      <c r="O2245" s="533"/>
      <c r="P2245" s="349"/>
      <c r="Q2245" s="349"/>
    </row>
    <row r="2246" spans="14:17" x14ac:dyDescent="0.3">
      <c r="N2246" s="533"/>
      <c r="O2246" s="533"/>
      <c r="P2246" s="349"/>
      <c r="Q2246" s="349"/>
    </row>
    <row r="2247" spans="14:17" x14ac:dyDescent="0.3">
      <c r="N2247" s="533"/>
      <c r="O2247" s="533"/>
      <c r="P2247" s="349"/>
      <c r="Q2247" s="349"/>
    </row>
    <row r="2248" spans="14:17" x14ac:dyDescent="0.3">
      <c r="N2248" s="533"/>
      <c r="O2248" s="533"/>
      <c r="P2248" s="349"/>
      <c r="Q2248" s="349"/>
    </row>
    <row r="2249" spans="14:17" x14ac:dyDescent="0.3">
      <c r="N2249" s="533"/>
      <c r="O2249" s="533"/>
      <c r="P2249" s="349"/>
      <c r="Q2249" s="349"/>
    </row>
    <row r="2250" spans="14:17" x14ac:dyDescent="0.3">
      <c r="N2250" s="533"/>
      <c r="O2250" s="533"/>
      <c r="P2250" s="349"/>
      <c r="Q2250" s="349"/>
    </row>
    <row r="2251" spans="14:17" x14ac:dyDescent="0.3">
      <c r="N2251" s="533"/>
      <c r="O2251" s="533"/>
      <c r="P2251" s="349"/>
      <c r="Q2251" s="349"/>
    </row>
    <row r="2252" spans="14:17" x14ac:dyDescent="0.3">
      <c r="N2252" s="533"/>
      <c r="O2252" s="533"/>
      <c r="P2252" s="349"/>
      <c r="Q2252" s="349"/>
    </row>
    <row r="2253" spans="14:17" x14ac:dyDescent="0.3">
      <c r="N2253" s="533"/>
      <c r="O2253" s="533"/>
      <c r="P2253" s="349"/>
      <c r="Q2253" s="349"/>
    </row>
    <row r="2254" spans="14:17" x14ac:dyDescent="0.3">
      <c r="N2254" s="533"/>
      <c r="O2254" s="533"/>
      <c r="P2254" s="349"/>
      <c r="Q2254" s="349"/>
    </row>
    <row r="2255" spans="14:17" x14ac:dyDescent="0.3">
      <c r="N2255" s="533"/>
      <c r="O2255" s="533"/>
      <c r="P2255" s="349"/>
      <c r="Q2255" s="349"/>
    </row>
    <row r="2256" spans="14:17" x14ac:dyDescent="0.3">
      <c r="N2256" s="533"/>
      <c r="O2256" s="533"/>
      <c r="P2256" s="349"/>
      <c r="Q2256" s="349"/>
    </row>
    <row r="2257" spans="14:17" x14ac:dyDescent="0.3">
      <c r="N2257" s="533"/>
      <c r="O2257" s="533"/>
      <c r="P2257" s="349"/>
      <c r="Q2257" s="349"/>
    </row>
    <row r="2258" spans="14:17" x14ac:dyDescent="0.3">
      <c r="N2258" s="533"/>
      <c r="O2258" s="533"/>
      <c r="P2258" s="349"/>
      <c r="Q2258" s="349"/>
    </row>
    <row r="2259" spans="14:17" x14ac:dyDescent="0.3">
      <c r="N2259" s="533"/>
      <c r="O2259" s="533"/>
      <c r="P2259" s="349"/>
      <c r="Q2259" s="349"/>
    </row>
    <row r="2260" spans="14:17" x14ac:dyDescent="0.3">
      <c r="N2260" s="533"/>
      <c r="O2260" s="533"/>
      <c r="P2260" s="349"/>
      <c r="Q2260" s="349"/>
    </row>
    <row r="2261" spans="14:17" x14ac:dyDescent="0.3">
      <c r="N2261" s="533"/>
      <c r="O2261" s="533"/>
      <c r="P2261" s="349"/>
      <c r="Q2261" s="349"/>
    </row>
    <row r="2262" spans="14:17" x14ac:dyDescent="0.3">
      <c r="N2262" s="533"/>
      <c r="O2262" s="533"/>
      <c r="P2262" s="349"/>
      <c r="Q2262" s="349"/>
    </row>
    <row r="2263" spans="14:17" x14ac:dyDescent="0.3">
      <c r="N2263" s="533"/>
      <c r="O2263" s="533"/>
      <c r="P2263" s="349"/>
      <c r="Q2263" s="349"/>
    </row>
    <row r="2264" spans="14:17" x14ac:dyDescent="0.3">
      <c r="N2264" s="533"/>
      <c r="O2264" s="533"/>
      <c r="P2264" s="349"/>
      <c r="Q2264" s="349"/>
    </row>
    <row r="2265" spans="14:17" x14ac:dyDescent="0.3">
      <c r="N2265" s="533"/>
      <c r="O2265" s="533"/>
      <c r="P2265" s="349"/>
      <c r="Q2265" s="349"/>
    </row>
    <row r="2266" spans="14:17" x14ac:dyDescent="0.3">
      <c r="N2266" s="533"/>
      <c r="O2266" s="533"/>
      <c r="P2266" s="349"/>
      <c r="Q2266" s="349"/>
    </row>
    <row r="2267" spans="14:17" x14ac:dyDescent="0.3">
      <c r="N2267" s="533"/>
      <c r="O2267" s="533"/>
      <c r="P2267" s="349"/>
      <c r="Q2267" s="349"/>
    </row>
    <row r="2268" spans="14:17" x14ac:dyDescent="0.3">
      <c r="N2268" s="533"/>
      <c r="O2268" s="533"/>
      <c r="P2268" s="349"/>
      <c r="Q2268" s="349"/>
    </row>
    <row r="2269" spans="14:17" x14ac:dyDescent="0.3">
      <c r="N2269" s="533"/>
      <c r="O2269" s="533"/>
      <c r="P2269" s="349"/>
      <c r="Q2269" s="349"/>
    </row>
    <row r="2270" spans="14:17" x14ac:dyDescent="0.3">
      <c r="N2270" s="533"/>
      <c r="O2270" s="533"/>
      <c r="P2270" s="349"/>
      <c r="Q2270" s="349"/>
    </row>
    <row r="2271" spans="14:17" x14ac:dyDescent="0.3">
      <c r="N2271" s="533"/>
      <c r="O2271" s="533"/>
      <c r="P2271" s="349"/>
      <c r="Q2271" s="349"/>
    </row>
    <row r="2272" spans="14:17" x14ac:dyDescent="0.3">
      <c r="N2272" s="533"/>
      <c r="O2272" s="533"/>
      <c r="P2272" s="349"/>
      <c r="Q2272" s="349"/>
    </row>
    <row r="2273" spans="14:17" x14ac:dyDescent="0.3">
      <c r="N2273" s="533"/>
      <c r="O2273" s="533"/>
      <c r="P2273" s="349"/>
      <c r="Q2273" s="349"/>
    </row>
    <row r="2274" spans="14:17" x14ac:dyDescent="0.3">
      <c r="N2274" s="533"/>
      <c r="O2274" s="533"/>
      <c r="P2274" s="349"/>
      <c r="Q2274" s="349"/>
    </row>
    <row r="2275" spans="14:17" x14ac:dyDescent="0.3">
      <c r="N2275" s="533"/>
      <c r="O2275" s="533"/>
      <c r="P2275" s="349"/>
      <c r="Q2275" s="349"/>
    </row>
    <row r="2276" spans="14:17" x14ac:dyDescent="0.3">
      <c r="N2276" s="533"/>
      <c r="O2276" s="533"/>
      <c r="P2276" s="349"/>
      <c r="Q2276" s="349"/>
    </row>
    <row r="2277" spans="14:17" x14ac:dyDescent="0.3">
      <c r="N2277" s="533"/>
      <c r="O2277" s="533"/>
      <c r="P2277" s="349"/>
      <c r="Q2277" s="349"/>
    </row>
    <row r="2278" spans="14:17" x14ac:dyDescent="0.3">
      <c r="N2278" s="533"/>
      <c r="O2278" s="533"/>
      <c r="P2278" s="349"/>
      <c r="Q2278" s="349"/>
    </row>
    <row r="2279" spans="14:17" x14ac:dyDescent="0.3">
      <c r="N2279" s="533"/>
      <c r="O2279" s="533"/>
      <c r="P2279" s="349"/>
      <c r="Q2279" s="349"/>
    </row>
    <row r="2280" spans="14:17" x14ac:dyDescent="0.3">
      <c r="N2280" s="533"/>
      <c r="O2280" s="533"/>
      <c r="P2280" s="349"/>
      <c r="Q2280" s="349"/>
    </row>
    <row r="2281" spans="14:17" x14ac:dyDescent="0.3">
      <c r="N2281" s="533"/>
      <c r="O2281" s="533"/>
      <c r="P2281" s="349"/>
      <c r="Q2281" s="349"/>
    </row>
    <row r="2282" spans="14:17" x14ac:dyDescent="0.3">
      <c r="N2282" s="533"/>
      <c r="O2282" s="533"/>
      <c r="P2282" s="349"/>
      <c r="Q2282" s="349"/>
    </row>
    <row r="2283" spans="14:17" x14ac:dyDescent="0.3">
      <c r="N2283" s="533"/>
      <c r="O2283" s="533"/>
      <c r="P2283" s="349"/>
      <c r="Q2283" s="349"/>
    </row>
    <row r="2284" spans="14:17" x14ac:dyDescent="0.3">
      <c r="N2284" s="533"/>
      <c r="O2284" s="533"/>
      <c r="P2284" s="349"/>
      <c r="Q2284" s="349"/>
    </row>
    <row r="2285" spans="14:17" x14ac:dyDescent="0.3">
      <c r="N2285" s="533"/>
      <c r="O2285" s="533"/>
      <c r="P2285" s="349"/>
      <c r="Q2285" s="349"/>
    </row>
    <row r="2286" spans="14:17" x14ac:dyDescent="0.3">
      <c r="N2286" s="533"/>
      <c r="O2286" s="533"/>
      <c r="P2286" s="349"/>
      <c r="Q2286" s="349"/>
    </row>
    <row r="2287" spans="14:17" x14ac:dyDescent="0.3">
      <c r="N2287" s="533"/>
      <c r="O2287" s="533"/>
      <c r="P2287" s="349"/>
      <c r="Q2287" s="349"/>
    </row>
    <row r="2288" spans="14:17" x14ac:dyDescent="0.3">
      <c r="N2288" s="533"/>
      <c r="O2288" s="533"/>
      <c r="P2288" s="349"/>
      <c r="Q2288" s="349"/>
    </row>
    <row r="2289" spans="14:17" x14ac:dyDescent="0.3">
      <c r="N2289" s="533"/>
      <c r="O2289" s="533"/>
      <c r="P2289" s="349"/>
      <c r="Q2289" s="349"/>
    </row>
    <row r="2290" spans="14:17" x14ac:dyDescent="0.3">
      <c r="N2290" s="533"/>
      <c r="O2290" s="533"/>
      <c r="P2290" s="349"/>
      <c r="Q2290" s="349"/>
    </row>
    <row r="2291" spans="14:17" x14ac:dyDescent="0.3">
      <c r="N2291" s="533"/>
      <c r="O2291" s="533"/>
      <c r="P2291" s="349"/>
      <c r="Q2291" s="349"/>
    </row>
    <row r="2292" spans="14:17" x14ac:dyDescent="0.3">
      <c r="N2292" s="533"/>
      <c r="O2292" s="533"/>
      <c r="P2292" s="349"/>
      <c r="Q2292" s="349"/>
    </row>
    <row r="2293" spans="14:17" x14ac:dyDescent="0.3">
      <c r="N2293" s="533"/>
      <c r="O2293" s="533"/>
      <c r="P2293" s="349"/>
      <c r="Q2293" s="349"/>
    </row>
    <row r="2294" spans="14:17" x14ac:dyDescent="0.3">
      <c r="N2294" s="533"/>
      <c r="O2294" s="533"/>
      <c r="P2294" s="349"/>
      <c r="Q2294" s="349"/>
    </row>
    <row r="2295" spans="14:17" x14ac:dyDescent="0.3">
      <c r="N2295" s="533"/>
      <c r="O2295" s="533"/>
      <c r="P2295" s="349"/>
      <c r="Q2295" s="349"/>
    </row>
    <row r="2296" spans="14:17" x14ac:dyDescent="0.3">
      <c r="N2296" s="533"/>
      <c r="O2296" s="533"/>
      <c r="P2296" s="349"/>
      <c r="Q2296" s="349"/>
    </row>
    <row r="2297" spans="14:17" x14ac:dyDescent="0.3">
      <c r="N2297" s="533"/>
      <c r="O2297" s="533"/>
      <c r="P2297" s="349"/>
      <c r="Q2297" s="349"/>
    </row>
    <row r="2298" spans="14:17" x14ac:dyDescent="0.3">
      <c r="N2298" s="533"/>
      <c r="O2298" s="533"/>
      <c r="P2298" s="349"/>
      <c r="Q2298" s="349"/>
    </row>
    <row r="2299" spans="14:17" x14ac:dyDescent="0.3">
      <c r="N2299" s="533"/>
      <c r="O2299" s="533"/>
      <c r="P2299" s="349"/>
      <c r="Q2299" s="349"/>
    </row>
    <row r="2300" spans="14:17" x14ac:dyDescent="0.3">
      <c r="N2300" s="533"/>
      <c r="O2300" s="533"/>
      <c r="P2300" s="349"/>
      <c r="Q2300" s="349"/>
    </row>
    <row r="2301" spans="14:17" x14ac:dyDescent="0.3">
      <c r="N2301" s="533"/>
      <c r="O2301" s="533"/>
      <c r="P2301" s="349"/>
      <c r="Q2301" s="349"/>
    </row>
    <row r="2302" spans="14:17" x14ac:dyDescent="0.3">
      <c r="N2302" s="533"/>
      <c r="O2302" s="533"/>
      <c r="P2302" s="349"/>
      <c r="Q2302" s="349"/>
    </row>
    <row r="2303" spans="14:17" x14ac:dyDescent="0.3">
      <c r="N2303" s="533"/>
      <c r="O2303" s="533"/>
      <c r="P2303" s="349"/>
      <c r="Q2303" s="349"/>
    </row>
    <row r="2304" spans="14:17" x14ac:dyDescent="0.3">
      <c r="N2304" s="533"/>
      <c r="O2304" s="533"/>
      <c r="P2304" s="349"/>
      <c r="Q2304" s="349"/>
    </row>
    <row r="2305" spans="14:17" x14ac:dyDescent="0.3">
      <c r="N2305" s="533"/>
      <c r="O2305" s="533"/>
      <c r="P2305" s="349"/>
      <c r="Q2305" s="349"/>
    </row>
    <row r="2306" spans="14:17" x14ac:dyDescent="0.3">
      <c r="N2306" s="533"/>
      <c r="O2306" s="533"/>
      <c r="P2306" s="349"/>
      <c r="Q2306" s="349"/>
    </row>
    <row r="2307" spans="14:17" x14ac:dyDescent="0.3">
      <c r="N2307" s="533"/>
      <c r="O2307" s="533"/>
      <c r="P2307" s="349"/>
      <c r="Q2307" s="349"/>
    </row>
    <row r="2308" spans="14:17" x14ac:dyDescent="0.3">
      <c r="N2308" s="533"/>
      <c r="O2308" s="533"/>
      <c r="P2308" s="349"/>
      <c r="Q2308" s="349"/>
    </row>
    <row r="2309" spans="14:17" x14ac:dyDescent="0.3">
      <c r="N2309" s="533"/>
      <c r="O2309" s="533"/>
      <c r="P2309" s="349"/>
      <c r="Q2309" s="349"/>
    </row>
    <row r="2310" spans="14:17" x14ac:dyDescent="0.3">
      <c r="N2310" s="533"/>
      <c r="O2310" s="533"/>
      <c r="P2310" s="349"/>
      <c r="Q2310" s="349"/>
    </row>
    <row r="2311" spans="14:17" x14ac:dyDescent="0.3">
      <c r="N2311" s="533"/>
      <c r="O2311" s="533"/>
      <c r="P2311" s="349"/>
      <c r="Q2311" s="349"/>
    </row>
    <row r="2312" spans="14:17" x14ac:dyDescent="0.3">
      <c r="N2312" s="533"/>
      <c r="O2312" s="533"/>
      <c r="P2312" s="349"/>
      <c r="Q2312" s="349"/>
    </row>
    <row r="2313" spans="14:17" x14ac:dyDescent="0.3">
      <c r="N2313" s="533"/>
      <c r="O2313" s="533"/>
      <c r="P2313" s="349"/>
      <c r="Q2313" s="349"/>
    </row>
    <row r="2314" spans="14:17" x14ac:dyDescent="0.3">
      <c r="N2314" s="533"/>
      <c r="O2314" s="533"/>
      <c r="P2314" s="349"/>
      <c r="Q2314" s="349"/>
    </row>
    <row r="2315" spans="14:17" x14ac:dyDescent="0.3">
      <c r="N2315" s="533"/>
      <c r="O2315" s="533"/>
      <c r="P2315" s="349"/>
      <c r="Q2315" s="349"/>
    </row>
    <row r="2316" spans="14:17" x14ac:dyDescent="0.3">
      <c r="N2316" s="533"/>
      <c r="O2316" s="533"/>
      <c r="P2316" s="349"/>
      <c r="Q2316" s="349"/>
    </row>
    <row r="2317" spans="14:17" x14ac:dyDescent="0.3">
      <c r="N2317" s="533"/>
      <c r="O2317" s="533"/>
      <c r="P2317" s="349"/>
      <c r="Q2317" s="349"/>
    </row>
    <row r="2318" spans="14:17" x14ac:dyDescent="0.3">
      <c r="N2318" s="533"/>
      <c r="O2318" s="533"/>
      <c r="P2318" s="349"/>
      <c r="Q2318" s="349"/>
    </row>
    <row r="2319" spans="14:17" x14ac:dyDescent="0.3">
      <c r="N2319" s="533"/>
      <c r="O2319" s="533"/>
      <c r="P2319" s="349"/>
      <c r="Q2319" s="349"/>
    </row>
    <row r="2320" spans="14:17" x14ac:dyDescent="0.3">
      <c r="N2320" s="533"/>
      <c r="O2320" s="533"/>
      <c r="P2320" s="349"/>
      <c r="Q2320" s="349"/>
    </row>
    <row r="2321" spans="14:17" x14ac:dyDescent="0.3">
      <c r="N2321" s="533"/>
      <c r="O2321" s="533"/>
      <c r="P2321" s="349"/>
      <c r="Q2321" s="349"/>
    </row>
    <row r="2322" spans="14:17" x14ac:dyDescent="0.3">
      <c r="N2322" s="533"/>
      <c r="O2322" s="533"/>
      <c r="P2322" s="349"/>
      <c r="Q2322" s="349"/>
    </row>
    <row r="2323" spans="14:17" x14ac:dyDescent="0.3">
      <c r="N2323" s="533"/>
      <c r="O2323" s="533"/>
      <c r="P2323" s="349"/>
      <c r="Q2323" s="349"/>
    </row>
    <row r="2324" spans="14:17" x14ac:dyDescent="0.3">
      <c r="N2324" s="533"/>
      <c r="O2324" s="533"/>
      <c r="P2324" s="349"/>
      <c r="Q2324" s="349"/>
    </row>
    <row r="2325" spans="14:17" x14ac:dyDescent="0.3">
      <c r="N2325" s="533"/>
      <c r="O2325" s="533"/>
      <c r="P2325" s="349"/>
      <c r="Q2325" s="349"/>
    </row>
    <row r="2326" spans="14:17" x14ac:dyDescent="0.3">
      <c r="N2326" s="533"/>
      <c r="O2326" s="533"/>
      <c r="P2326" s="349"/>
      <c r="Q2326" s="349"/>
    </row>
    <row r="2327" spans="14:17" x14ac:dyDescent="0.3">
      <c r="N2327" s="533"/>
      <c r="O2327" s="533"/>
      <c r="P2327" s="349"/>
      <c r="Q2327" s="349"/>
    </row>
    <row r="2328" spans="14:17" x14ac:dyDescent="0.3">
      <c r="N2328" s="533"/>
      <c r="O2328" s="533"/>
      <c r="P2328" s="349"/>
      <c r="Q2328" s="349"/>
    </row>
    <row r="2329" spans="14:17" x14ac:dyDescent="0.3">
      <c r="N2329" s="533"/>
      <c r="O2329" s="533"/>
      <c r="P2329" s="349"/>
      <c r="Q2329" s="349"/>
    </row>
    <row r="2330" spans="14:17" x14ac:dyDescent="0.3">
      <c r="N2330" s="533"/>
      <c r="O2330" s="533"/>
      <c r="P2330" s="349"/>
      <c r="Q2330" s="349"/>
    </row>
    <row r="2331" spans="14:17" x14ac:dyDescent="0.3">
      <c r="N2331" s="533"/>
      <c r="O2331" s="533"/>
      <c r="P2331" s="349"/>
      <c r="Q2331" s="349"/>
    </row>
    <row r="2332" spans="14:17" x14ac:dyDescent="0.3">
      <c r="N2332" s="533"/>
      <c r="O2332" s="533"/>
      <c r="P2332" s="349"/>
      <c r="Q2332" s="349"/>
    </row>
    <row r="2333" spans="14:17" x14ac:dyDescent="0.3">
      <c r="N2333" s="533"/>
      <c r="O2333" s="533"/>
      <c r="P2333" s="349"/>
      <c r="Q2333" s="349"/>
    </row>
    <row r="2334" spans="14:17" x14ac:dyDescent="0.3">
      <c r="N2334" s="533"/>
      <c r="O2334" s="533"/>
      <c r="P2334" s="349"/>
      <c r="Q2334" s="349"/>
    </row>
    <row r="2335" spans="14:17" x14ac:dyDescent="0.3">
      <c r="N2335" s="533"/>
      <c r="O2335" s="533"/>
      <c r="P2335" s="349"/>
      <c r="Q2335" s="349"/>
    </row>
    <row r="2336" spans="14:17" x14ac:dyDescent="0.3">
      <c r="N2336" s="533"/>
      <c r="O2336" s="533"/>
      <c r="P2336" s="349"/>
      <c r="Q2336" s="349"/>
    </row>
    <row r="2337" spans="14:17" x14ac:dyDescent="0.3">
      <c r="N2337" s="533"/>
      <c r="O2337" s="533"/>
      <c r="P2337" s="349"/>
      <c r="Q2337" s="349"/>
    </row>
    <row r="2338" spans="14:17" x14ac:dyDescent="0.3">
      <c r="N2338" s="533"/>
      <c r="O2338" s="533"/>
      <c r="P2338" s="349"/>
      <c r="Q2338" s="349"/>
    </row>
    <row r="2339" spans="14:17" x14ac:dyDescent="0.3">
      <c r="N2339" s="533"/>
      <c r="O2339" s="533"/>
      <c r="P2339" s="349"/>
      <c r="Q2339" s="349"/>
    </row>
    <row r="2340" spans="14:17" x14ac:dyDescent="0.3">
      <c r="N2340" s="533"/>
      <c r="O2340" s="533"/>
      <c r="P2340" s="349"/>
      <c r="Q2340" s="349"/>
    </row>
    <row r="2341" spans="14:17" x14ac:dyDescent="0.3">
      <c r="N2341" s="533"/>
      <c r="O2341" s="533"/>
      <c r="P2341" s="349"/>
      <c r="Q2341" s="349"/>
    </row>
    <row r="2342" spans="14:17" x14ac:dyDescent="0.3">
      <c r="N2342" s="533"/>
      <c r="O2342" s="533"/>
      <c r="P2342" s="349"/>
      <c r="Q2342" s="349"/>
    </row>
    <row r="2343" spans="14:17" x14ac:dyDescent="0.3">
      <c r="N2343" s="533"/>
      <c r="O2343" s="533"/>
      <c r="P2343" s="349"/>
      <c r="Q2343" s="349"/>
    </row>
    <row r="2344" spans="14:17" x14ac:dyDescent="0.3">
      <c r="N2344" s="533"/>
      <c r="O2344" s="533"/>
      <c r="P2344" s="349"/>
      <c r="Q2344" s="349"/>
    </row>
    <row r="2345" spans="14:17" x14ac:dyDescent="0.3">
      <c r="N2345" s="533"/>
      <c r="O2345" s="533"/>
      <c r="P2345" s="349"/>
      <c r="Q2345" s="349"/>
    </row>
    <row r="2346" spans="14:17" x14ac:dyDescent="0.3">
      <c r="N2346" s="533"/>
      <c r="O2346" s="533"/>
      <c r="P2346" s="349"/>
      <c r="Q2346" s="349"/>
    </row>
    <row r="2347" spans="14:17" x14ac:dyDescent="0.3">
      <c r="N2347" s="533"/>
      <c r="O2347" s="533"/>
      <c r="P2347" s="349"/>
      <c r="Q2347" s="349"/>
    </row>
    <row r="2348" spans="14:17" x14ac:dyDescent="0.3">
      <c r="N2348" s="533"/>
      <c r="O2348" s="533"/>
      <c r="P2348" s="349"/>
      <c r="Q2348" s="349"/>
    </row>
    <row r="2349" spans="14:17" x14ac:dyDescent="0.3">
      <c r="N2349" s="533"/>
      <c r="O2349" s="533"/>
      <c r="P2349" s="349"/>
      <c r="Q2349" s="349"/>
    </row>
    <row r="2350" spans="14:17" x14ac:dyDescent="0.3">
      <c r="N2350" s="533"/>
      <c r="O2350" s="533"/>
      <c r="P2350" s="349"/>
      <c r="Q2350" s="349"/>
    </row>
    <row r="2351" spans="14:17" x14ac:dyDescent="0.3">
      <c r="N2351" s="533"/>
      <c r="O2351" s="533"/>
      <c r="P2351" s="349"/>
      <c r="Q2351" s="349"/>
    </row>
    <row r="2352" spans="14:17" x14ac:dyDescent="0.3">
      <c r="N2352" s="533"/>
      <c r="O2352" s="533"/>
      <c r="P2352" s="349"/>
      <c r="Q2352" s="349"/>
    </row>
    <row r="2353" spans="14:17" x14ac:dyDescent="0.3">
      <c r="N2353" s="533"/>
      <c r="O2353" s="533"/>
      <c r="P2353" s="349"/>
      <c r="Q2353" s="349"/>
    </row>
    <row r="2354" spans="14:17" x14ac:dyDescent="0.3">
      <c r="N2354" s="533"/>
      <c r="O2354" s="533"/>
      <c r="P2354" s="349"/>
      <c r="Q2354" s="349"/>
    </row>
    <row r="2355" spans="14:17" x14ac:dyDescent="0.3">
      <c r="N2355" s="533"/>
      <c r="O2355" s="533"/>
      <c r="P2355" s="349"/>
      <c r="Q2355" s="349"/>
    </row>
    <row r="2356" spans="14:17" x14ac:dyDescent="0.3">
      <c r="N2356" s="533"/>
      <c r="O2356" s="533"/>
      <c r="P2356" s="349"/>
      <c r="Q2356" s="349"/>
    </row>
    <row r="2357" spans="14:17" x14ac:dyDescent="0.3">
      <c r="N2357" s="533"/>
      <c r="O2357" s="533"/>
      <c r="P2357" s="349"/>
      <c r="Q2357" s="349"/>
    </row>
    <row r="2358" spans="14:17" x14ac:dyDescent="0.3">
      <c r="N2358" s="533"/>
      <c r="O2358" s="533"/>
      <c r="P2358" s="349"/>
      <c r="Q2358" s="349"/>
    </row>
    <row r="2359" spans="14:17" x14ac:dyDescent="0.3">
      <c r="N2359" s="533"/>
      <c r="O2359" s="533"/>
      <c r="P2359" s="349"/>
      <c r="Q2359" s="349"/>
    </row>
    <row r="2360" spans="14:17" x14ac:dyDescent="0.3">
      <c r="N2360" s="533"/>
      <c r="O2360" s="533"/>
      <c r="P2360" s="349"/>
      <c r="Q2360" s="349"/>
    </row>
    <row r="2361" spans="14:17" x14ac:dyDescent="0.3">
      <c r="N2361" s="533"/>
      <c r="O2361" s="533"/>
      <c r="P2361" s="349"/>
      <c r="Q2361" s="349"/>
    </row>
    <row r="2362" spans="14:17" x14ac:dyDescent="0.3">
      <c r="N2362" s="533"/>
      <c r="O2362" s="533"/>
      <c r="P2362" s="349"/>
      <c r="Q2362" s="349"/>
    </row>
    <row r="2363" spans="14:17" x14ac:dyDescent="0.3">
      <c r="N2363" s="533"/>
      <c r="O2363" s="533"/>
      <c r="P2363" s="349"/>
      <c r="Q2363" s="349"/>
    </row>
    <row r="2364" spans="14:17" x14ac:dyDescent="0.3">
      <c r="N2364" s="533"/>
      <c r="O2364" s="533"/>
      <c r="P2364" s="349"/>
      <c r="Q2364" s="349"/>
    </row>
    <row r="2365" spans="14:17" x14ac:dyDescent="0.3">
      <c r="N2365" s="533"/>
      <c r="O2365" s="533"/>
      <c r="P2365" s="349"/>
      <c r="Q2365" s="349"/>
    </row>
    <row r="2366" spans="14:17" x14ac:dyDescent="0.3">
      <c r="N2366" s="533"/>
      <c r="O2366" s="533"/>
      <c r="P2366" s="349"/>
      <c r="Q2366" s="349"/>
    </row>
    <row r="2367" spans="14:17" x14ac:dyDescent="0.3">
      <c r="N2367" s="533"/>
      <c r="O2367" s="533"/>
      <c r="P2367" s="349"/>
      <c r="Q2367" s="349"/>
    </row>
    <row r="2368" spans="14:17" x14ac:dyDescent="0.3">
      <c r="N2368" s="533"/>
      <c r="O2368" s="533"/>
      <c r="P2368" s="349"/>
      <c r="Q2368" s="349"/>
    </row>
    <row r="2369" spans="14:17" x14ac:dyDescent="0.3">
      <c r="N2369" s="533"/>
      <c r="O2369" s="533"/>
      <c r="P2369" s="349"/>
      <c r="Q2369" s="349"/>
    </row>
    <row r="2370" spans="14:17" x14ac:dyDescent="0.3">
      <c r="N2370" s="533"/>
      <c r="O2370" s="533"/>
      <c r="P2370" s="349"/>
      <c r="Q2370" s="349"/>
    </row>
    <row r="2371" spans="14:17" x14ac:dyDescent="0.3">
      <c r="N2371" s="533"/>
      <c r="O2371" s="533"/>
      <c r="P2371" s="349"/>
      <c r="Q2371" s="349"/>
    </row>
    <row r="2372" spans="14:17" x14ac:dyDescent="0.3">
      <c r="N2372" s="533"/>
      <c r="O2372" s="533"/>
      <c r="P2372" s="349"/>
      <c r="Q2372" s="349"/>
    </row>
    <row r="2373" spans="14:17" x14ac:dyDescent="0.3">
      <c r="N2373" s="533"/>
      <c r="O2373" s="533"/>
      <c r="P2373" s="349"/>
      <c r="Q2373" s="349"/>
    </row>
    <row r="2374" spans="14:17" x14ac:dyDescent="0.3">
      <c r="N2374" s="533"/>
      <c r="O2374" s="533"/>
      <c r="P2374" s="349"/>
      <c r="Q2374" s="349"/>
    </row>
    <row r="2375" spans="14:17" x14ac:dyDescent="0.3">
      <c r="N2375" s="533"/>
      <c r="O2375" s="533"/>
      <c r="P2375" s="349"/>
      <c r="Q2375" s="349"/>
    </row>
    <row r="2376" spans="14:17" x14ac:dyDescent="0.3">
      <c r="N2376" s="533"/>
      <c r="O2376" s="533"/>
      <c r="P2376" s="349"/>
      <c r="Q2376" s="349"/>
    </row>
    <row r="2377" spans="14:17" x14ac:dyDescent="0.3">
      <c r="N2377" s="533"/>
      <c r="O2377" s="533"/>
      <c r="P2377" s="349"/>
      <c r="Q2377" s="349"/>
    </row>
    <row r="2378" spans="14:17" x14ac:dyDescent="0.3">
      <c r="N2378" s="533"/>
      <c r="O2378" s="533"/>
      <c r="P2378" s="349"/>
      <c r="Q2378" s="349"/>
    </row>
    <row r="2379" spans="14:17" x14ac:dyDescent="0.3">
      <c r="N2379" s="533"/>
      <c r="O2379" s="533"/>
      <c r="P2379" s="349"/>
      <c r="Q2379" s="349"/>
    </row>
    <row r="2380" spans="14:17" x14ac:dyDescent="0.3">
      <c r="N2380" s="533"/>
      <c r="O2380" s="533"/>
      <c r="P2380" s="349"/>
      <c r="Q2380" s="349"/>
    </row>
    <row r="2381" spans="14:17" x14ac:dyDescent="0.3">
      <c r="N2381" s="533"/>
      <c r="O2381" s="533"/>
      <c r="P2381" s="349"/>
      <c r="Q2381" s="349"/>
    </row>
    <row r="2382" spans="14:17" x14ac:dyDescent="0.3">
      <c r="N2382" s="533"/>
      <c r="O2382" s="533"/>
      <c r="P2382" s="349"/>
      <c r="Q2382" s="349"/>
    </row>
    <row r="2383" spans="14:17" x14ac:dyDescent="0.3">
      <c r="N2383" s="533"/>
      <c r="O2383" s="533"/>
      <c r="P2383" s="349"/>
      <c r="Q2383" s="349"/>
    </row>
    <row r="2384" spans="14:17" x14ac:dyDescent="0.3">
      <c r="N2384" s="533"/>
      <c r="O2384" s="533"/>
      <c r="P2384" s="349"/>
      <c r="Q2384" s="349"/>
    </row>
    <row r="2385" spans="14:17" x14ac:dyDescent="0.3">
      <c r="N2385" s="533"/>
      <c r="O2385" s="533"/>
      <c r="P2385" s="349"/>
      <c r="Q2385" s="349"/>
    </row>
    <row r="2386" spans="14:17" x14ac:dyDescent="0.3">
      <c r="N2386" s="533"/>
      <c r="O2386" s="533"/>
      <c r="P2386" s="349"/>
      <c r="Q2386" s="349"/>
    </row>
    <row r="2387" spans="14:17" x14ac:dyDescent="0.3">
      <c r="N2387" s="533"/>
      <c r="O2387" s="533"/>
      <c r="P2387" s="349"/>
      <c r="Q2387" s="349"/>
    </row>
    <row r="2388" spans="14:17" x14ac:dyDescent="0.3">
      <c r="N2388" s="533"/>
      <c r="O2388" s="533"/>
      <c r="P2388" s="349"/>
      <c r="Q2388" s="349"/>
    </row>
    <row r="2389" spans="14:17" x14ac:dyDescent="0.3">
      <c r="N2389" s="533"/>
      <c r="O2389" s="533"/>
      <c r="P2389" s="349"/>
      <c r="Q2389" s="349"/>
    </row>
    <row r="2390" spans="14:17" x14ac:dyDescent="0.3">
      <c r="N2390" s="533"/>
      <c r="O2390" s="533"/>
      <c r="P2390" s="349"/>
      <c r="Q2390" s="349"/>
    </row>
    <row r="2391" spans="14:17" x14ac:dyDescent="0.3">
      <c r="N2391" s="533"/>
      <c r="O2391" s="533"/>
      <c r="P2391" s="349"/>
      <c r="Q2391" s="349"/>
    </row>
    <row r="2392" spans="14:17" x14ac:dyDescent="0.3">
      <c r="N2392" s="533"/>
      <c r="O2392" s="533"/>
      <c r="P2392" s="349"/>
      <c r="Q2392" s="349"/>
    </row>
    <row r="2393" spans="14:17" x14ac:dyDescent="0.3">
      <c r="N2393" s="533"/>
      <c r="O2393" s="533"/>
      <c r="P2393" s="349"/>
      <c r="Q2393" s="349"/>
    </row>
    <row r="2394" spans="14:17" x14ac:dyDescent="0.3">
      <c r="N2394" s="533"/>
      <c r="O2394" s="533"/>
      <c r="P2394" s="349"/>
      <c r="Q2394" s="349"/>
    </row>
    <row r="2395" spans="14:17" x14ac:dyDescent="0.3">
      <c r="N2395" s="533"/>
      <c r="O2395" s="533"/>
      <c r="P2395" s="349"/>
      <c r="Q2395" s="349"/>
    </row>
    <row r="2396" spans="14:17" x14ac:dyDescent="0.3">
      <c r="N2396" s="533"/>
      <c r="O2396" s="533"/>
      <c r="P2396" s="349"/>
      <c r="Q2396" s="349"/>
    </row>
    <row r="2397" spans="14:17" x14ac:dyDescent="0.3">
      <c r="N2397" s="533"/>
      <c r="O2397" s="533"/>
      <c r="P2397" s="349"/>
      <c r="Q2397" s="349"/>
    </row>
    <row r="2398" spans="14:17" x14ac:dyDescent="0.3">
      <c r="N2398" s="533"/>
      <c r="O2398" s="533"/>
      <c r="P2398" s="349"/>
      <c r="Q2398" s="349"/>
    </row>
    <row r="2399" spans="14:17" x14ac:dyDescent="0.3">
      <c r="N2399" s="533"/>
      <c r="O2399" s="533"/>
      <c r="P2399" s="349"/>
      <c r="Q2399" s="349"/>
    </row>
    <row r="2400" spans="14:17" x14ac:dyDescent="0.3">
      <c r="N2400" s="533"/>
      <c r="O2400" s="533"/>
      <c r="P2400" s="349"/>
      <c r="Q2400" s="349"/>
    </row>
    <row r="2401" spans="14:17" x14ac:dyDescent="0.3">
      <c r="N2401" s="533"/>
      <c r="O2401" s="533"/>
      <c r="P2401" s="349"/>
      <c r="Q2401" s="349"/>
    </row>
    <row r="2402" spans="14:17" x14ac:dyDescent="0.3">
      <c r="N2402" s="533"/>
      <c r="O2402" s="533"/>
      <c r="P2402" s="349"/>
      <c r="Q2402" s="349"/>
    </row>
    <row r="2403" spans="14:17" x14ac:dyDescent="0.3">
      <c r="N2403" s="533"/>
      <c r="O2403" s="533"/>
      <c r="P2403" s="349"/>
      <c r="Q2403" s="349"/>
    </row>
    <row r="2404" spans="14:17" x14ac:dyDescent="0.3">
      <c r="N2404" s="533"/>
      <c r="O2404" s="533"/>
      <c r="P2404" s="349"/>
      <c r="Q2404" s="349"/>
    </row>
    <row r="2405" spans="14:17" x14ac:dyDescent="0.3">
      <c r="N2405" s="533"/>
      <c r="O2405" s="533"/>
      <c r="P2405" s="349"/>
      <c r="Q2405" s="349"/>
    </row>
    <row r="2406" spans="14:17" x14ac:dyDescent="0.3">
      <c r="N2406" s="533"/>
      <c r="O2406" s="533"/>
      <c r="P2406" s="349"/>
      <c r="Q2406" s="349"/>
    </row>
    <row r="2407" spans="14:17" x14ac:dyDescent="0.3">
      <c r="N2407" s="533"/>
      <c r="O2407" s="533"/>
      <c r="P2407" s="349"/>
      <c r="Q2407" s="349"/>
    </row>
    <row r="2408" spans="14:17" x14ac:dyDescent="0.3">
      <c r="N2408" s="533"/>
      <c r="O2408" s="533"/>
      <c r="P2408" s="349"/>
      <c r="Q2408" s="349"/>
    </row>
    <row r="2409" spans="14:17" x14ac:dyDescent="0.3">
      <c r="N2409" s="533"/>
      <c r="O2409" s="533"/>
      <c r="P2409" s="349"/>
      <c r="Q2409" s="349"/>
    </row>
    <row r="2410" spans="14:17" x14ac:dyDescent="0.3">
      <c r="N2410" s="533"/>
      <c r="O2410" s="533"/>
      <c r="P2410" s="349"/>
      <c r="Q2410" s="349"/>
    </row>
    <row r="2411" spans="14:17" x14ac:dyDescent="0.3">
      <c r="N2411" s="533"/>
      <c r="O2411" s="533"/>
      <c r="P2411" s="349"/>
      <c r="Q2411" s="349"/>
    </row>
    <row r="2412" spans="14:17" x14ac:dyDescent="0.3">
      <c r="N2412" s="533"/>
      <c r="O2412" s="533"/>
      <c r="P2412" s="349"/>
      <c r="Q2412" s="349"/>
    </row>
    <row r="2413" spans="14:17" x14ac:dyDescent="0.3">
      <c r="N2413" s="533"/>
      <c r="O2413" s="533"/>
      <c r="P2413" s="349"/>
      <c r="Q2413" s="349"/>
    </row>
    <row r="2414" spans="14:17" x14ac:dyDescent="0.3">
      <c r="N2414" s="533"/>
      <c r="O2414" s="533"/>
      <c r="P2414" s="349"/>
      <c r="Q2414" s="349"/>
    </row>
    <row r="2415" spans="14:17" x14ac:dyDescent="0.3">
      <c r="N2415" s="533"/>
      <c r="O2415" s="533"/>
      <c r="P2415" s="349"/>
      <c r="Q2415" s="349"/>
    </row>
    <row r="2416" spans="14:17" x14ac:dyDescent="0.3">
      <c r="N2416" s="533"/>
      <c r="O2416" s="533"/>
      <c r="P2416" s="349"/>
      <c r="Q2416" s="349"/>
    </row>
    <row r="2417" spans="14:17" x14ac:dyDescent="0.3">
      <c r="N2417" s="533"/>
      <c r="O2417" s="533"/>
      <c r="P2417" s="349"/>
      <c r="Q2417" s="349"/>
    </row>
    <row r="2418" spans="14:17" x14ac:dyDescent="0.3">
      <c r="N2418" s="533"/>
      <c r="O2418" s="533"/>
      <c r="P2418" s="349"/>
      <c r="Q2418" s="349"/>
    </row>
    <row r="2419" spans="14:17" x14ac:dyDescent="0.3">
      <c r="N2419" s="533"/>
      <c r="O2419" s="533"/>
      <c r="P2419" s="349"/>
      <c r="Q2419" s="349"/>
    </row>
    <row r="2420" spans="14:17" x14ac:dyDescent="0.3">
      <c r="N2420" s="533"/>
      <c r="O2420" s="533"/>
      <c r="P2420" s="349"/>
      <c r="Q2420" s="349"/>
    </row>
    <row r="2421" spans="14:17" x14ac:dyDescent="0.3">
      <c r="N2421" s="533"/>
      <c r="O2421" s="533"/>
      <c r="P2421" s="349"/>
      <c r="Q2421" s="349"/>
    </row>
    <row r="2422" spans="14:17" x14ac:dyDescent="0.3">
      <c r="N2422" s="533"/>
      <c r="O2422" s="533"/>
      <c r="P2422" s="349"/>
      <c r="Q2422" s="349"/>
    </row>
    <row r="2423" spans="14:17" x14ac:dyDescent="0.3">
      <c r="N2423" s="533"/>
      <c r="O2423" s="533"/>
      <c r="P2423" s="349"/>
      <c r="Q2423" s="349"/>
    </row>
    <row r="2424" spans="14:17" x14ac:dyDescent="0.3">
      <c r="N2424" s="533"/>
      <c r="O2424" s="533"/>
      <c r="P2424" s="349"/>
      <c r="Q2424" s="349"/>
    </row>
    <row r="2425" spans="14:17" x14ac:dyDescent="0.3">
      <c r="N2425" s="533"/>
      <c r="O2425" s="533"/>
      <c r="P2425" s="349"/>
      <c r="Q2425" s="349"/>
    </row>
    <row r="2426" spans="14:17" x14ac:dyDescent="0.3">
      <c r="N2426" s="533"/>
      <c r="O2426" s="533"/>
      <c r="P2426" s="349"/>
      <c r="Q2426" s="349"/>
    </row>
    <row r="2427" spans="14:17" x14ac:dyDescent="0.3">
      <c r="N2427" s="533"/>
      <c r="O2427" s="533"/>
      <c r="P2427" s="349"/>
      <c r="Q2427" s="349"/>
    </row>
    <row r="2428" spans="14:17" x14ac:dyDescent="0.3">
      <c r="N2428" s="533"/>
      <c r="O2428" s="533"/>
      <c r="P2428" s="349"/>
      <c r="Q2428" s="349"/>
    </row>
    <row r="2429" spans="14:17" x14ac:dyDescent="0.3">
      <c r="N2429" s="533"/>
      <c r="O2429" s="533"/>
      <c r="P2429" s="349"/>
      <c r="Q2429" s="349"/>
    </row>
    <row r="2430" spans="14:17" x14ac:dyDescent="0.3">
      <c r="N2430" s="533"/>
      <c r="O2430" s="533"/>
      <c r="P2430" s="349"/>
      <c r="Q2430" s="349"/>
    </row>
    <row r="2431" spans="14:17" x14ac:dyDescent="0.3">
      <c r="N2431" s="533"/>
      <c r="O2431" s="533"/>
      <c r="P2431" s="349"/>
      <c r="Q2431" s="349"/>
    </row>
    <row r="2432" spans="14:17" x14ac:dyDescent="0.3">
      <c r="N2432" s="533"/>
      <c r="O2432" s="533"/>
      <c r="P2432" s="349"/>
      <c r="Q2432" s="349"/>
    </row>
    <row r="2433" spans="14:17" x14ac:dyDescent="0.3">
      <c r="N2433" s="533"/>
      <c r="O2433" s="533"/>
      <c r="P2433" s="349"/>
      <c r="Q2433" s="349"/>
    </row>
    <row r="2434" spans="14:17" x14ac:dyDescent="0.3">
      <c r="N2434" s="533"/>
      <c r="O2434" s="533"/>
      <c r="P2434" s="349"/>
      <c r="Q2434" s="349"/>
    </row>
    <row r="2435" spans="14:17" x14ac:dyDescent="0.3">
      <c r="N2435" s="533"/>
      <c r="O2435" s="533"/>
      <c r="P2435" s="349"/>
      <c r="Q2435" s="349"/>
    </row>
    <row r="2436" spans="14:17" x14ac:dyDescent="0.3">
      <c r="N2436" s="533"/>
      <c r="O2436" s="533"/>
      <c r="P2436" s="349"/>
      <c r="Q2436" s="349"/>
    </row>
    <row r="2437" spans="14:17" x14ac:dyDescent="0.3">
      <c r="N2437" s="533"/>
      <c r="O2437" s="533"/>
      <c r="P2437" s="349"/>
      <c r="Q2437" s="349"/>
    </row>
    <row r="2438" spans="14:17" x14ac:dyDescent="0.3">
      <c r="N2438" s="533"/>
      <c r="O2438" s="533"/>
      <c r="P2438" s="349"/>
      <c r="Q2438" s="349"/>
    </row>
    <row r="2439" spans="14:17" x14ac:dyDescent="0.3">
      <c r="N2439" s="533"/>
      <c r="O2439" s="533"/>
      <c r="P2439" s="349"/>
      <c r="Q2439" s="349"/>
    </row>
    <row r="2440" spans="14:17" x14ac:dyDescent="0.3">
      <c r="N2440" s="533"/>
      <c r="O2440" s="533"/>
      <c r="P2440" s="349"/>
      <c r="Q2440" s="349"/>
    </row>
    <row r="2441" spans="14:17" x14ac:dyDescent="0.3">
      <c r="N2441" s="533"/>
      <c r="O2441" s="533"/>
      <c r="P2441" s="349"/>
      <c r="Q2441" s="349"/>
    </row>
    <row r="2442" spans="14:17" x14ac:dyDescent="0.3">
      <c r="N2442" s="533"/>
      <c r="O2442" s="533"/>
      <c r="P2442" s="349"/>
      <c r="Q2442" s="349"/>
    </row>
    <row r="2443" spans="14:17" x14ac:dyDescent="0.3">
      <c r="N2443" s="533"/>
      <c r="O2443" s="533"/>
      <c r="P2443" s="349"/>
      <c r="Q2443" s="349"/>
    </row>
    <row r="2444" spans="14:17" x14ac:dyDescent="0.3">
      <c r="N2444" s="533"/>
      <c r="O2444" s="533"/>
      <c r="P2444" s="349"/>
      <c r="Q2444" s="349"/>
    </row>
    <row r="2445" spans="14:17" x14ac:dyDescent="0.3">
      <c r="N2445" s="533"/>
      <c r="O2445" s="533"/>
      <c r="P2445" s="349"/>
      <c r="Q2445" s="349"/>
    </row>
    <row r="2446" spans="14:17" x14ac:dyDescent="0.3">
      <c r="N2446" s="533"/>
      <c r="O2446" s="533"/>
      <c r="P2446" s="349"/>
      <c r="Q2446" s="349"/>
    </row>
    <row r="2447" spans="14:17" x14ac:dyDescent="0.3">
      <c r="N2447" s="533"/>
      <c r="O2447" s="533"/>
      <c r="P2447" s="349"/>
      <c r="Q2447" s="349"/>
    </row>
    <row r="2448" spans="14:17" x14ac:dyDescent="0.3">
      <c r="N2448" s="533"/>
      <c r="O2448" s="533"/>
      <c r="P2448" s="349"/>
      <c r="Q2448" s="349"/>
    </row>
    <row r="2449" spans="14:17" x14ac:dyDescent="0.3">
      <c r="N2449" s="533"/>
      <c r="O2449" s="533"/>
      <c r="P2449" s="349"/>
      <c r="Q2449" s="349"/>
    </row>
    <row r="2450" spans="14:17" x14ac:dyDescent="0.3">
      <c r="N2450" s="533"/>
      <c r="O2450" s="533"/>
      <c r="P2450" s="349"/>
      <c r="Q2450" s="349"/>
    </row>
    <row r="2451" spans="14:17" x14ac:dyDescent="0.3">
      <c r="N2451" s="533"/>
      <c r="O2451" s="533"/>
      <c r="P2451" s="349"/>
      <c r="Q2451" s="349"/>
    </row>
    <row r="2452" spans="14:17" x14ac:dyDescent="0.3">
      <c r="N2452" s="533"/>
      <c r="O2452" s="533"/>
      <c r="P2452" s="349"/>
      <c r="Q2452" s="349"/>
    </row>
    <row r="2453" spans="14:17" x14ac:dyDescent="0.3">
      <c r="N2453" s="533"/>
      <c r="O2453" s="533"/>
      <c r="P2453" s="349"/>
      <c r="Q2453" s="349"/>
    </row>
    <row r="2454" spans="14:17" x14ac:dyDescent="0.3">
      <c r="N2454" s="533"/>
      <c r="O2454" s="533"/>
      <c r="P2454" s="349"/>
      <c r="Q2454" s="349"/>
    </row>
    <row r="2455" spans="14:17" x14ac:dyDescent="0.3">
      <c r="N2455" s="533"/>
      <c r="O2455" s="533"/>
      <c r="P2455" s="349"/>
      <c r="Q2455" s="349"/>
    </row>
    <row r="2456" spans="14:17" x14ac:dyDescent="0.3">
      <c r="N2456" s="533"/>
      <c r="O2456" s="533"/>
      <c r="P2456" s="349"/>
      <c r="Q2456" s="349"/>
    </row>
    <row r="2457" spans="14:17" x14ac:dyDescent="0.3">
      <c r="N2457" s="533"/>
      <c r="O2457" s="533"/>
      <c r="P2457" s="349"/>
      <c r="Q2457" s="349"/>
    </row>
    <row r="2458" spans="14:17" x14ac:dyDescent="0.3">
      <c r="N2458" s="533"/>
      <c r="O2458" s="533"/>
      <c r="P2458" s="349"/>
      <c r="Q2458" s="349"/>
    </row>
    <row r="2459" spans="14:17" x14ac:dyDescent="0.3">
      <c r="N2459" s="533"/>
      <c r="O2459" s="533"/>
      <c r="P2459" s="349"/>
      <c r="Q2459" s="349"/>
    </row>
    <row r="2460" spans="14:17" x14ac:dyDescent="0.3">
      <c r="N2460" s="533"/>
      <c r="O2460" s="533"/>
      <c r="P2460" s="349"/>
      <c r="Q2460" s="349"/>
    </row>
    <row r="2461" spans="14:17" x14ac:dyDescent="0.3">
      <c r="N2461" s="533"/>
      <c r="O2461" s="533"/>
      <c r="P2461" s="349"/>
      <c r="Q2461" s="349"/>
    </row>
    <row r="2462" spans="14:17" x14ac:dyDescent="0.3">
      <c r="N2462" s="533"/>
      <c r="O2462" s="533"/>
      <c r="P2462" s="349"/>
      <c r="Q2462" s="349"/>
    </row>
    <row r="2463" spans="14:17" x14ac:dyDescent="0.3">
      <c r="N2463" s="533"/>
      <c r="O2463" s="533"/>
      <c r="P2463" s="349"/>
      <c r="Q2463" s="349"/>
    </row>
    <row r="2464" spans="14:17" x14ac:dyDescent="0.3">
      <c r="N2464" s="533"/>
      <c r="O2464" s="533"/>
      <c r="P2464" s="349"/>
      <c r="Q2464" s="349"/>
    </row>
    <row r="2465" spans="14:17" x14ac:dyDescent="0.3">
      <c r="N2465" s="533"/>
      <c r="O2465" s="533"/>
      <c r="P2465" s="349"/>
      <c r="Q2465" s="349"/>
    </row>
    <row r="2466" spans="14:17" x14ac:dyDescent="0.3">
      <c r="N2466" s="533"/>
      <c r="O2466" s="533"/>
      <c r="P2466" s="349"/>
      <c r="Q2466" s="349"/>
    </row>
    <row r="2467" spans="14:17" x14ac:dyDescent="0.3">
      <c r="N2467" s="533"/>
      <c r="O2467" s="533"/>
      <c r="P2467" s="349"/>
      <c r="Q2467" s="349"/>
    </row>
    <row r="2468" spans="14:17" x14ac:dyDescent="0.3">
      <c r="N2468" s="533"/>
      <c r="O2468" s="533"/>
      <c r="P2468" s="349"/>
      <c r="Q2468" s="349"/>
    </row>
    <row r="2469" spans="14:17" x14ac:dyDescent="0.3">
      <c r="N2469" s="533"/>
      <c r="O2469" s="533"/>
      <c r="P2469" s="349"/>
      <c r="Q2469" s="349"/>
    </row>
    <row r="2470" spans="14:17" x14ac:dyDescent="0.3">
      <c r="N2470" s="533"/>
      <c r="O2470" s="533"/>
      <c r="P2470" s="349"/>
      <c r="Q2470" s="349"/>
    </row>
    <row r="2471" spans="14:17" x14ac:dyDescent="0.3">
      <c r="N2471" s="533"/>
      <c r="O2471" s="533"/>
      <c r="P2471" s="349"/>
      <c r="Q2471" s="349"/>
    </row>
    <row r="2472" spans="14:17" x14ac:dyDescent="0.3">
      <c r="N2472" s="533"/>
      <c r="O2472" s="533"/>
      <c r="P2472" s="349"/>
      <c r="Q2472" s="349"/>
    </row>
    <row r="2473" spans="14:17" x14ac:dyDescent="0.3">
      <c r="N2473" s="533"/>
      <c r="O2473" s="533"/>
      <c r="P2473" s="349"/>
      <c r="Q2473" s="349"/>
    </row>
    <row r="2474" spans="14:17" x14ac:dyDescent="0.3">
      <c r="N2474" s="533"/>
      <c r="O2474" s="533"/>
      <c r="P2474" s="349"/>
      <c r="Q2474" s="349"/>
    </row>
    <row r="2475" spans="14:17" x14ac:dyDescent="0.3">
      <c r="N2475" s="533"/>
      <c r="O2475" s="533"/>
      <c r="P2475" s="349"/>
      <c r="Q2475" s="349"/>
    </row>
    <row r="2476" spans="14:17" x14ac:dyDescent="0.3">
      <c r="N2476" s="533"/>
      <c r="O2476" s="533"/>
      <c r="P2476" s="349"/>
      <c r="Q2476" s="349"/>
    </row>
    <row r="2477" spans="14:17" x14ac:dyDescent="0.3">
      <c r="N2477" s="533"/>
      <c r="O2477" s="533"/>
      <c r="P2477" s="349"/>
      <c r="Q2477" s="349"/>
    </row>
    <row r="2478" spans="14:17" x14ac:dyDescent="0.3">
      <c r="N2478" s="533"/>
      <c r="O2478" s="533"/>
      <c r="P2478" s="349"/>
      <c r="Q2478" s="349"/>
    </row>
    <row r="2479" spans="14:17" x14ac:dyDescent="0.3">
      <c r="N2479" s="533"/>
      <c r="O2479" s="533"/>
      <c r="P2479" s="349"/>
      <c r="Q2479" s="349"/>
    </row>
    <row r="2480" spans="14:17" x14ac:dyDescent="0.3">
      <c r="N2480" s="533"/>
      <c r="O2480" s="533"/>
      <c r="P2480" s="349"/>
      <c r="Q2480" s="349"/>
    </row>
    <row r="2481" spans="14:17" x14ac:dyDescent="0.3">
      <c r="N2481" s="533"/>
      <c r="O2481" s="533"/>
      <c r="P2481" s="349"/>
      <c r="Q2481" s="349"/>
    </row>
    <row r="2482" spans="14:17" x14ac:dyDescent="0.3">
      <c r="N2482" s="533"/>
      <c r="O2482" s="533"/>
      <c r="P2482" s="349"/>
      <c r="Q2482" s="349"/>
    </row>
    <row r="2483" spans="14:17" x14ac:dyDescent="0.3">
      <c r="N2483" s="533"/>
      <c r="O2483" s="533"/>
      <c r="P2483" s="349"/>
      <c r="Q2483" s="349"/>
    </row>
    <row r="2484" spans="14:17" x14ac:dyDescent="0.3">
      <c r="N2484" s="533"/>
      <c r="O2484" s="533"/>
      <c r="P2484" s="349"/>
      <c r="Q2484" s="349"/>
    </row>
    <row r="2485" spans="14:17" x14ac:dyDescent="0.3">
      <c r="N2485" s="533"/>
      <c r="O2485" s="533"/>
      <c r="P2485" s="349"/>
      <c r="Q2485" s="349"/>
    </row>
    <row r="2486" spans="14:17" x14ac:dyDescent="0.3">
      <c r="N2486" s="533"/>
      <c r="O2486" s="533"/>
      <c r="P2486" s="349"/>
      <c r="Q2486" s="349"/>
    </row>
    <row r="2487" spans="14:17" x14ac:dyDescent="0.3">
      <c r="N2487" s="533"/>
      <c r="O2487" s="533"/>
      <c r="P2487" s="349"/>
      <c r="Q2487" s="349"/>
    </row>
    <row r="2488" spans="14:17" x14ac:dyDescent="0.3">
      <c r="N2488" s="533"/>
      <c r="O2488" s="533"/>
      <c r="P2488" s="349"/>
      <c r="Q2488" s="349"/>
    </row>
    <row r="2489" spans="14:17" x14ac:dyDescent="0.3">
      <c r="N2489" s="533"/>
      <c r="O2489" s="533"/>
      <c r="P2489" s="349"/>
      <c r="Q2489" s="349"/>
    </row>
    <row r="2490" spans="14:17" x14ac:dyDescent="0.3">
      <c r="N2490" s="533"/>
      <c r="O2490" s="533"/>
      <c r="P2490" s="349"/>
      <c r="Q2490" s="349"/>
    </row>
    <row r="2491" spans="14:17" x14ac:dyDescent="0.3">
      <c r="N2491" s="533"/>
      <c r="O2491" s="533"/>
      <c r="P2491" s="349"/>
      <c r="Q2491" s="349"/>
    </row>
    <row r="2492" spans="14:17" x14ac:dyDescent="0.3">
      <c r="N2492" s="533"/>
      <c r="O2492" s="533"/>
      <c r="P2492" s="349"/>
      <c r="Q2492" s="349"/>
    </row>
    <row r="2493" spans="14:17" x14ac:dyDescent="0.3">
      <c r="N2493" s="533"/>
      <c r="O2493" s="533"/>
      <c r="P2493" s="349"/>
      <c r="Q2493" s="349"/>
    </row>
    <row r="2494" spans="14:17" x14ac:dyDescent="0.3">
      <c r="N2494" s="533"/>
      <c r="O2494" s="533"/>
      <c r="P2494" s="349"/>
      <c r="Q2494" s="349"/>
    </row>
    <row r="2495" spans="14:17" x14ac:dyDescent="0.3">
      <c r="N2495" s="533"/>
      <c r="O2495" s="533"/>
      <c r="P2495" s="349"/>
      <c r="Q2495" s="349"/>
    </row>
    <row r="2496" spans="14:17" x14ac:dyDescent="0.3">
      <c r="N2496" s="533"/>
      <c r="O2496" s="533"/>
      <c r="P2496" s="349"/>
      <c r="Q2496" s="349"/>
    </row>
    <row r="2497" spans="14:17" x14ac:dyDescent="0.3">
      <c r="N2497" s="533"/>
      <c r="O2497" s="533"/>
      <c r="P2497" s="349"/>
      <c r="Q2497" s="349"/>
    </row>
    <row r="2498" spans="14:17" x14ac:dyDescent="0.3">
      <c r="N2498" s="533"/>
      <c r="O2498" s="533"/>
      <c r="P2498" s="349"/>
      <c r="Q2498" s="349"/>
    </row>
    <row r="2499" spans="14:17" x14ac:dyDescent="0.3">
      <c r="N2499" s="533"/>
      <c r="O2499" s="533"/>
      <c r="P2499" s="349"/>
      <c r="Q2499" s="349"/>
    </row>
    <row r="2500" spans="14:17" x14ac:dyDescent="0.3">
      <c r="N2500" s="533"/>
      <c r="O2500" s="533"/>
      <c r="P2500" s="349"/>
      <c r="Q2500" s="349"/>
    </row>
    <row r="2501" spans="14:17" x14ac:dyDescent="0.3">
      <c r="N2501" s="533"/>
      <c r="O2501" s="533"/>
      <c r="P2501" s="349"/>
      <c r="Q2501" s="349"/>
    </row>
    <row r="2502" spans="14:17" x14ac:dyDescent="0.3">
      <c r="N2502" s="533"/>
      <c r="O2502" s="533"/>
      <c r="P2502" s="349"/>
      <c r="Q2502" s="349"/>
    </row>
    <row r="2503" spans="14:17" x14ac:dyDescent="0.3">
      <c r="N2503" s="533"/>
      <c r="O2503" s="533"/>
      <c r="P2503" s="349"/>
      <c r="Q2503" s="349"/>
    </row>
    <row r="2504" spans="14:17" x14ac:dyDescent="0.3">
      <c r="N2504" s="533"/>
      <c r="O2504" s="533"/>
      <c r="P2504" s="349"/>
      <c r="Q2504" s="349"/>
    </row>
    <row r="2505" spans="14:17" x14ac:dyDescent="0.3">
      <c r="N2505" s="533"/>
      <c r="O2505" s="533"/>
      <c r="P2505" s="349"/>
      <c r="Q2505" s="349"/>
    </row>
    <row r="2506" spans="14:17" x14ac:dyDescent="0.3">
      <c r="N2506" s="533"/>
      <c r="O2506" s="533"/>
      <c r="P2506" s="349"/>
      <c r="Q2506" s="349"/>
    </row>
    <row r="2507" spans="14:17" x14ac:dyDescent="0.3">
      <c r="N2507" s="533"/>
      <c r="O2507" s="533"/>
      <c r="P2507" s="349"/>
      <c r="Q2507" s="349"/>
    </row>
    <row r="2508" spans="14:17" x14ac:dyDescent="0.3">
      <c r="N2508" s="533"/>
      <c r="O2508" s="533"/>
      <c r="P2508" s="349"/>
      <c r="Q2508" s="349"/>
    </row>
    <row r="2509" spans="14:17" x14ac:dyDescent="0.3">
      <c r="N2509" s="533"/>
      <c r="O2509" s="533"/>
      <c r="P2509" s="349"/>
      <c r="Q2509" s="349"/>
    </row>
    <row r="2510" spans="14:17" x14ac:dyDescent="0.3">
      <c r="N2510" s="533"/>
      <c r="O2510" s="533"/>
      <c r="P2510" s="349"/>
      <c r="Q2510" s="349"/>
    </row>
    <row r="2511" spans="14:17" x14ac:dyDescent="0.3">
      <c r="N2511" s="533"/>
      <c r="O2511" s="533"/>
      <c r="P2511" s="349"/>
      <c r="Q2511" s="349"/>
    </row>
    <row r="2512" spans="14:17" x14ac:dyDescent="0.3">
      <c r="N2512" s="533"/>
      <c r="O2512" s="533"/>
      <c r="P2512" s="349"/>
      <c r="Q2512" s="349"/>
    </row>
    <row r="2513" spans="14:17" x14ac:dyDescent="0.3">
      <c r="N2513" s="533"/>
      <c r="O2513" s="533"/>
      <c r="P2513" s="349"/>
      <c r="Q2513" s="349"/>
    </row>
    <row r="2514" spans="14:17" x14ac:dyDescent="0.3">
      <c r="N2514" s="533"/>
      <c r="O2514" s="533"/>
      <c r="P2514" s="349"/>
      <c r="Q2514" s="349"/>
    </row>
    <row r="2515" spans="14:17" x14ac:dyDescent="0.3">
      <c r="N2515" s="533"/>
      <c r="O2515" s="533"/>
      <c r="P2515" s="349"/>
      <c r="Q2515" s="349"/>
    </row>
    <row r="2516" spans="14:17" x14ac:dyDescent="0.3">
      <c r="N2516" s="533"/>
      <c r="O2516" s="533"/>
      <c r="P2516" s="349"/>
      <c r="Q2516" s="349"/>
    </row>
    <row r="2517" spans="14:17" x14ac:dyDescent="0.3">
      <c r="N2517" s="533"/>
      <c r="O2517" s="533"/>
      <c r="P2517" s="349"/>
      <c r="Q2517" s="349"/>
    </row>
    <row r="2518" spans="14:17" x14ac:dyDescent="0.3">
      <c r="N2518" s="533"/>
      <c r="O2518" s="533"/>
      <c r="P2518" s="349"/>
      <c r="Q2518" s="349"/>
    </row>
    <row r="2519" spans="14:17" x14ac:dyDescent="0.3">
      <c r="N2519" s="533"/>
      <c r="O2519" s="533"/>
      <c r="P2519" s="349"/>
      <c r="Q2519" s="349"/>
    </row>
    <row r="2520" spans="14:17" x14ac:dyDescent="0.3">
      <c r="N2520" s="533"/>
      <c r="O2520" s="533"/>
      <c r="P2520" s="349"/>
      <c r="Q2520" s="349"/>
    </row>
    <row r="2521" spans="14:17" x14ac:dyDescent="0.3">
      <c r="N2521" s="533"/>
      <c r="O2521" s="533"/>
      <c r="P2521" s="349"/>
      <c r="Q2521" s="349"/>
    </row>
    <row r="2522" spans="14:17" x14ac:dyDescent="0.3">
      <c r="N2522" s="533"/>
      <c r="O2522" s="533"/>
      <c r="P2522" s="349"/>
      <c r="Q2522" s="349"/>
    </row>
    <row r="2523" spans="14:17" x14ac:dyDescent="0.3">
      <c r="N2523" s="533"/>
      <c r="O2523" s="533"/>
      <c r="P2523" s="349"/>
      <c r="Q2523" s="349"/>
    </row>
    <row r="2524" spans="14:17" x14ac:dyDescent="0.3">
      <c r="N2524" s="533"/>
      <c r="O2524" s="533"/>
      <c r="P2524" s="349"/>
      <c r="Q2524" s="349"/>
    </row>
    <row r="2525" spans="14:17" x14ac:dyDescent="0.3">
      <c r="N2525" s="533"/>
      <c r="O2525" s="533"/>
      <c r="P2525" s="349"/>
      <c r="Q2525" s="349"/>
    </row>
    <row r="2526" spans="14:17" x14ac:dyDescent="0.3">
      <c r="N2526" s="533"/>
      <c r="O2526" s="533"/>
      <c r="P2526" s="349"/>
      <c r="Q2526" s="349"/>
    </row>
    <row r="2527" spans="14:17" x14ac:dyDescent="0.3">
      <c r="N2527" s="533"/>
      <c r="O2527" s="533"/>
      <c r="P2527" s="349"/>
      <c r="Q2527" s="349"/>
    </row>
    <row r="2528" spans="14:17" x14ac:dyDescent="0.3">
      <c r="N2528" s="533"/>
      <c r="O2528" s="533"/>
      <c r="P2528" s="349"/>
      <c r="Q2528" s="349"/>
    </row>
    <row r="2529" spans="14:17" x14ac:dyDescent="0.3">
      <c r="N2529" s="533"/>
      <c r="O2529" s="533"/>
      <c r="P2529" s="349"/>
      <c r="Q2529" s="349"/>
    </row>
    <row r="2530" spans="14:17" x14ac:dyDescent="0.3">
      <c r="N2530" s="533"/>
      <c r="O2530" s="533"/>
      <c r="P2530" s="349"/>
      <c r="Q2530" s="349"/>
    </row>
    <row r="2531" spans="14:17" x14ac:dyDescent="0.3">
      <c r="N2531" s="533"/>
      <c r="O2531" s="533"/>
      <c r="P2531" s="349"/>
      <c r="Q2531" s="349"/>
    </row>
    <row r="2532" spans="14:17" x14ac:dyDescent="0.3">
      <c r="N2532" s="533"/>
      <c r="O2532" s="533"/>
      <c r="P2532" s="349"/>
      <c r="Q2532" s="349"/>
    </row>
    <row r="2533" spans="14:17" x14ac:dyDescent="0.3">
      <c r="N2533" s="533"/>
      <c r="O2533" s="533"/>
      <c r="P2533" s="349"/>
      <c r="Q2533" s="349"/>
    </row>
    <row r="2534" spans="14:17" x14ac:dyDescent="0.3">
      <c r="N2534" s="533"/>
      <c r="O2534" s="533"/>
      <c r="P2534" s="349"/>
      <c r="Q2534" s="349"/>
    </row>
    <row r="2535" spans="14:17" x14ac:dyDescent="0.3">
      <c r="N2535" s="533"/>
      <c r="O2535" s="533"/>
      <c r="P2535" s="349"/>
      <c r="Q2535" s="349"/>
    </row>
    <row r="2536" spans="14:17" x14ac:dyDescent="0.3">
      <c r="N2536" s="533"/>
      <c r="O2536" s="533"/>
      <c r="P2536" s="349"/>
      <c r="Q2536" s="349"/>
    </row>
    <row r="2537" spans="14:17" x14ac:dyDescent="0.3">
      <c r="N2537" s="533"/>
      <c r="O2537" s="533"/>
      <c r="P2537" s="349"/>
      <c r="Q2537" s="349"/>
    </row>
    <row r="2538" spans="14:17" x14ac:dyDescent="0.3">
      <c r="N2538" s="533"/>
      <c r="O2538" s="533"/>
      <c r="P2538" s="349"/>
      <c r="Q2538" s="349"/>
    </row>
    <row r="2539" spans="14:17" x14ac:dyDescent="0.3">
      <c r="N2539" s="533"/>
      <c r="O2539" s="533"/>
      <c r="P2539" s="349"/>
      <c r="Q2539" s="349"/>
    </row>
    <row r="2540" spans="14:17" x14ac:dyDescent="0.3">
      <c r="N2540" s="533"/>
      <c r="O2540" s="533"/>
      <c r="P2540" s="349"/>
      <c r="Q2540" s="349"/>
    </row>
    <row r="2541" spans="14:17" x14ac:dyDescent="0.3">
      <c r="N2541" s="533"/>
      <c r="O2541" s="533"/>
      <c r="P2541" s="349"/>
      <c r="Q2541" s="349"/>
    </row>
    <row r="2542" spans="14:17" x14ac:dyDescent="0.3">
      <c r="N2542" s="533"/>
      <c r="O2542" s="533"/>
      <c r="P2542" s="349"/>
      <c r="Q2542" s="349"/>
    </row>
    <row r="2543" spans="14:17" x14ac:dyDescent="0.3">
      <c r="N2543" s="533"/>
      <c r="O2543" s="533"/>
      <c r="P2543" s="349"/>
      <c r="Q2543" s="349"/>
    </row>
    <row r="2544" spans="14:17" x14ac:dyDescent="0.3">
      <c r="N2544" s="533"/>
      <c r="O2544" s="533"/>
      <c r="P2544" s="349"/>
      <c r="Q2544" s="349"/>
    </row>
    <row r="2545" spans="14:17" x14ac:dyDescent="0.3">
      <c r="N2545" s="533"/>
      <c r="O2545" s="533"/>
      <c r="P2545" s="349"/>
      <c r="Q2545" s="349"/>
    </row>
    <row r="2546" spans="14:17" x14ac:dyDescent="0.3">
      <c r="N2546" s="533"/>
      <c r="O2546" s="533"/>
      <c r="P2546" s="349"/>
      <c r="Q2546" s="349"/>
    </row>
    <row r="2547" spans="14:17" x14ac:dyDescent="0.3">
      <c r="N2547" s="533"/>
      <c r="O2547" s="533"/>
      <c r="P2547" s="349"/>
      <c r="Q2547" s="349"/>
    </row>
    <row r="2548" spans="14:17" x14ac:dyDescent="0.3">
      <c r="N2548" s="533"/>
      <c r="O2548" s="533"/>
      <c r="P2548" s="349"/>
      <c r="Q2548" s="349"/>
    </row>
    <row r="2549" spans="14:17" x14ac:dyDescent="0.3">
      <c r="N2549" s="533"/>
      <c r="O2549" s="533"/>
      <c r="P2549" s="349"/>
      <c r="Q2549" s="349"/>
    </row>
    <row r="2550" spans="14:17" x14ac:dyDescent="0.3">
      <c r="N2550" s="533"/>
      <c r="O2550" s="533"/>
      <c r="P2550" s="349"/>
      <c r="Q2550" s="349"/>
    </row>
    <row r="2551" spans="14:17" x14ac:dyDescent="0.3">
      <c r="N2551" s="533"/>
      <c r="O2551" s="533"/>
      <c r="P2551" s="349"/>
      <c r="Q2551" s="349"/>
    </row>
    <row r="2552" spans="14:17" x14ac:dyDescent="0.3">
      <c r="N2552" s="533"/>
      <c r="O2552" s="533"/>
      <c r="P2552" s="349"/>
      <c r="Q2552" s="349"/>
    </row>
    <row r="2553" spans="14:17" x14ac:dyDescent="0.3">
      <c r="N2553" s="533"/>
      <c r="O2553" s="533"/>
      <c r="P2553" s="349"/>
      <c r="Q2553" s="349"/>
    </row>
    <row r="2554" spans="14:17" x14ac:dyDescent="0.3">
      <c r="N2554" s="533"/>
      <c r="O2554" s="533"/>
      <c r="P2554" s="349"/>
      <c r="Q2554" s="349"/>
    </row>
    <row r="2555" spans="14:17" x14ac:dyDescent="0.3">
      <c r="N2555" s="533"/>
      <c r="O2555" s="533"/>
      <c r="P2555" s="349"/>
      <c r="Q2555" s="349"/>
    </row>
    <row r="2556" spans="14:17" x14ac:dyDescent="0.3">
      <c r="N2556" s="533"/>
      <c r="O2556" s="533"/>
      <c r="P2556" s="349"/>
      <c r="Q2556" s="349"/>
    </row>
    <row r="2557" spans="14:17" x14ac:dyDescent="0.3">
      <c r="N2557" s="533"/>
      <c r="O2557" s="533"/>
      <c r="P2557" s="349"/>
      <c r="Q2557" s="349"/>
    </row>
    <row r="2558" spans="14:17" x14ac:dyDescent="0.3">
      <c r="N2558" s="533"/>
      <c r="O2558" s="533"/>
      <c r="P2558" s="349"/>
      <c r="Q2558" s="349"/>
    </row>
    <row r="2559" spans="14:17" x14ac:dyDescent="0.3">
      <c r="N2559" s="533"/>
      <c r="O2559" s="533"/>
      <c r="P2559" s="349"/>
      <c r="Q2559" s="349"/>
    </row>
    <row r="2560" spans="14:17" x14ac:dyDescent="0.3">
      <c r="N2560" s="533"/>
      <c r="O2560" s="533"/>
      <c r="P2560" s="349"/>
      <c r="Q2560" s="349"/>
    </row>
    <row r="2561" spans="14:17" x14ac:dyDescent="0.3">
      <c r="N2561" s="533"/>
      <c r="O2561" s="533"/>
      <c r="P2561" s="349"/>
      <c r="Q2561" s="349"/>
    </row>
    <row r="2562" spans="14:17" x14ac:dyDescent="0.3">
      <c r="N2562" s="533"/>
      <c r="O2562" s="533"/>
      <c r="P2562" s="349"/>
      <c r="Q2562" s="349"/>
    </row>
    <row r="2563" spans="14:17" x14ac:dyDescent="0.3">
      <c r="N2563" s="533"/>
      <c r="O2563" s="533"/>
      <c r="P2563" s="349"/>
      <c r="Q2563" s="349"/>
    </row>
    <row r="2564" spans="14:17" x14ac:dyDescent="0.3">
      <c r="N2564" s="533"/>
      <c r="O2564" s="533"/>
      <c r="P2564" s="349"/>
      <c r="Q2564" s="349"/>
    </row>
    <row r="2565" spans="14:17" x14ac:dyDescent="0.3">
      <c r="N2565" s="533"/>
      <c r="O2565" s="533"/>
      <c r="P2565" s="349"/>
      <c r="Q2565" s="349"/>
    </row>
    <row r="2566" spans="14:17" x14ac:dyDescent="0.3">
      <c r="N2566" s="533"/>
      <c r="O2566" s="533"/>
      <c r="P2566" s="349"/>
      <c r="Q2566" s="349"/>
    </row>
    <row r="2567" spans="14:17" x14ac:dyDescent="0.3">
      <c r="N2567" s="533"/>
      <c r="O2567" s="533"/>
      <c r="P2567" s="349"/>
      <c r="Q2567" s="349"/>
    </row>
    <row r="2568" spans="14:17" x14ac:dyDescent="0.3">
      <c r="N2568" s="533"/>
      <c r="O2568" s="533"/>
      <c r="P2568" s="349"/>
      <c r="Q2568" s="349"/>
    </row>
    <row r="2569" spans="14:17" x14ac:dyDescent="0.3">
      <c r="N2569" s="533"/>
      <c r="O2569" s="533"/>
      <c r="P2569" s="349"/>
      <c r="Q2569" s="349"/>
    </row>
    <row r="2570" spans="14:17" x14ac:dyDescent="0.3">
      <c r="N2570" s="533"/>
      <c r="O2570" s="533"/>
      <c r="P2570" s="349"/>
      <c r="Q2570" s="349"/>
    </row>
    <row r="2571" spans="14:17" x14ac:dyDescent="0.3">
      <c r="N2571" s="533"/>
      <c r="O2571" s="533"/>
      <c r="P2571" s="349"/>
      <c r="Q2571" s="349"/>
    </row>
    <row r="2572" spans="14:17" x14ac:dyDescent="0.3">
      <c r="N2572" s="533"/>
      <c r="O2572" s="533"/>
      <c r="P2572" s="349"/>
      <c r="Q2572" s="349"/>
    </row>
    <row r="2573" spans="14:17" x14ac:dyDescent="0.3">
      <c r="N2573" s="533"/>
      <c r="O2573" s="533"/>
      <c r="P2573" s="349"/>
      <c r="Q2573" s="349"/>
    </row>
    <row r="2574" spans="14:17" x14ac:dyDescent="0.3">
      <c r="N2574" s="533"/>
      <c r="O2574" s="533"/>
      <c r="P2574" s="349"/>
      <c r="Q2574" s="349"/>
    </row>
    <row r="2575" spans="14:17" x14ac:dyDescent="0.3">
      <c r="N2575" s="533"/>
      <c r="O2575" s="533"/>
      <c r="P2575" s="349"/>
      <c r="Q2575" s="349"/>
    </row>
    <row r="2576" spans="14:17" x14ac:dyDescent="0.3">
      <c r="N2576" s="533"/>
      <c r="O2576" s="533"/>
      <c r="P2576" s="349"/>
      <c r="Q2576" s="349"/>
    </row>
    <row r="2577" spans="14:17" x14ac:dyDescent="0.3">
      <c r="N2577" s="533"/>
      <c r="O2577" s="533"/>
      <c r="P2577" s="349"/>
      <c r="Q2577" s="349"/>
    </row>
    <row r="2578" spans="14:17" x14ac:dyDescent="0.3">
      <c r="N2578" s="533"/>
      <c r="O2578" s="533"/>
      <c r="P2578" s="349"/>
      <c r="Q2578" s="349"/>
    </row>
    <row r="2579" spans="14:17" x14ac:dyDescent="0.3">
      <c r="N2579" s="533"/>
      <c r="O2579" s="533"/>
      <c r="P2579" s="349"/>
      <c r="Q2579" s="349"/>
    </row>
    <row r="2580" spans="14:17" x14ac:dyDescent="0.3">
      <c r="N2580" s="533"/>
      <c r="O2580" s="533"/>
      <c r="P2580" s="349"/>
      <c r="Q2580" s="349"/>
    </row>
    <row r="2581" spans="14:17" x14ac:dyDescent="0.3">
      <c r="N2581" s="533"/>
      <c r="O2581" s="533"/>
      <c r="P2581" s="349"/>
      <c r="Q2581" s="349"/>
    </row>
    <row r="2582" spans="14:17" x14ac:dyDescent="0.3">
      <c r="N2582" s="533"/>
      <c r="O2582" s="533"/>
      <c r="P2582" s="349"/>
      <c r="Q2582" s="349"/>
    </row>
    <row r="2583" spans="14:17" x14ac:dyDescent="0.3">
      <c r="N2583" s="533"/>
      <c r="O2583" s="533"/>
      <c r="P2583" s="349"/>
      <c r="Q2583" s="349"/>
    </row>
    <row r="2584" spans="14:17" x14ac:dyDescent="0.3">
      <c r="N2584" s="533"/>
      <c r="O2584" s="533"/>
      <c r="P2584" s="349"/>
      <c r="Q2584" s="349"/>
    </row>
    <row r="2585" spans="14:17" x14ac:dyDescent="0.3">
      <c r="N2585" s="533"/>
      <c r="O2585" s="533"/>
      <c r="P2585" s="349"/>
      <c r="Q2585" s="349"/>
    </row>
    <row r="2586" spans="14:17" x14ac:dyDescent="0.3">
      <c r="N2586" s="533"/>
      <c r="O2586" s="533"/>
      <c r="P2586" s="349"/>
      <c r="Q2586" s="349"/>
    </row>
    <row r="2587" spans="14:17" x14ac:dyDescent="0.3">
      <c r="N2587" s="533"/>
      <c r="O2587" s="533"/>
      <c r="P2587" s="349"/>
      <c r="Q2587" s="349"/>
    </row>
    <row r="2588" spans="14:17" x14ac:dyDescent="0.3">
      <c r="N2588" s="533"/>
      <c r="O2588" s="533"/>
      <c r="P2588" s="349"/>
      <c r="Q2588" s="349"/>
    </row>
    <row r="2589" spans="14:17" x14ac:dyDescent="0.3">
      <c r="N2589" s="533"/>
      <c r="O2589" s="533"/>
      <c r="P2589" s="349"/>
      <c r="Q2589" s="349"/>
    </row>
    <row r="2590" spans="14:17" x14ac:dyDescent="0.3">
      <c r="N2590" s="533"/>
      <c r="O2590" s="533"/>
      <c r="P2590" s="349"/>
      <c r="Q2590" s="349"/>
    </row>
    <row r="2591" spans="14:17" x14ac:dyDescent="0.3">
      <c r="N2591" s="533"/>
      <c r="O2591" s="533"/>
      <c r="P2591" s="349"/>
      <c r="Q2591" s="349"/>
    </row>
    <row r="2592" spans="14:17" x14ac:dyDescent="0.3">
      <c r="N2592" s="533"/>
      <c r="O2592" s="533"/>
      <c r="P2592" s="349"/>
      <c r="Q2592" s="349"/>
    </row>
    <row r="2593" spans="14:17" x14ac:dyDescent="0.3">
      <c r="N2593" s="533"/>
      <c r="O2593" s="533"/>
      <c r="P2593" s="349"/>
      <c r="Q2593" s="349"/>
    </row>
    <row r="2594" spans="14:17" x14ac:dyDescent="0.3">
      <c r="N2594" s="533"/>
      <c r="O2594" s="533"/>
      <c r="P2594" s="349"/>
      <c r="Q2594" s="349"/>
    </row>
    <row r="2595" spans="14:17" x14ac:dyDescent="0.3">
      <c r="N2595" s="533"/>
      <c r="O2595" s="533"/>
      <c r="P2595" s="349"/>
      <c r="Q2595" s="349"/>
    </row>
    <row r="2596" spans="14:17" x14ac:dyDescent="0.3">
      <c r="N2596" s="533"/>
      <c r="O2596" s="533"/>
      <c r="P2596" s="349"/>
      <c r="Q2596" s="349"/>
    </row>
    <row r="2597" spans="14:17" x14ac:dyDescent="0.3">
      <c r="N2597" s="533"/>
      <c r="O2597" s="533"/>
      <c r="P2597" s="349"/>
      <c r="Q2597" s="349"/>
    </row>
    <row r="2598" spans="14:17" x14ac:dyDescent="0.3">
      <c r="N2598" s="533"/>
      <c r="O2598" s="533"/>
      <c r="P2598" s="349"/>
      <c r="Q2598" s="349"/>
    </row>
    <row r="2599" spans="14:17" x14ac:dyDescent="0.3">
      <c r="N2599" s="533"/>
      <c r="O2599" s="533"/>
      <c r="P2599" s="349"/>
      <c r="Q2599" s="349"/>
    </row>
    <row r="2600" spans="14:17" x14ac:dyDescent="0.3">
      <c r="N2600" s="533"/>
      <c r="O2600" s="533"/>
      <c r="P2600" s="349"/>
      <c r="Q2600" s="349"/>
    </row>
    <row r="2601" spans="14:17" x14ac:dyDescent="0.3">
      <c r="N2601" s="533"/>
      <c r="O2601" s="533"/>
      <c r="P2601" s="349"/>
      <c r="Q2601" s="349"/>
    </row>
    <row r="2602" spans="14:17" x14ac:dyDescent="0.3">
      <c r="N2602" s="533"/>
      <c r="O2602" s="533"/>
      <c r="P2602" s="349"/>
      <c r="Q2602" s="349"/>
    </row>
    <row r="2603" spans="14:17" x14ac:dyDescent="0.3">
      <c r="N2603" s="533"/>
      <c r="O2603" s="533"/>
      <c r="P2603" s="349"/>
      <c r="Q2603" s="349"/>
    </row>
    <row r="2604" spans="14:17" x14ac:dyDescent="0.3">
      <c r="N2604" s="533"/>
      <c r="O2604" s="533"/>
      <c r="P2604" s="349"/>
      <c r="Q2604" s="349"/>
    </row>
    <row r="2605" spans="14:17" x14ac:dyDescent="0.3">
      <c r="N2605" s="533"/>
      <c r="O2605" s="533"/>
      <c r="P2605" s="349"/>
      <c r="Q2605" s="349"/>
    </row>
    <row r="2606" spans="14:17" x14ac:dyDescent="0.3">
      <c r="N2606" s="533"/>
      <c r="O2606" s="533"/>
      <c r="P2606" s="349"/>
      <c r="Q2606" s="349"/>
    </row>
    <row r="2607" spans="14:17" x14ac:dyDescent="0.3">
      <c r="N2607" s="533"/>
      <c r="O2607" s="533"/>
      <c r="P2607" s="349"/>
      <c r="Q2607" s="349"/>
    </row>
    <row r="2608" spans="14:17" x14ac:dyDescent="0.3">
      <c r="N2608" s="533"/>
      <c r="O2608" s="533"/>
      <c r="P2608" s="349"/>
      <c r="Q2608" s="349"/>
    </row>
    <row r="2609" spans="14:17" x14ac:dyDescent="0.3">
      <c r="N2609" s="533"/>
      <c r="O2609" s="533"/>
      <c r="P2609" s="349"/>
      <c r="Q2609" s="349"/>
    </row>
    <row r="2610" spans="14:17" x14ac:dyDescent="0.3">
      <c r="N2610" s="533"/>
      <c r="O2610" s="533"/>
      <c r="P2610" s="349"/>
      <c r="Q2610" s="349"/>
    </row>
    <row r="2611" spans="14:17" x14ac:dyDescent="0.3">
      <c r="N2611" s="533"/>
      <c r="O2611" s="533"/>
      <c r="P2611" s="349"/>
      <c r="Q2611" s="349"/>
    </row>
    <row r="2612" spans="14:17" x14ac:dyDescent="0.3">
      <c r="N2612" s="533"/>
      <c r="O2612" s="533"/>
      <c r="P2612" s="349"/>
      <c r="Q2612" s="349"/>
    </row>
    <row r="2613" spans="14:17" x14ac:dyDescent="0.3">
      <c r="N2613" s="533"/>
      <c r="O2613" s="533"/>
      <c r="P2613" s="349"/>
      <c r="Q2613" s="349"/>
    </row>
    <row r="2614" spans="14:17" x14ac:dyDescent="0.3">
      <c r="N2614" s="533"/>
      <c r="O2614" s="533"/>
      <c r="P2614" s="349"/>
      <c r="Q2614" s="349"/>
    </row>
    <row r="2615" spans="14:17" x14ac:dyDescent="0.3">
      <c r="N2615" s="533"/>
      <c r="O2615" s="533"/>
      <c r="P2615" s="349"/>
      <c r="Q2615" s="349"/>
    </row>
    <row r="2616" spans="14:17" x14ac:dyDescent="0.3">
      <c r="N2616" s="533"/>
      <c r="O2616" s="533"/>
      <c r="P2616" s="349"/>
      <c r="Q2616" s="349"/>
    </row>
    <row r="2617" spans="14:17" x14ac:dyDescent="0.3">
      <c r="N2617" s="533"/>
      <c r="O2617" s="533"/>
      <c r="P2617" s="349"/>
      <c r="Q2617" s="349"/>
    </row>
    <row r="2618" spans="14:17" x14ac:dyDescent="0.3">
      <c r="N2618" s="533"/>
      <c r="O2618" s="533"/>
      <c r="P2618" s="349"/>
      <c r="Q2618" s="349"/>
    </row>
    <row r="2619" spans="14:17" x14ac:dyDescent="0.3">
      <c r="N2619" s="533"/>
      <c r="O2619" s="533"/>
      <c r="P2619" s="349"/>
      <c r="Q2619" s="349"/>
    </row>
    <row r="2620" spans="14:17" x14ac:dyDescent="0.3">
      <c r="N2620" s="533"/>
      <c r="O2620" s="533"/>
      <c r="P2620" s="349"/>
      <c r="Q2620" s="349"/>
    </row>
    <row r="2621" spans="14:17" x14ac:dyDescent="0.3">
      <c r="N2621" s="533"/>
      <c r="O2621" s="533"/>
      <c r="P2621" s="349"/>
      <c r="Q2621" s="349"/>
    </row>
    <row r="2622" spans="14:17" x14ac:dyDescent="0.3">
      <c r="N2622" s="533"/>
      <c r="O2622" s="533"/>
      <c r="P2622" s="349"/>
      <c r="Q2622" s="349"/>
    </row>
    <row r="2623" spans="14:17" x14ac:dyDescent="0.3">
      <c r="N2623" s="533"/>
      <c r="O2623" s="533"/>
      <c r="P2623" s="349"/>
      <c r="Q2623" s="349"/>
    </row>
    <row r="2624" spans="14:17" x14ac:dyDescent="0.3">
      <c r="N2624" s="533"/>
      <c r="O2624" s="533"/>
      <c r="P2624" s="349"/>
      <c r="Q2624" s="349"/>
    </row>
    <row r="2625" spans="14:17" x14ac:dyDescent="0.3">
      <c r="N2625" s="533"/>
      <c r="O2625" s="533"/>
      <c r="P2625" s="349"/>
      <c r="Q2625" s="349"/>
    </row>
    <row r="2626" spans="14:17" x14ac:dyDescent="0.3">
      <c r="N2626" s="533"/>
      <c r="O2626" s="533"/>
      <c r="P2626" s="349"/>
      <c r="Q2626" s="349"/>
    </row>
    <row r="2627" spans="14:17" x14ac:dyDescent="0.3">
      <c r="N2627" s="533"/>
      <c r="O2627" s="533"/>
      <c r="P2627" s="349"/>
      <c r="Q2627" s="349"/>
    </row>
    <row r="2628" spans="14:17" x14ac:dyDescent="0.3">
      <c r="N2628" s="533"/>
      <c r="O2628" s="533"/>
      <c r="P2628" s="349"/>
      <c r="Q2628" s="349"/>
    </row>
    <row r="2629" spans="14:17" x14ac:dyDescent="0.3">
      <c r="N2629" s="533"/>
      <c r="O2629" s="533"/>
      <c r="P2629" s="349"/>
      <c r="Q2629" s="349"/>
    </row>
    <row r="2630" spans="14:17" x14ac:dyDescent="0.3">
      <c r="N2630" s="533"/>
      <c r="O2630" s="533"/>
      <c r="P2630" s="349"/>
      <c r="Q2630" s="349"/>
    </row>
    <row r="2631" spans="14:17" x14ac:dyDescent="0.3">
      <c r="N2631" s="533"/>
      <c r="O2631" s="533"/>
      <c r="P2631" s="349"/>
      <c r="Q2631" s="349"/>
    </row>
    <row r="2632" spans="14:17" x14ac:dyDescent="0.3">
      <c r="N2632" s="533"/>
      <c r="O2632" s="533"/>
      <c r="P2632" s="349"/>
      <c r="Q2632" s="349"/>
    </row>
    <row r="2633" spans="14:17" x14ac:dyDescent="0.3">
      <c r="N2633" s="533"/>
      <c r="O2633" s="533"/>
      <c r="P2633" s="349"/>
      <c r="Q2633" s="349"/>
    </row>
    <row r="2634" spans="14:17" x14ac:dyDescent="0.3">
      <c r="N2634" s="533"/>
      <c r="O2634" s="533"/>
      <c r="P2634" s="349"/>
      <c r="Q2634" s="349"/>
    </row>
    <row r="2635" spans="14:17" x14ac:dyDescent="0.3">
      <c r="N2635" s="533"/>
      <c r="O2635" s="533"/>
      <c r="P2635" s="349"/>
      <c r="Q2635" s="349"/>
    </row>
    <row r="2636" spans="14:17" x14ac:dyDescent="0.3">
      <c r="N2636" s="533"/>
      <c r="O2636" s="533"/>
      <c r="P2636" s="349"/>
      <c r="Q2636" s="349"/>
    </row>
    <row r="2637" spans="14:17" x14ac:dyDescent="0.3">
      <c r="N2637" s="533"/>
      <c r="O2637" s="533"/>
      <c r="P2637" s="349"/>
      <c r="Q2637" s="349"/>
    </row>
    <row r="2638" spans="14:17" x14ac:dyDescent="0.3">
      <c r="N2638" s="533"/>
      <c r="O2638" s="533"/>
      <c r="P2638" s="349"/>
      <c r="Q2638" s="349"/>
    </row>
    <row r="2639" spans="14:17" x14ac:dyDescent="0.3">
      <c r="N2639" s="533"/>
      <c r="O2639" s="533"/>
      <c r="P2639" s="349"/>
      <c r="Q2639" s="349"/>
    </row>
    <row r="2640" spans="14:17" x14ac:dyDescent="0.3">
      <c r="N2640" s="533"/>
      <c r="O2640" s="533"/>
      <c r="P2640" s="349"/>
      <c r="Q2640" s="349"/>
    </row>
    <row r="2641" spans="14:17" x14ac:dyDescent="0.3">
      <c r="N2641" s="533"/>
      <c r="O2641" s="533"/>
      <c r="P2641" s="349"/>
      <c r="Q2641" s="349"/>
    </row>
    <row r="2642" spans="14:17" x14ac:dyDescent="0.3">
      <c r="N2642" s="533"/>
      <c r="O2642" s="533"/>
      <c r="P2642" s="349"/>
      <c r="Q2642" s="349"/>
    </row>
    <row r="2643" spans="14:17" x14ac:dyDescent="0.3">
      <c r="N2643" s="533"/>
      <c r="O2643" s="533"/>
      <c r="P2643" s="349"/>
      <c r="Q2643" s="349"/>
    </row>
    <row r="2644" spans="14:17" x14ac:dyDescent="0.3">
      <c r="N2644" s="533"/>
      <c r="O2644" s="533"/>
      <c r="P2644" s="349"/>
      <c r="Q2644" s="349"/>
    </row>
    <row r="2645" spans="14:17" x14ac:dyDescent="0.3">
      <c r="N2645" s="533"/>
      <c r="O2645" s="533"/>
      <c r="P2645" s="349"/>
      <c r="Q2645" s="349"/>
    </row>
    <row r="2646" spans="14:17" x14ac:dyDescent="0.3">
      <c r="N2646" s="533"/>
      <c r="O2646" s="533"/>
      <c r="P2646" s="349"/>
      <c r="Q2646" s="349"/>
    </row>
    <row r="2647" spans="14:17" x14ac:dyDescent="0.3">
      <c r="N2647" s="533"/>
      <c r="O2647" s="533"/>
      <c r="P2647" s="349"/>
      <c r="Q2647" s="349"/>
    </row>
    <row r="2648" spans="14:17" x14ac:dyDescent="0.3">
      <c r="N2648" s="533"/>
      <c r="O2648" s="533"/>
      <c r="P2648" s="349"/>
      <c r="Q2648" s="349"/>
    </row>
    <row r="2649" spans="14:17" x14ac:dyDescent="0.3">
      <c r="N2649" s="533"/>
      <c r="O2649" s="533"/>
      <c r="P2649" s="349"/>
      <c r="Q2649" s="349"/>
    </row>
    <row r="2650" spans="14:17" x14ac:dyDescent="0.3">
      <c r="N2650" s="533"/>
      <c r="O2650" s="533"/>
      <c r="P2650" s="349"/>
      <c r="Q2650" s="349"/>
    </row>
    <row r="2651" spans="14:17" x14ac:dyDescent="0.3">
      <c r="N2651" s="533"/>
      <c r="O2651" s="533"/>
      <c r="P2651" s="349"/>
      <c r="Q2651" s="349"/>
    </row>
    <row r="2652" spans="14:17" x14ac:dyDescent="0.3">
      <c r="N2652" s="533"/>
      <c r="O2652" s="533"/>
      <c r="P2652" s="349"/>
      <c r="Q2652" s="349"/>
    </row>
    <row r="2653" spans="14:17" x14ac:dyDescent="0.3">
      <c r="N2653" s="533"/>
      <c r="O2653" s="533"/>
      <c r="P2653" s="349"/>
      <c r="Q2653" s="349"/>
    </row>
    <row r="2654" spans="14:17" x14ac:dyDescent="0.3">
      <c r="N2654" s="533"/>
      <c r="O2654" s="533"/>
      <c r="P2654" s="349"/>
      <c r="Q2654" s="349"/>
    </row>
    <row r="2655" spans="14:17" x14ac:dyDescent="0.3">
      <c r="N2655" s="533"/>
      <c r="O2655" s="533"/>
      <c r="P2655" s="349"/>
      <c r="Q2655" s="349"/>
    </row>
    <row r="2656" spans="14:17" x14ac:dyDescent="0.3">
      <c r="N2656" s="533"/>
      <c r="O2656" s="533"/>
      <c r="P2656" s="349"/>
      <c r="Q2656" s="349"/>
    </row>
    <row r="2657" spans="14:17" x14ac:dyDescent="0.3">
      <c r="N2657" s="533"/>
      <c r="O2657" s="533"/>
      <c r="P2657" s="349"/>
      <c r="Q2657" s="349"/>
    </row>
    <row r="2658" spans="14:17" x14ac:dyDescent="0.3">
      <c r="N2658" s="533"/>
      <c r="O2658" s="533"/>
      <c r="P2658" s="349"/>
      <c r="Q2658" s="349"/>
    </row>
    <row r="2659" spans="14:17" x14ac:dyDescent="0.3">
      <c r="N2659" s="533"/>
      <c r="O2659" s="533"/>
      <c r="P2659" s="349"/>
      <c r="Q2659" s="349"/>
    </row>
    <row r="2660" spans="14:17" x14ac:dyDescent="0.3">
      <c r="N2660" s="533"/>
      <c r="O2660" s="533"/>
      <c r="P2660" s="349"/>
      <c r="Q2660" s="349"/>
    </row>
    <row r="2661" spans="14:17" x14ac:dyDescent="0.3">
      <c r="N2661" s="533"/>
      <c r="O2661" s="533"/>
      <c r="P2661" s="349"/>
      <c r="Q2661" s="349"/>
    </row>
    <row r="2662" spans="14:17" x14ac:dyDescent="0.3">
      <c r="N2662" s="533"/>
      <c r="O2662" s="533"/>
      <c r="P2662" s="349"/>
      <c r="Q2662" s="349"/>
    </row>
    <row r="2663" spans="14:17" x14ac:dyDescent="0.3">
      <c r="N2663" s="533"/>
      <c r="O2663" s="533"/>
      <c r="P2663" s="349"/>
      <c r="Q2663" s="349"/>
    </row>
    <row r="2664" spans="14:17" x14ac:dyDescent="0.3">
      <c r="N2664" s="533"/>
      <c r="O2664" s="533"/>
      <c r="P2664" s="349"/>
      <c r="Q2664" s="349"/>
    </row>
    <row r="2665" spans="14:17" x14ac:dyDescent="0.3">
      <c r="N2665" s="533"/>
      <c r="O2665" s="533"/>
      <c r="P2665" s="349"/>
      <c r="Q2665" s="349"/>
    </row>
    <row r="2666" spans="14:17" x14ac:dyDescent="0.3">
      <c r="N2666" s="533"/>
      <c r="O2666" s="533"/>
      <c r="P2666" s="349"/>
      <c r="Q2666" s="349"/>
    </row>
    <row r="2667" spans="14:17" x14ac:dyDescent="0.3">
      <c r="N2667" s="533"/>
      <c r="O2667" s="533"/>
      <c r="P2667" s="349"/>
      <c r="Q2667" s="349"/>
    </row>
    <row r="2668" spans="14:17" x14ac:dyDescent="0.3">
      <c r="N2668" s="533"/>
      <c r="O2668" s="533"/>
      <c r="P2668" s="349"/>
      <c r="Q2668" s="349"/>
    </row>
    <row r="2669" spans="14:17" x14ac:dyDescent="0.3">
      <c r="N2669" s="533"/>
      <c r="O2669" s="533"/>
      <c r="P2669" s="349"/>
      <c r="Q2669" s="349"/>
    </row>
    <row r="2670" spans="14:17" x14ac:dyDescent="0.3">
      <c r="N2670" s="533"/>
      <c r="O2670" s="533"/>
      <c r="P2670" s="349"/>
      <c r="Q2670" s="349"/>
    </row>
    <row r="2671" spans="14:17" x14ac:dyDescent="0.3">
      <c r="N2671" s="533"/>
      <c r="O2671" s="533"/>
      <c r="P2671" s="349"/>
      <c r="Q2671" s="349"/>
    </row>
    <row r="2672" spans="14:17" x14ac:dyDescent="0.3">
      <c r="N2672" s="533"/>
      <c r="O2672" s="533"/>
      <c r="P2672" s="349"/>
      <c r="Q2672" s="349"/>
    </row>
    <row r="2673" spans="14:17" x14ac:dyDescent="0.3">
      <c r="N2673" s="533"/>
      <c r="O2673" s="533"/>
      <c r="P2673" s="349"/>
      <c r="Q2673" s="349"/>
    </row>
    <row r="2674" spans="14:17" x14ac:dyDescent="0.3">
      <c r="N2674" s="533"/>
      <c r="O2674" s="533"/>
      <c r="P2674" s="349"/>
      <c r="Q2674" s="349"/>
    </row>
    <row r="2675" spans="14:17" x14ac:dyDescent="0.3">
      <c r="N2675" s="533"/>
      <c r="O2675" s="533"/>
      <c r="P2675" s="349"/>
      <c r="Q2675" s="349"/>
    </row>
    <row r="2676" spans="14:17" x14ac:dyDescent="0.3">
      <c r="N2676" s="533"/>
      <c r="O2676" s="533"/>
      <c r="P2676" s="349"/>
      <c r="Q2676" s="349"/>
    </row>
    <row r="2677" spans="14:17" x14ac:dyDescent="0.3">
      <c r="N2677" s="533"/>
      <c r="O2677" s="533"/>
      <c r="P2677" s="349"/>
      <c r="Q2677" s="349"/>
    </row>
    <row r="2678" spans="14:17" x14ac:dyDescent="0.3">
      <c r="N2678" s="533"/>
      <c r="O2678" s="533"/>
      <c r="P2678" s="349"/>
      <c r="Q2678" s="349"/>
    </row>
    <row r="2679" spans="14:17" x14ac:dyDescent="0.3">
      <c r="N2679" s="533"/>
      <c r="O2679" s="533"/>
      <c r="P2679" s="349"/>
      <c r="Q2679" s="349"/>
    </row>
    <row r="2680" spans="14:17" x14ac:dyDescent="0.3">
      <c r="N2680" s="533"/>
      <c r="O2680" s="533"/>
      <c r="P2680" s="349"/>
      <c r="Q2680" s="349"/>
    </row>
    <row r="2681" spans="14:17" x14ac:dyDescent="0.3">
      <c r="N2681" s="533"/>
      <c r="O2681" s="533"/>
      <c r="P2681" s="349"/>
      <c r="Q2681" s="349"/>
    </row>
    <row r="2682" spans="14:17" x14ac:dyDescent="0.3">
      <c r="N2682" s="533"/>
      <c r="O2682" s="533"/>
      <c r="P2682" s="349"/>
      <c r="Q2682" s="349"/>
    </row>
    <row r="2683" spans="14:17" x14ac:dyDescent="0.3">
      <c r="N2683" s="533"/>
      <c r="O2683" s="533"/>
      <c r="P2683" s="349"/>
      <c r="Q2683" s="349"/>
    </row>
    <row r="2684" spans="14:17" x14ac:dyDescent="0.3">
      <c r="N2684" s="533"/>
      <c r="O2684" s="533"/>
      <c r="P2684" s="349"/>
      <c r="Q2684" s="349"/>
    </row>
    <row r="2685" spans="14:17" x14ac:dyDescent="0.3">
      <c r="N2685" s="533"/>
      <c r="O2685" s="533"/>
      <c r="P2685" s="349"/>
      <c r="Q2685" s="349"/>
    </row>
    <row r="2686" spans="14:17" x14ac:dyDescent="0.3">
      <c r="N2686" s="533"/>
      <c r="O2686" s="533"/>
      <c r="P2686" s="349"/>
      <c r="Q2686" s="349"/>
    </row>
    <row r="2687" spans="14:17" x14ac:dyDescent="0.3">
      <c r="N2687" s="533"/>
      <c r="O2687" s="533"/>
      <c r="P2687" s="349"/>
      <c r="Q2687" s="349"/>
    </row>
    <row r="2688" spans="14:17" x14ac:dyDescent="0.3">
      <c r="N2688" s="533"/>
      <c r="O2688" s="533"/>
      <c r="P2688" s="349"/>
      <c r="Q2688" s="349"/>
    </row>
    <row r="2689" spans="14:17" x14ac:dyDescent="0.3">
      <c r="N2689" s="533"/>
      <c r="O2689" s="533"/>
      <c r="P2689" s="349"/>
      <c r="Q2689" s="349"/>
    </row>
    <row r="2690" spans="14:17" x14ac:dyDescent="0.3">
      <c r="N2690" s="533"/>
      <c r="O2690" s="533"/>
      <c r="P2690" s="349"/>
      <c r="Q2690" s="349"/>
    </row>
    <row r="2691" spans="14:17" x14ac:dyDescent="0.3">
      <c r="N2691" s="533"/>
      <c r="O2691" s="533"/>
      <c r="P2691" s="349"/>
      <c r="Q2691" s="349"/>
    </row>
    <row r="2692" spans="14:17" x14ac:dyDescent="0.3">
      <c r="N2692" s="533"/>
      <c r="O2692" s="533"/>
      <c r="P2692" s="349"/>
      <c r="Q2692" s="349"/>
    </row>
    <row r="2693" spans="14:17" x14ac:dyDescent="0.3">
      <c r="N2693" s="533"/>
      <c r="O2693" s="533"/>
      <c r="P2693" s="349"/>
      <c r="Q2693" s="349"/>
    </row>
    <row r="2694" spans="14:17" x14ac:dyDescent="0.3">
      <c r="N2694" s="533"/>
      <c r="O2694" s="533"/>
      <c r="P2694" s="349"/>
      <c r="Q2694" s="349"/>
    </row>
    <row r="2695" spans="14:17" x14ac:dyDescent="0.3">
      <c r="N2695" s="533"/>
      <c r="O2695" s="533"/>
      <c r="P2695" s="349"/>
      <c r="Q2695" s="349"/>
    </row>
    <row r="2696" spans="14:17" x14ac:dyDescent="0.3">
      <c r="N2696" s="533"/>
      <c r="O2696" s="533"/>
      <c r="P2696" s="349"/>
      <c r="Q2696" s="349"/>
    </row>
    <row r="2697" spans="14:17" x14ac:dyDescent="0.3">
      <c r="N2697" s="533"/>
      <c r="O2697" s="533"/>
      <c r="P2697" s="349"/>
      <c r="Q2697" s="349"/>
    </row>
    <row r="2698" spans="14:17" x14ac:dyDescent="0.3">
      <c r="N2698" s="533"/>
      <c r="O2698" s="533"/>
      <c r="P2698" s="349"/>
      <c r="Q2698" s="349"/>
    </row>
    <row r="2699" spans="14:17" x14ac:dyDescent="0.3">
      <c r="N2699" s="533"/>
      <c r="O2699" s="533"/>
      <c r="P2699" s="349"/>
      <c r="Q2699" s="349"/>
    </row>
    <row r="2700" spans="14:17" x14ac:dyDescent="0.3">
      <c r="N2700" s="533"/>
      <c r="O2700" s="533"/>
      <c r="P2700" s="349"/>
      <c r="Q2700" s="349"/>
    </row>
    <row r="2701" spans="14:17" x14ac:dyDescent="0.3">
      <c r="N2701" s="533"/>
      <c r="O2701" s="533"/>
      <c r="P2701" s="349"/>
      <c r="Q2701" s="349"/>
    </row>
    <row r="2702" spans="14:17" x14ac:dyDescent="0.3">
      <c r="N2702" s="533"/>
      <c r="O2702" s="533"/>
      <c r="P2702" s="349"/>
      <c r="Q2702" s="349"/>
    </row>
    <row r="2703" spans="14:17" x14ac:dyDescent="0.3">
      <c r="N2703" s="533"/>
      <c r="O2703" s="533"/>
      <c r="P2703" s="349"/>
      <c r="Q2703" s="349"/>
    </row>
    <row r="2704" spans="14:17" x14ac:dyDescent="0.3">
      <c r="N2704" s="533"/>
      <c r="O2704" s="533"/>
      <c r="P2704" s="349"/>
      <c r="Q2704" s="349"/>
    </row>
    <row r="2705" spans="14:17" x14ac:dyDescent="0.3">
      <c r="N2705" s="533"/>
      <c r="O2705" s="533"/>
      <c r="P2705" s="349"/>
      <c r="Q2705" s="349"/>
    </row>
    <row r="2706" spans="14:17" x14ac:dyDescent="0.3">
      <c r="N2706" s="533"/>
      <c r="O2706" s="533"/>
      <c r="P2706" s="349"/>
      <c r="Q2706" s="349"/>
    </row>
    <row r="2707" spans="14:17" x14ac:dyDescent="0.3">
      <c r="N2707" s="533"/>
      <c r="O2707" s="533"/>
      <c r="P2707" s="349"/>
      <c r="Q2707" s="349"/>
    </row>
    <row r="2708" spans="14:17" x14ac:dyDescent="0.3">
      <c r="N2708" s="533"/>
      <c r="O2708" s="533"/>
      <c r="P2708" s="349"/>
      <c r="Q2708" s="349"/>
    </row>
    <row r="2709" spans="14:17" x14ac:dyDescent="0.3">
      <c r="N2709" s="533"/>
      <c r="O2709" s="533"/>
      <c r="P2709" s="349"/>
      <c r="Q2709" s="349"/>
    </row>
    <row r="2710" spans="14:17" x14ac:dyDescent="0.3">
      <c r="N2710" s="533"/>
      <c r="O2710" s="533"/>
      <c r="P2710" s="349"/>
      <c r="Q2710" s="349"/>
    </row>
    <row r="2711" spans="14:17" x14ac:dyDescent="0.3">
      <c r="N2711" s="533"/>
      <c r="O2711" s="533"/>
      <c r="P2711" s="349"/>
      <c r="Q2711" s="349"/>
    </row>
    <row r="2712" spans="14:17" x14ac:dyDescent="0.3">
      <c r="N2712" s="533"/>
      <c r="O2712" s="533"/>
      <c r="P2712" s="349"/>
      <c r="Q2712" s="349"/>
    </row>
    <row r="2713" spans="14:17" x14ac:dyDescent="0.3">
      <c r="N2713" s="533"/>
      <c r="O2713" s="533"/>
      <c r="P2713" s="349"/>
      <c r="Q2713" s="349"/>
    </row>
    <row r="2714" spans="14:17" x14ac:dyDescent="0.3">
      <c r="N2714" s="533"/>
      <c r="O2714" s="533"/>
      <c r="P2714" s="349"/>
      <c r="Q2714" s="349"/>
    </row>
    <row r="2715" spans="14:17" x14ac:dyDescent="0.3">
      <c r="N2715" s="533"/>
      <c r="O2715" s="533"/>
      <c r="P2715" s="349"/>
      <c r="Q2715" s="349"/>
    </row>
    <row r="2716" spans="14:17" x14ac:dyDescent="0.3">
      <c r="N2716" s="533"/>
      <c r="O2716" s="533"/>
      <c r="P2716" s="349"/>
      <c r="Q2716" s="349"/>
    </row>
    <row r="2717" spans="14:17" x14ac:dyDescent="0.3">
      <c r="N2717" s="533"/>
      <c r="O2717" s="533"/>
      <c r="P2717" s="349"/>
      <c r="Q2717" s="349"/>
    </row>
    <row r="2718" spans="14:17" x14ac:dyDescent="0.3">
      <c r="N2718" s="533"/>
      <c r="O2718" s="533"/>
      <c r="P2718" s="349"/>
      <c r="Q2718" s="349"/>
    </row>
    <row r="2719" spans="14:17" x14ac:dyDescent="0.3">
      <c r="N2719" s="533"/>
      <c r="O2719" s="533"/>
      <c r="P2719" s="349"/>
      <c r="Q2719" s="349"/>
    </row>
    <row r="2720" spans="14:17" x14ac:dyDescent="0.3">
      <c r="N2720" s="533"/>
      <c r="O2720" s="533"/>
      <c r="P2720" s="349"/>
      <c r="Q2720" s="349"/>
    </row>
    <row r="2721" spans="14:17" x14ac:dyDescent="0.3">
      <c r="N2721" s="533"/>
      <c r="O2721" s="533"/>
      <c r="P2721" s="349"/>
      <c r="Q2721" s="349"/>
    </row>
    <row r="2722" spans="14:17" x14ac:dyDescent="0.3">
      <c r="N2722" s="533"/>
      <c r="O2722" s="533"/>
      <c r="P2722" s="349"/>
      <c r="Q2722" s="349"/>
    </row>
    <row r="2723" spans="14:17" x14ac:dyDescent="0.3">
      <c r="N2723" s="533"/>
      <c r="O2723" s="533"/>
      <c r="P2723" s="349"/>
      <c r="Q2723" s="349"/>
    </row>
    <row r="2724" spans="14:17" x14ac:dyDescent="0.3">
      <c r="N2724" s="533"/>
      <c r="O2724" s="533"/>
      <c r="P2724" s="349"/>
      <c r="Q2724" s="349"/>
    </row>
    <row r="2725" spans="14:17" x14ac:dyDescent="0.3">
      <c r="N2725" s="533"/>
      <c r="O2725" s="533"/>
      <c r="P2725" s="349"/>
      <c r="Q2725" s="349"/>
    </row>
    <row r="2726" spans="14:17" x14ac:dyDescent="0.3">
      <c r="N2726" s="533"/>
      <c r="O2726" s="533"/>
      <c r="P2726" s="349"/>
      <c r="Q2726" s="349"/>
    </row>
    <row r="2727" spans="14:17" x14ac:dyDescent="0.3">
      <c r="N2727" s="533"/>
      <c r="O2727" s="533"/>
      <c r="P2727" s="349"/>
      <c r="Q2727" s="349"/>
    </row>
    <row r="2728" spans="14:17" x14ac:dyDescent="0.3">
      <c r="N2728" s="533"/>
      <c r="O2728" s="533"/>
      <c r="P2728" s="349"/>
      <c r="Q2728" s="349"/>
    </row>
    <row r="2729" spans="14:17" x14ac:dyDescent="0.3">
      <c r="N2729" s="533"/>
      <c r="O2729" s="533"/>
      <c r="P2729" s="349"/>
      <c r="Q2729" s="349"/>
    </row>
    <row r="2730" spans="14:17" x14ac:dyDescent="0.3">
      <c r="N2730" s="533"/>
      <c r="O2730" s="533"/>
      <c r="P2730" s="349"/>
      <c r="Q2730" s="349"/>
    </row>
    <row r="2731" spans="14:17" x14ac:dyDescent="0.3">
      <c r="N2731" s="533"/>
      <c r="O2731" s="533"/>
      <c r="P2731" s="349"/>
      <c r="Q2731" s="349"/>
    </row>
    <row r="2732" spans="14:17" x14ac:dyDescent="0.3">
      <c r="N2732" s="533"/>
      <c r="O2732" s="533"/>
      <c r="P2732" s="349"/>
      <c r="Q2732" s="349"/>
    </row>
    <row r="2733" spans="14:17" x14ac:dyDescent="0.3">
      <c r="N2733" s="533"/>
      <c r="O2733" s="533"/>
      <c r="P2733" s="349"/>
      <c r="Q2733" s="349"/>
    </row>
    <row r="2734" spans="14:17" x14ac:dyDescent="0.3">
      <c r="N2734" s="533"/>
      <c r="O2734" s="533"/>
      <c r="P2734" s="349"/>
      <c r="Q2734" s="349"/>
    </row>
    <row r="2735" spans="14:17" x14ac:dyDescent="0.3">
      <c r="N2735" s="533"/>
      <c r="O2735" s="533"/>
      <c r="P2735" s="349"/>
      <c r="Q2735" s="349"/>
    </row>
    <row r="2736" spans="14:17" x14ac:dyDescent="0.3">
      <c r="N2736" s="533"/>
      <c r="O2736" s="533"/>
      <c r="P2736" s="349"/>
      <c r="Q2736" s="349"/>
    </row>
    <row r="2737" spans="14:17" x14ac:dyDescent="0.3">
      <c r="N2737" s="533"/>
      <c r="O2737" s="533"/>
      <c r="P2737" s="349"/>
      <c r="Q2737" s="349"/>
    </row>
    <row r="2738" spans="14:17" x14ac:dyDescent="0.3">
      <c r="N2738" s="533"/>
      <c r="O2738" s="533"/>
      <c r="P2738" s="349"/>
      <c r="Q2738" s="349"/>
    </row>
    <row r="2739" spans="14:17" x14ac:dyDescent="0.3">
      <c r="N2739" s="533"/>
      <c r="O2739" s="533"/>
      <c r="P2739" s="349"/>
      <c r="Q2739" s="349"/>
    </row>
    <row r="2740" spans="14:17" x14ac:dyDescent="0.3">
      <c r="N2740" s="533"/>
      <c r="O2740" s="533"/>
      <c r="P2740" s="349"/>
      <c r="Q2740" s="349"/>
    </row>
    <row r="2741" spans="14:17" x14ac:dyDescent="0.3">
      <c r="N2741" s="533"/>
      <c r="O2741" s="533"/>
      <c r="P2741" s="349"/>
      <c r="Q2741" s="349"/>
    </row>
    <row r="2742" spans="14:17" x14ac:dyDescent="0.3">
      <c r="N2742" s="533"/>
      <c r="O2742" s="533"/>
      <c r="P2742" s="349"/>
      <c r="Q2742" s="349"/>
    </row>
    <row r="2743" spans="14:17" x14ac:dyDescent="0.3">
      <c r="N2743" s="533"/>
      <c r="O2743" s="533"/>
      <c r="P2743" s="349"/>
      <c r="Q2743" s="349"/>
    </row>
    <row r="2744" spans="14:17" x14ac:dyDescent="0.3">
      <c r="N2744" s="533"/>
      <c r="O2744" s="533"/>
      <c r="P2744" s="349"/>
      <c r="Q2744" s="349"/>
    </row>
    <row r="2745" spans="14:17" x14ac:dyDescent="0.3">
      <c r="N2745" s="533"/>
      <c r="O2745" s="533"/>
      <c r="P2745" s="349"/>
      <c r="Q2745" s="349"/>
    </row>
    <row r="2746" spans="14:17" x14ac:dyDescent="0.3">
      <c r="N2746" s="533"/>
      <c r="O2746" s="533"/>
      <c r="P2746" s="349"/>
      <c r="Q2746" s="349"/>
    </row>
    <row r="2747" spans="14:17" x14ac:dyDescent="0.3">
      <c r="N2747" s="533"/>
      <c r="O2747" s="533"/>
      <c r="P2747" s="349"/>
      <c r="Q2747" s="349"/>
    </row>
    <row r="2748" spans="14:17" x14ac:dyDescent="0.3">
      <c r="N2748" s="533"/>
      <c r="O2748" s="533"/>
      <c r="P2748" s="349"/>
      <c r="Q2748" s="349"/>
    </row>
    <row r="2749" spans="14:17" x14ac:dyDescent="0.3">
      <c r="N2749" s="533"/>
      <c r="O2749" s="533"/>
      <c r="P2749" s="349"/>
      <c r="Q2749" s="349"/>
    </row>
    <row r="2750" spans="14:17" x14ac:dyDescent="0.3">
      <c r="N2750" s="533"/>
      <c r="O2750" s="533"/>
      <c r="P2750" s="349"/>
      <c r="Q2750" s="349"/>
    </row>
    <row r="2751" spans="14:17" x14ac:dyDescent="0.3">
      <c r="N2751" s="533"/>
      <c r="O2751" s="533"/>
      <c r="P2751" s="349"/>
      <c r="Q2751" s="349"/>
    </row>
    <row r="2752" spans="14:17" x14ac:dyDescent="0.3">
      <c r="N2752" s="533"/>
      <c r="O2752" s="533"/>
      <c r="P2752" s="349"/>
      <c r="Q2752" s="349"/>
    </row>
    <row r="2753" spans="14:17" x14ac:dyDescent="0.3">
      <c r="N2753" s="533"/>
      <c r="O2753" s="533"/>
      <c r="P2753" s="349"/>
      <c r="Q2753" s="349"/>
    </row>
    <row r="2754" spans="14:17" x14ac:dyDescent="0.3">
      <c r="N2754" s="533"/>
      <c r="O2754" s="533"/>
      <c r="P2754" s="349"/>
      <c r="Q2754" s="349"/>
    </row>
    <row r="2755" spans="14:17" x14ac:dyDescent="0.3">
      <c r="N2755" s="533"/>
      <c r="O2755" s="533"/>
      <c r="P2755" s="349"/>
      <c r="Q2755" s="349"/>
    </row>
    <row r="2756" spans="14:17" x14ac:dyDescent="0.3">
      <c r="N2756" s="533"/>
      <c r="O2756" s="533"/>
      <c r="P2756" s="349"/>
      <c r="Q2756" s="349"/>
    </row>
    <row r="2757" spans="14:17" x14ac:dyDescent="0.3">
      <c r="N2757" s="533"/>
      <c r="O2757" s="533"/>
      <c r="P2757" s="349"/>
      <c r="Q2757" s="349"/>
    </row>
    <row r="2758" spans="14:17" x14ac:dyDescent="0.3">
      <c r="N2758" s="533"/>
      <c r="O2758" s="533"/>
      <c r="P2758" s="349"/>
      <c r="Q2758" s="349"/>
    </row>
    <row r="2759" spans="14:17" x14ac:dyDescent="0.3">
      <c r="N2759" s="533"/>
      <c r="O2759" s="533"/>
      <c r="P2759" s="349"/>
      <c r="Q2759" s="349"/>
    </row>
    <row r="2760" spans="14:17" x14ac:dyDescent="0.3">
      <c r="N2760" s="533"/>
      <c r="O2760" s="533"/>
      <c r="P2760" s="349"/>
      <c r="Q2760" s="349"/>
    </row>
    <row r="2761" spans="14:17" x14ac:dyDescent="0.3">
      <c r="N2761" s="533"/>
      <c r="O2761" s="533"/>
      <c r="P2761" s="349"/>
      <c r="Q2761" s="349"/>
    </row>
    <row r="2762" spans="14:17" x14ac:dyDescent="0.3">
      <c r="N2762" s="533"/>
      <c r="O2762" s="533"/>
      <c r="P2762" s="349"/>
      <c r="Q2762" s="349"/>
    </row>
    <row r="2763" spans="14:17" x14ac:dyDescent="0.3">
      <c r="N2763" s="533"/>
      <c r="O2763" s="533"/>
      <c r="P2763" s="349"/>
      <c r="Q2763" s="349"/>
    </row>
    <row r="2764" spans="14:17" x14ac:dyDescent="0.3">
      <c r="N2764" s="533"/>
      <c r="O2764" s="533"/>
      <c r="P2764" s="349"/>
      <c r="Q2764" s="349"/>
    </row>
    <row r="2765" spans="14:17" x14ac:dyDescent="0.3">
      <c r="N2765" s="533"/>
      <c r="O2765" s="533"/>
      <c r="P2765" s="349"/>
      <c r="Q2765" s="349"/>
    </row>
    <row r="2766" spans="14:17" x14ac:dyDescent="0.3">
      <c r="N2766" s="533"/>
      <c r="O2766" s="533"/>
      <c r="P2766" s="349"/>
      <c r="Q2766" s="349"/>
    </row>
    <row r="2767" spans="14:17" x14ac:dyDescent="0.3">
      <c r="N2767" s="533"/>
      <c r="O2767" s="533"/>
      <c r="P2767" s="349"/>
      <c r="Q2767" s="349"/>
    </row>
    <row r="2768" spans="14:17" x14ac:dyDescent="0.3">
      <c r="N2768" s="533"/>
      <c r="O2768" s="533"/>
      <c r="P2768" s="349"/>
      <c r="Q2768" s="349"/>
    </row>
    <row r="2769" spans="14:17" x14ac:dyDescent="0.3">
      <c r="N2769" s="533"/>
      <c r="O2769" s="533"/>
      <c r="P2769" s="349"/>
      <c r="Q2769" s="349"/>
    </row>
    <row r="2770" spans="14:17" x14ac:dyDescent="0.3">
      <c r="N2770" s="533"/>
      <c r="O2770" s="533"/>
      <c r="P2770" s="349"/>
      <c r="Q2770" s="349"/>
    </row>
    <row r="2771" spans="14:17" x14ac:dyDescent="0.3">
      <c r="N2771" s="533"/>
      <c r="O2771" s="533"/>
      <c r="P2771" s="349"/>
      <c r="Q2771" s="349"/>
    </row>
    <row r="2772" spans="14:17" x14ac:dyDescent="0.3">
      <c r="N2772" s="533"/>
      <c r="O2772" s="533"/>
      <c r="P2772" s="349"/>
      <c r="Q2772" s="349"/>
    </row>
    <row r="2773" spans="14:17" x14ac:dyDescent="0.3">
      <c r="N2773" s="533"/>
      <c r="O2773" s="533"/>
      <c r="P2773" s="349"/>
      <c r="Q2773" s="349"/>
    </row>
    <row r="2774" spans="14:17" x14ac:dyDescent="0.3">
      <c r="N2774" s="533"/>
      <c r="O2774" s="533"/>
      <c r="P2774" s="349"/>
      <c r="Q2774" s="349"/>
    </row>
    <row r="2775" spans="14:17" x14ac:dyDescent="0.3">
      <c r="N2775" s="533"/>
      <c r="O2775" s="533"/>
      <c r="P2775" s="349"/>
      <c r="Q2775" s="349"/>
    </row>
    <row r="2776" spans="14:17" x14ac:dyDescent="0.3">
      <c r="N2776" s="533"/>
      <c r="O2776" s="533"/>
      <c r="P2776" s="349"/>
      <c r="Q2776" s="349"/>
    </row>
    <row r="2777" spans="14:17" x14ac:dyDescent="0.3">
      <c r="N2777" s="533"/>
      <c r="O2777" s="533"/>
      <c r="P2777" s="349"/>
      <c r="Q2777" s="349"/>
    </row>
    <row r="2778" spans="14:17" x14ac:dyDescent="0.3">
      <c r="N2778" s="533"/>
      <c r="O2778" s="533"/>
      <c r="P2778" s="349"/>
      <c r="Q2778" s="349"/>
    </row>
    <row r="2779" spans="14:17" x14ac:dyDescent="0.3">
      <c r="N2779" s="533"/>
      <c r="O2779" s="533"/>
      <c r="P2779" s="349"/>
      <c r="Q2779" s="349"/>
    </row>
    <row r="2780" spans="14:17" x14ac:dyDescent="0.3">
      <c r="N2780" s="533"/>
      <c r="O2780" s="533"/>
      <c r="P2780" s="349"/>
      <c r="Q2780" s="349"/>
    </row>
    <row r="2781" spans="14:17" x14ac:dyDescent="0.3">
      <c r="N2781" s="533"/>
      <c r="O2781" s="533"/>
      <c r="P2781" s="349"/>
      <c r="Q2781" s="349"/>
    </row>
    <row r="2782" spans="14:17" x14ac:dyDescent="0.3">
      <c r="N2782" s="533"/>
      <c r="O2782" s="533"/>
      <c r="P2782" s="349"/>
      <c r="Q2782" s="349"/>
    </row>
    <row r="2783" spans="14:17" x14ac:dyDescent="0.3">
      <c r="N2783" s="533"/>
      <c r="O2783" s="533"/>
      <c r="P2783" s="349"/>
      <c r="Q2783" s="349"/>
    </row>
    <row r="2784" spans="14:17" x14ac:dyDescent="0.3">
      <c r="N2784" s="533"/>
      <c r="O2784" s="533"/>
      <c r="P2784" s="349"/>
      <c r="Q2784" s="349"/>
    </row>
    <row r="2785" spans="14:17" x14ac:dyDescent="0.3">
      <c r="N2785" s="533"/>
      <c r="O2785" s="533"/>
      <c r="P2785" s="349"/>
      <c r="Q2785" s="349"/>
    </row>
    <row r="2786" spans="14:17" x14ac:dyDescent="0.3">
      <c r="N2786" s="533"/>
      <c r="O2786" s="533"/>
      <c r="P2786" s="349"/>
      <c r="Q2786" s="349"/>
    </row>
    <row r="2787" spans="14:17" x14ac:dyDescent="0.3">
      <c r="N2787" s="533"/>
      <c r="O2787" s="533"/>
      <c r="P2787" s="349"/>
      <c r="Q2787" s="349"/>
    </row>
    <row r="2788" spans="14:17" x14ac:dyDescent="0.3">
      <c r="N2788" s="533"/>
      <c r="O2788" s="533"/>
      <c r="P2788" s="349"/>
      <c r="Q2788" s="349"/>
    </row>
    <row r="2789" spans="14:17" x14ac:dyDescent="0.3">
      <c r="N2789" s="533"/>
      <c r="O2789" s="533"/>
      <c r="P2789" s="349"/>
      <c r="Q2789" s="349"/>
    </row>
    <row r="2790" spans="14:17" x14ac:dyDescent="0.3">
      <c r="N2790" s="533"/>
      <c r="O2790" s="533"/>
      <c r="P2790" s="349"/>
      <c r="Q2790" s="349"/>
    </row>
    <row r="2791" spans="14:17" x14ac:dyDescent="0.3">
      <c r="P2791" s="349"/>
      <c r="Q2791" s="349"/>
    </row>
    <row r="2792" spans="14:17" x14ac:dyDescent="0.3">
      <c r="P2792" s="349"/>
      <c r="Q2792" s="349"/>
    </row>
    <row r="2793" spans="14:17" x14ac:dyDescent="0.3">
      <c r="P2793" s="349"/>
      <c r="Q2793" s="349"/>
    </row>
    <row r="2794" spans="14:17" x14ac:dyDescent="0.3">
      <c r="P2794" s="349"/>
      <c r="Q2794" s="349"/>
    </row>
    <row r="2795" spans="14:17" x14ac:dyDescent="0.3">
      <c r="P2795" s="349"/>
      <c r="Q2795" s="349"/>
    </row>
    <row r="2796" spans="14:17" x14ac:dyDescent="0.3">
      <c r="P2796" s="349"/>
      <c r="Q2796" s="349"/>
    </row>
    <row r="2797" spans="14:17" x14ac:dyDescent="0.3">
      <c r="P2797" s="349"/>
      <c r="Q2797" s="349"/>
    </row>
    <row r="2798" spans="14:17" x14ac:dyDescent="0.3">
      <c r="P2798" s="349"/>
      <c r="Q2798" s="349"/>
    </row>
    <row r="2799" spans="14:17" x14ac:dyDescent="0.3">
      <c r="P2799" s="349"/>
      <c r="Q2799" s="349"/>
    </row>
    <row r="2800" spans="14:17" x14ac:dyDescent="0.3">
      <c r="P2800" s="349"/>
      <c r="Q2800" s="349"/>
    </row>
    <row r="2801" spans="16:17" x14ac:dyDescent="0.3">
      <c r="P2801" s="349"/>
      <c r="Q2801" s="349"/>
    </row>
    <row r="2802" spans="16:17" x14ac:dyDescent="0.3">
      <c r="P2802" s="349"/>
      <c r="Q2802" s="349"/>
    </row>
    <row r="2803" spans="16:17" x14ac:dyDescent="0.3">
      <c r="P2803" s="349"/>
      <c r="Q2803" s="349"/>
    </row>
    <row r="2804" spans="16:17" x14ac:dyDescent="0.3">
      <c r="P2804" s="349"/>
      <c r="Q2804" s="349"/>
    </row>
    <row r="2805" spans="16:17" x14ac:dyDescent="0.3">
      <c r="P2805" s="349"/>
      <c r="Q2805" s="349"/>
    </row>
    <row r="2806" spans="16:17" x14ac:dyDescent="0.3">
      <c r="P2806" s="349"/>
      <c r="Q2806" s="349"/>
    </row>
    <row r="2807" spans="16:17" x14ac:dyDescent="0.3">
      <c r="P2807" s="349"/>
      <c r="Q2807" s="349"/>
    </row>
    <row r="2808" spans="16:17" x14ac:dyDescent="0.3">
      <c r="P2808" s="349"/>
      <c r="Q2808" s="349"/>
    </row>
    <row r="2809" spans="16:17" x14ac:dyDescent="0.3">
      <c r="P2809" s="349"/>
      <c r="Q2809" s="349"/>
    </row>
    <row r="2810" spans="16:17" x14ac:dyDescent="0.3">
      <c r="P2810" s="349"/>
      <c r="Q2810" s="349"/>
    </row>
    <row r="2811" spans="16:17" x14ac:dyDescent="0.3">
      <c r="P2811" s="349"/>
      <c r="Q2811" s="349"/>
    </row>
    <row r="2812" spans="16:17" x14ac:dyDescent="0.3">
      <c r="P2812" s="349"/>
      <c r="Q2812" s="349"/>
    </row>
    <row r="2813" spans="16:17" x14ac:dyDescent="0.3">
      <c r="P2813" s="349"/>
      <c r="Q2813" s="349"/>
    </row>
    <row r="2814" spans="16:17" x14ac:dyDescent="0.3">
      <c r="P2814" s="349"/>
      <c r="Q2814" s="349"/>
    </row>
    <row r="2815" spans="16:17" x14ac:dyDescent="0.3">
      <c r="P2815" s="349"/>
      <c r="Q2815" s="349"/>
    </row>
    <row r="2816" spans="16:17" x14ac:dyDescent="0.3">
      <c r="P2816" s="349"/>
      <c r="Q2816" s="349"/>
    </row>
    <row r="2817" spans="16:17" x14ac:dyDescent="0.3">
      <c r="P2817" s="349"/>
      <c r="Q2817" s="349"/>
    </row>
    <row r="2818" spans="16:17" x14ac:dyDescent="0.3">
      <c r="P2818" s="349"/>
      <c r="Q2818" s="349"/>
    </row>
    <row r="2819" spans="16:17" x14ac:dyDescent="0.3">
      <c r="P2819" s="349"/>
      <c r="Q2819" s="349"/>
    </row>
    <row r="2820" spans="16:17" x14ac:dyDescent="0.3">
      <c r="P2820" s="349"/>
      <c r="Q2820" s="349"/>
    </row>
    <row r="2821" spans="16:17" x14ac:dyDescent="0.3">
      <c r="P2821" s="349"/>
      <c r="Q2821" s="349"/>
    </row>
    <row r="2822" spans="16:17" x14ac:dyDescent="0.3">
      <c r="P2822" s="349"/>
      <c r="Q2822" s="349"/>
    </row>
    <row r="2823" spans="16:17" x14ac:dyDescent="0.3">
      <c r="P2823" s="349"/>
      <c r="Q2823" s="349"/>
    </row>
    <row r="2824" spans="16:17" x14ac:dyDescent="0.3">
      <c r="P2824" s="349"/>
      <c r="Q2824" s="349"/>
    </row>
    <row r="2825" spans="16:17" x14ac:dyDescent="0.3">
      <c r="P2825" s="349"/>
      <c r="Q2825" s="349"/>
    </row>
    <row r="2826" spans="16:17" x14ac:dyDescent="0.3">
      <c r="P2826" s="349"/>
      <c r="Q2826" s="349"/>
    </row>
    <row r="2827" spans="16:17" x14ac:dyDescent="0.3">
      <c r="P2827" s="349"/>
      <c r="Q2827" s="349"/>
    </row>
    <row r="2828" spans="16:17" x14ac:dyDescent="0.3">
      <c r="P2828" s="349"/>
      <c r="Q2828" s="349"/>
    </row>
    <row r="2829" spans="16:17" x14ac:dyDescent="0.3">
      <c r="P2829" s="349"/>
      <c r="Q2829" s="349"/>
    </row>
    <row r="2830" spans="16:17" x14ac:dyDescent="0.3">
      <c r="P2830" s="349"/>
      <c r="Q2830" s="349"/>
    </row>
    <row r="2831" spans="16:17" x14ac:dyDescent="0.3">
      <c r="P2831" s="349"/>
      <c r="Q2831" s="349"/>
    </row>
    <row r="2832" spans="16:17" x14ac:dyDescent="0.3">
      <c r="P2832" s="349"/>
      <c r="Q2832" s="349"/>
    </row>
    <row r="2833" spans="16:17" x14ac:dyDescent="0.3">
      <c r="P2833" s="349"/>
      <c r="Q2833" s="349"/>
    </row>
    <row r="2834" spans="16:17" x14ac:dyDescent="0.3">
      <c r="P2834" s="349"/>
      <c r="Q2834" s="349"/>
    </row>
    <row r="2835" spans="16:17" x14ac:dyDescent="0.3">
      <c r="P2835" s="349"/>
      <c r="Q2835" s="349"/>
    </row>
    <row r="2836" spans="16:17" x14ac:dyDescent="0.3">
      <c r="P2836" s="349"/>
      <c r="Q2836" s="349"/>
    </row>
    <row r="2837" spans="16:17" x14ac:dyDescent="0.3">
      <c r="P2837" s="349"/>
      <c r="Q2837" s="349"/>
    </row>
    <row r="2838" spans="16:17" x14ac:dyDescent="0.3">
      <c r="P2838" s="349"/>
      <c r="Q2838" s="349"/>
    </row>
    <row r="2839" spans="16:17" x14ac:dyDescent="0.3">
      <c r="P2839" s="349"/>
      <c r="Q2839" s="349"/>
    </row>
    <row r="2840" spans="16:17" x14ac:dyDescent="0.3">
      <c r="P2840" s="349"/>
      <c r="Q2840" s="349"/>
    </row>
    <row r="2841" spans="16:17" x14ac:dyDescent="0.3">
      <c r="P2841" s="349"/>
      <c r="Q2841" s="349"/>
    </row>
    <row r="2842" spans="16:17" x14ac:dyDescent="0.3">
      <c r="P2842" s="349"/>
      <c r="Q2842" s="349"/>
    </row>
    <row r="2843" spans="16:17" x14ac:dyDescent="0.3">
      <c r="P2843" s="349"/>
      <c r="Q2843" s="349"/>
    </row>
    <row r="2844" spans="16:17" x14ac:dyDescent="0.3">
      <c r="P2844" s="349"/>
      <c r="Q2844" s="349"/>
    </row>
    <row r="2845" spans="16:17" x14ac:dyDescent="0.3">
      <c r="P2845" s="349"/>
      <c r="Q2845" s="349"/>
    </row>
    <row r="2846" spans="16:17" x14ac:dyDescent="0.3">
      <c r="P2846" s="349"/>
      <c r="Q2846" s="349"/>
    </row>
    <row r="2847" spans="16:17" x14ac:dyDescent="0.3">
      <c r="P2847" s="349"/>
      <c r="Q2847" s="349"/>
    </row>
    <row r="2848" spans="16:17" x14ac:dyDescent="0.3">
      <c r="P2848" s="349"/>
      <c r="Q2848" s="349"/>
    </row>
    <row r="2849" spans="16:17" x14ac:dyDescent="0.3">
      <c r="P2849" s="349"/>
      <c r="Q2849" s="349"/>
    </row>
    <row r="2850" spans="16:17" x14ac:dyDescent="0.3">
      <c r="P2850" s="349"/>
      <c r="Q2850" s="349"/>
    </row>
    <row r="2851" spans="16:17" x14ac:dyDescent="0.3">
      <c r="P2851" s="349"/>
      <c r="Q2851" s="349"/>
    </row>
    <row r="2852" spans="16:17" x14ac:dyDescent="0.3">
      <c r="P2852" s="349"/>
      <c r="Q2852" s="349"/>
    </row>
    <row r="2853" spans="16:17" x14ac:dyDescent="0.3">
      <c r="P2853" s="349"/>
      <c r="Q2853" s="349"/>
    </row>
    <row r="2854" spans="16:17" x14ac:dyDescent="0.3">
      <c r="P2854" s="349"/>
      <c r="Q2854" s="349"/>
    </row>
    <row r="2855" spans="16:17" x14ac:dyDescent="0.3">
      <c r="P2855" s="349"/>
      <c r="Q2855" s="349"/>
    </row>
    <row r="2856" spans="16:17" x14ac:dyDescent="0.3">
      <c r="P2856" s="349"/>
      <c r="Q2856" s="349"/>
    </row>
    <row r="2857" spans="16:17" x14ac:dyDescent="0.3">
      <c r="P2857" s="349"/>
      <c r="Q2857" s="349"/>
    </row>
    <row r="2858" spans="16:17" x14ac:dyDescent="0.3">
      <c r="P2858" s="349"/>
      <c r="Q2858" s="349"/>
    </row>
    <row r="2859" spans="16:17" x14ac:dyDescent="0.3">
      <c r="P2859" s="349"/>
      <c r="Q2859" s="349"/>
    </row>
    <row r="2860" spans="16:17" x14ac:dyDescent="0.3">
      <c r="P2860" s="349"/>
      <c r="Q2860" s="349"/>
    </row>
    <row r="2861" spans="16:17" x14ac:dyDescent="0.3">
      <c r="P2861" s="349"/>
      <c r="Q2861" s="349"/>
    </row>
    <row r="2862" spans="16:17" x14ac:dyDescent="0.3">
      <c r="P2862" s="349"/>
      <c r="Q2862" s="349"/>
    </row>
    <row r="2863" spans="16:17" x14ac:dyDescent="0.3">
      <c r="P2863" s="349"/>
      <c r="Q2863" s="349"/>
    </row>
    <row r="2864" spans="16:17" x14ac:dyDescent="0.3">
      <c r="P2864" s="349"/>
      <c r="Q2864" s="349"/>
    </row>
    <row r="2865" spans="16:17" x14ac:dyDescent="0.3">
      <c r="P2865" s="349"/>
      <c r="Q2865" s="349"/>
    </row>
    <row r="2866" spans="16:17" x14ac:dyDescent="0.3">
      <c r="P2866" s="349"/>
      <c r="Q2866" s="349"/>
    </row>
    <row r="2867" spans="16:17" x14ac:dyDescent="0.3">
      <c r="P2867" s="349"/>
      <c r="Q2867" s="349"/>
    </row>
    <row r="2868" spans="16:17" x14ac:dyDescent="0.3">
      <c r="P2868" s="349"/>
      <c r="Q2868" s="349"/>
    </row>
    <row r="2869" spans="16:17" x14ac:dyDescent="0.3">
      <c r="P2869" s="349"/>
      <c r="Q2869" s="349"/>
    </row>
    <row r="2870" spans="16:17" x14ac:dyDescent="0.3">
      <c r="P2870" s="349"/>
      <c r="Q2870" s="349"/>
    </row>
    <row r="2871" spans="16:17" x14ac:dyDescent="0.3">
      <c r="P2871" s="349"/>
      <c r="Q2871" s="349"/>
    </row>
    <row r="2872" spans="16:17" x14ac:dyDescent="0.3">
      <c r="P2872" s="349"/>
      <c r="Q2872" s="349"/>
    </row>
    <row r="2873" spans="16:17" x14ac:dyDescent="0.3">
      <c r="P2873" s="349"/>
      <c r="Q2873" s="349"/>
    </row>
    <row r="2874" spans="16:17" x14ac:dyDescent="0.3">
      <c r="P2874" s="349"/>
      <c r="Q2874" s="349"/>
    </row>
    <row r="2875" spans="16:17" x14ac:dyDescent="0.3">
      <c r="P2875" s="349"/>
      <c r="Q2875" s="349"/>
    </row>
    <row r="2876" spans="16:17" x14ac:dyDescent="0.3">
      <c r="P2876" s="349"/>
      <c r="Q2876" s="349"/>
    </row>
    <row r="2877" spans="16:17" x14ac:dyDescent="0.3">
      <c r="P2877" s="349"/>
      <c r="Q2877" s="349"/>
    </row>
    <row r="2878" spans="16:17" x14ac:dyDescent="0.3">
      <c r="P2878" s="349"/>
      <c r="Q2878" s="349"/>
    </row>
    <row r="2879" spans="16:17" x14ac:dyDescent="0.3">
      <c r="P2879" s="349"/>
      <c r="Q2879" s="349"/>
    </row>
    <row r="2880" spans="16:17" x14ac:dyDescent="0.3">
      <c r="P2880" s="349"/>
      <c r="Q2880" s="349"/>
    </row>
    <row r="2881" spans="16:17" x14ac:dyDescent="0.3">
      <c r="P2881" s="349"/>
      <c r="Q2881" s="349"/>
    </row>
    <row r="2882" spans="16:17" x14ac:dyDescent="0.3">
      <c r="P2882" s="349"/>
      <c r="Q2882" s="349"/>
    </row>
    <row r="2883" spans="16:17" x14ac:dyDescent="0.3">
      <c r="P2883" s="349"/>
      <c r="Q2883" s="349"/>
    </row>
    <row r="2884" spans="16:17" x14ac:dyDescent="0.3">
      <c r="P2884" s="349"/>
      <c r="Q2884" s="349"/>
    </row>
    <row r="2885" spans="16:17" x14ac:dyDescent="0.3">
      <c r="P2885" s="349"/>
      <c r="Q2885" s="349"/>
    </row>
    <row r="2886" spans="16:17" x14ac:dyDescent="0.3">
      <c r="P2886" s="349"/>
      <c r="Q2886" s="349"/>
    </row>
    <row r="2887" spans="16:17" x14ac:dyDescent="0.3">
      <c r="P2887" s="349"/>
      <c r="Q2887" s="349"/>
    </row>
    <row r="2888" spans="16:17" x14ac:dyDescent="0.3">
      <c r="P2888" s="349"/>
      <c r="Q2888" s="349"/>
    </row>
    <row r="2889" spans="16:17" x14ac:dyDescent="0.3">
      <c r="P2889" s="349"/>
      <c r="Q2889" s="349"/>
    </row>
    <row r="2890" spans="16:17" x14ac:dyDescent="0.3">
      <c r="P2890" s="349"/>
      <c r="Q2890" s="349"/>
    </row>
    <row r="2891" spans="16:17" x14ac:dyDescent="0.3">
      <c r="P2891" s="349"/>
      <c r="Q2891" s="349"/>
    </row>
    <row r="2892" spans="16:17" x14ac:dyDescent="0.3">
      <c r="P2892" s="349"/>
      <c r="Q2892" s="349"/>
    </row>
    <row r="2893" spans="16:17" x14ac:dyDescent="0.3">
      <c r="P2893" s="349"/>
      <c r="Q2893" s="349"/>
    </row>
    <row r="2894" spans="16:17" x14ac:dyDescent="0.3">
      <c r="P2894" s="349"/>
      <c r="Q2894" s="349"/>
    </row>
    <row r="2895" spans="16:17" x14ac:dyDescent="0.3">
      <c r="P2895" s="349"/>
      <c r="Q2895" s="349"/>
    </row>
    <row r="2896" spans="16:17" x14ac:dyDescent="0.3">
      <c r="P2896" s="349"/>
      <c r="Q2896" s="349"/>
    </row>
    <row r="2897" spans="16:17" x14ac:dyDescent="0.3">
      <c r="P2897" s="349"/>
      <c r="Q2897" s="349"/>
    </row>
    <row r="2898" spans="16:17" x14ac:dyDescent="0.3">
      <c r="P2898" s="349"/>
      <c r="Q2898" s="349"/>
    </row>
    <row r="2899" spans="16:17" x14ac:dyDescent="0.3">
      <c r="P2899" s="349"/>
      <c r="Q2899" s="349"/>
    </row>
    <row r="2900" spans="16:17" x14ac:dyDescent="0.3">
      <c r="P2900" s="349"/>
      <c r="Q2900" s="349"/>
    </row>
    <row r="2901" spans="16:17" x14ac:dyDescent="0.3">
      <c r="P2901" s="349"/>
      <c r="Q2901" s="349"/>
    </row>
    <row r="2902" spans="16:17" x14ac:dyDescent="0.3">
      <c r="P2902" s="349"/>
      <c r="Q2902" s="349"/>
    </row>
    <row r="2903" spans="16:17" x14ac:dyDescent="0.3">
      <c r="P2903" s="349"/>
      <c r="Q2903" s="349"/>
    </row>
    <row r="2904" spans="16:17" x14ac:dyDescent="0.3">
      <c r="P2904" s="349"/>
      <c r="Q2904" s="349"/>
    </row>
    <row r="2905" spans="16:17" x14ac:dyDescent="0.3">
      <c r="P2905" s="349"/>
      <c r="Q2905" s="349"/>
    </row>
    <row r="2906" spans="16:17" x14ac:dyDescent="0.3">
      <c r="P2906" s="349"/>
      <c r="Q2906" s="349"/>
    </row>
    <row r="2907" spans="16:17" x14ac:dyDescent="0.3">
      <c r="P2907" s="349"/>
      <c r="Q2907" s="349"/>
    </row>
    <row r="2908" spans="16:17" x14ac:dyDescent="0.3">
      <c r="P2908" s="349"/>
      <c r="Q2908" s="349"/>
    </row>
    <row r="2909" spans="16:17" x14ac:dyDescent="0.3">
      <c r="P2909" s="349"/>
      <c r="Q2909" s="349"/>
    </row>
    <row r="2910" spans="16:17" x14ac:dyDescent="0.3">
      <c r="P2910" s="349"/>
      <c r="Q2910" s="349"/>
    </row>
    <row r="2911" spans="16:17" x14ac:dyDescent="0.3">
      <c r="P2911" s="349"/>
      <c r="Q2911" s="349"/>
    </row>
    <row r="2912" spans="16:17" x14ac:dyDescent="0.3">
      <c r="P2912" s="349"/>
      <c r="Q2912" s="349"/>
    </row>
    <row r="2913" spans="16:17" x14ac:dyDescent="0.3">
      <c r="P2913" s="349"/>
      <c r="Q2913" s="349"/>
    </row>
    <row r="2914" spans="16:17" x14ac:dyDescent="0.3">
      <c r="P2914" s="349"/>
      <c r="Q2914" s="349"/>
    </row>
    <row r="2915" spans="16:17" x14ac:dyDescent="0.3">
      <c r="P2915" s="349"/>
      <c r="Q2915" s="349"/>
    </row>
    <row r="2916" spans="16:17" x14ac:dyDescent="0.3">
      <c r="P2916" s="349"/>
      <c r="Q2916" s="349"/>
    </row>
    <row r="2917" spans="16:17" x14ac:dyDescent="0.3">
      <c r="P2917" s="349"/>
      <c r="Q2917" s="349"/>
    </row>
    <row r="2918" spans="16:17" x14ac:dyDescent="0.3">
      <c r="P2918" s="349"/>
      <c r="Q2918" s="349"/>
    </row>
    <row r="2919" spans="16:17" x14ac:dyDescent="0.3">
      <c r="P2919" s="349"/>
      <c r="Q2919" s="349"/>
    </row>
    <row r="2920" spans="16:17" x14ac:dyDescent="0.3">
      <c r="P2920" s="349"/>
      <c r="Q2920" s="349"/>
    </row>
    <row r="2921" spans="16:17" x14ac:dyDescent="0.3">
      <c r="P2921" s="349"/>
      <c r="Q2921" s="349"/>
    </row>
    <row r="2922" spans="16:17" x14ac:dyDescent="0.3">
      <c r="P2922" s="349"/>
      <c r="Q2922" s="349"/>
    </row>
    <row r="2923" spans="16:17" x14ac:dyDescent="0.3">
      <c r="P2923" s="349"/>
      <c r="Q2923" s="349"/>
    </row>
    <row r="2924" spans="16:17" x14ac:dyDescent="0.3">
      <c r="P2924" s="349"/>
      <c r="Q2924" s="349"/>
    </row>
    <row r="2925" spans="16:17" x14ac:dyDescent="0.3">
      <c r="P2925" s="349"/>
      <c r="Q2925" s="349"/>
    </row>
    <row r="2926" spans="16:17" x14ac:dyDescent="0.3">
      <c r="P2926" s="349"/>
      <c r="Q2926" s="349"/>
    </row>
    <row r="2927" spans="16:17" x14ac:dyDescent="0.3">
      <c r="P2927" s="349"/>
      <c r="Q2927" s="349"/>
    </row>
    <row r="2928" spans="16:17" x14ac:dyDescent="0.3">
      <c r="P2928" s="349"/>
      <c r="Q2928" s="349"/>
    </row>
    <row r="2929" spans="16:17" x14ac:dyDescent="0.3">
      <c r="P2929" s="349"/>
      <c r="Q2929" s="349"/>
    </row>
    <row r="2930" spans="16:17" x14ac:dyDescent="0.3">
      <c r="P2930" s="349"/>
      <c r="Q2930" s="349"/>
    </row>
    <row r="2931" spans="16:17" x14ac:dyDescent="0.3">
      <c r="P2931" s="349"/>
      <c r="Q2931" s="349"/>
    </row>
    <row r="2932" spans="16:17" x14ac:dyDescent="0.3">
      <c r="P2932" s="349"/>
      <c r="Q2932" s="349"/>
    </row>
    <row r="2933" spans="16:17" x14ac:dyDescent="0.3">
      <c r="P2933" s="349"/>
      <c r="Q2933" s="349"/>
    </row>
    <row r="2934" spans="16:17" x14ac:dyDescent="0.3">
      <c r="P2934" s="349"/>
      <c r="Q2934" s="349"/>
    </row>
    <row r="2935" spans="16:17" x14ac:dyDescent="0.3">
      <c r="P2935" s="349"/>
      <c r="Q2935" s="349"/>
    </row>
    <row r="2936" spans="16:17" x14ac:dyDescent="0.3">
      <c r="P2936" s="349"/>
      <c r="Q2936" s="349"/>
    </row>
    <row r="2937" spans="16:17" x14ac:dyDescent="0.3">
      <c r="P2937" s="349"/>
      <c r="Q2937" s="349"/>
    </row>
    <row r="2938" spans="16:17" x14ac:dyDescent="0.3">
      <c r="P2938" s="349"/>
      <c r="Q2938" s="349"/>
    </row>
    <row r="2939" spans="16:17" x14ac:dyDescent="0.3">
      <c r="P2939" s="349"/>
      <c r="Q2939" s="349"/>
    </row>
    <row r="2940" spans="16:17" x14ac:dyDescent="0.3">
      <c r="P2940" s="349"/>
      <c r="Q2940" s="349"/>
    </row>
    <row r="2941" spans="16:17" x14ac:dyDescent="0.3">
      <c r="P2941" s="349"/>
      <c r="Q2941" s="349"/>
    </row>
    <row r="2942" spans="16:17" x14ac:dyDescent="0.3">
      <c r="P2942" s="349"/>
      <c r="Q2942" s="349"/>
    </row>
    <row r="2943" spans="16:17" x14ac:dyDescent="0.3">
      <c r="P2943" s="349"/>
      <c r="Q2943" s="349"/>
    </row>
    <row r="2944" spans="16:17" x14ac:dyDescent="0.3">
      <c r="P2944" s="349"/>
      <c r="Q2944" s="349"/>
    </row>
    <row r="2945" spans="16:17" x14ac:dyDescent="0.3">
      <c r="P2945" s="349"/>
      <c r="Q2945" s="349"/>
    </row>
    <row r="2946" spans="16:17" x14ac:dyDescent="0.3">
      <c r="P2946" s="349"/>
      <c r="Q2946" s="349"/>
    </row>
    <row r="2947" spans="16:17" x14ac:dyDescent="0.3">
      <c r="P2947" s="349"/>
      <c r="Q2947" s="349"/>
    </row>
    <row r="2948" spans="16:17" x14ac:dyDescent="0.3">
      <c r="P2948" s="349"/>
      <c r="Q2948" s="349"/>
    </row>
    <row r="2949" spans="16:17" x14ac:dyDescent="0.3">
      <c r="P2949" s="349"/>
      <c r="Q2949" s="349"/>
    </row>
    <row r="2950" spans="16:17" x14ac:dyDescent="0.3">
      <c r="P2950" s="349"/>
      <c r="Q2950" s="349"/>
    </row>
    <row r="2951" spans="16:17" x14ac:dyDescent="0.3">
      <c r="P2951" s="349"/>
      <c r="Q2951" s="349"/>
    </row>
    <row r="2952" spans="16:17" x14ac:dyDescent="0.3">
      <c r="P2952" s="349"/>
      <c r="Q2952" s="349"/>
    </row>
    <row r="2953" spans="16:17" x14ac:dyDescent="0.3">
      <c r="P2953" s="349"/>
      <c r="Q2953" s="349"/>
    </row>
    <row r="2954" spans="16:17" x14ac:dyDescent="0.3">
      <c r="P2954" s="349"/>
      <c r="Q2954" s="349"/>
    </row>
    <row r="2955" spans="16:17" x14ac:dyDescent="0.3">
      <c r="P2955" s="349"/>
      <c r="Q2955" s="349"/>
    </row>
    <row r="2956" spans="16:17" x14ac:dyDescent="0.3">
      <c r="P2956" s="349"/>
      <c r="Q2956" s="349"/>
    </row>
    <row r="2957" spans="16:17" x14ac:dyDescent="0.3">
      <c r="P2957" s="349"/>
      <c r="Q2957" s="349"/>
    </row>
    <row r="2958" spans="16:17" x14ac:dyDescent="0.3">
      <c r="P2958" s="349"/>
      <c r="Q2958" s="349"/>
    </row>
    <row r="2959" spans="16:17" x14ac:dyDescent="0.3">
      <c r="P2959" s="349"/>
      <c r="Q2959" s="349"/>
    </row>
    <row r="2960" spans="16:17" x14ac:dyDescent="0.3">
      <c r="P2960" s="349"/>
      <c r="Q2960" s="349"/>
    </row>
    <row r="2961" spans="16:17" x14ac:dyDescent="0.3">
      <c r="P2961" s="349"/>
      <c r="Q2961" s="349"/>
    </row>
    <row r="2962" spans="16:17" x14ac:dyDescent="0.3">
      <c r="P2962" s="349"/>
      <c r="Q2962" s="349"/>
    </row>
    <row r="2963" spans="16:17" x14ac:dyDescent="0.3">
      <c r="P2963" s="349"/>
      <c r="Q2963" s="349"/>
    </row>
    <row r="2964" spans="16:17" x14ac:dyDescent="0.3">
      <c r="P2964" s="349"/>
      <c r="Q2964" s="349"/>
    </row>
    <row r="2965" spans="16:17" x14ac:dyDescent="0.3">
      <c r="P2965" s="349"/>
      <c r="Q2965" s="349"/>
    </row>
    <row r="2966" spans="16:17" x14ac:dyDescent="0.3">
      <c r="P2966" s="349"/>
      <c r="Q2966" s="349"/>
    </row>
    <row r="2967" spans="16:17" x14ac:dyDescent="0.3">
      <c r="P2967" s="349"/>
      <c r="Q2967" s="349"/>
    </row>
    <row r="2968" spans="16:17" x14ac:dyDescent="0.3">
      <c r="P2968" s="349"/>
      <c r="Q2968" s="349"/>
    </row>
    <row r="2969" spans="16:17" x14ac:dyDescent="0.3">
      <c r="P2969" s="349"/>
      <c r="Q2969" s="349"/>
    </row>
    <row r="2970" spans="16:17" x14ac:dyDescent="0.3">
      <c r="P2970" s="349"/>
      <c r="Q2970" s="349"/>
    </row>
    <row r="2971" spans="16:17" x14ac:dyDescent="0.3">
      <c r="P2971" s="349"/>
      <c r="Q2971" s="349"/>
    </row>
    <row r="2972" spans="16:17" x14ac:dyDescent="0.3">
      <c r="P2972" s="349"/>
      <c r="Q2972" s="349"/>
    </row>
    <row r="2973" spans="16:17" x14ac:dyDescent="0.3">
      <c r="P2973" s="349"/>
      <c r="Q2973" s="349"/>
    </row>
    <row r="2974" spans="16:17" x14ac:dyDescent="0.3">
      <c r="P2974" s="349"/>
      <c r="Q2974" s="349"/>
    </row>
    <row r="2975" spans="16:17" x14ac:dyDescent="0.3">
      <c r="P2975" s="349"/>
      <c r="Q2975" s="349"/>
    </row>
    <row r="2976" spans="16:17" x14ac:dyDescent="0.3">
      <c r="P2976" s="349"/>
      <c r="Q2976" s="349"/>
    </row>
    <row r="2977" spans="16:17" x14ac:dyDescent="0.3">
      <c r="P2977" s="349"/>
      <c r="Q2977" s="349"/>
    </row>
    <row r="2978" spans="16:17" x14ac:dyDescent="0.3">
      <c r="P2978" s="349"/>
      <c r="Q2978" s="349"/>
    </row>
    <row r="2979" spans="16:17" x14ac:dyDescent="0.3">
      <c r="P2979" s="349"/>
      <c r="Q2979" s="349"/>
    </row>
    <row r="2980" spans="16:17" x14ac:dyDescent="0.3">
      <c r="P2980" s="349"/>
      <c r="Q2980" s="349"/>
    </row>
    <row r="2981" spans="16:17" x14ac:dyDescent="0.3">
      <c r="P2981" s="349"/>
      <c r="Q2981" s="349"/>
    </row>
    <row r="2982" spans="16:17" x14ac:dyDescent="0.3">
      <c r="P2982" s="349"/>
      <c r="Q2982" s="349"/>
    </row>
    <row r="2983" spans="16:17" x14ac:dyDescent="0.3">
      <c r="P2983" s="349"/>
      <c r="Q2983" s="349"/>
    </row>
    <row r="2984" spans="16:17" x14ac:dyDescent="0.3">
      <c r="P2984" s="349"/>
      <c r="Q2984" s="349"/>
    </row>
    <row r="2985" spans="16:17" x14ac:dyDescent="0.3">
      <c r="P2985" s="349"/>
      <c r="Q2985" s="349"/>
    </row>
    <row r="2986" spans="16:17" x14ac:dyDescent="0.3">
      <c r="P2986" s="349"/>
      <c r="Q2986" s="349"/>
    </row>
    <row r="2987" spans="16:17" x14ac:dyDescent="0.3">
      <c r="P2987" s="349"/>
      <c r="Q2987" s="349"/>
    </row>
    <row r="2988" spans="16:17" x14ac:dyDescent="0.3">
      <c r="P2988" s="349"/>
      <c r="Q2988" s="349"/>
    </row>
    <row r="2989" spans="16:17" x14ac:dyDescent="0.3">
      <c r="P2989" s="349"/>
      <c r="Q2989" s="349"/>
    </row>
    <row r="2990" spans="16:17" x14ac:dyDescent="0.3">
      <c r="P2990" s="349"/>
      <c r="Q2990" s="349"/>
    </row>
    <row r="2991" spans="16:17" x14ac:dyDescent="0.3">
      <c r="P2991" s="349"/>
      <c r="Q2991" s="349"/>
    </row>
    <row r="2992" spans="16:17" x14ac:dyDescent="0.3">
      <c r="P2992" s="349"/>
      <c r="Q2992" s="349"/>
    </row>
    <row r="2993" spans="16:17" x14ac:dyDescent="0.3">
      <c r="P2993" s="349"/>
      <c r="Q2993" s="349"/>
    </row>
    <row r="2994" spans="16:17" x14ac:dyDescent="0.3">
      <c r="P2994" s="349"/>
      <c r="Q2994" s="349"/>
    </row>
    <row r="2995" spans="16:17" x14ac:dyDescent="0.3">
      <c r="P2995" s="349"/>
      <c r="Q2995" s="349"/>
    </row>
    <row r="2996" spans="16:17" x14ac:dyDescent="0.3">
      <c r="P2996" s="349"/>
      <c r="Q2996" s="349"/>
    </row>
    <row r="2997" spans="16:17" x14ac:dyDescent="0.3">
      <c r="P2997" s="349"/>
      <c r="Q2997" s="349"/>
    </row>
    <row r="2998" spans="16:17" x14ac:dyDescent="0.3">
      <c r="P2998" s="349"/>
      <c r="Q2998" s="349"/>
    </row>
    <row r="2999" spans="16:17" x14ac:dyDescent="0.3">
      <c r="P2999" s="349"/>
      <c r="Q2999" s="349"/>
    </row>
    <row r="3000" spans="16:17" x14ac:dyDescent="0.3">
      <c r="P3000" s="349"/>
      <c r="Q3000" s="349"/>
    </row>
    <row r="3001" spans="16:17" x14ac:dyDescent="0.3">
      <c r="P3001" s="349"/>
      <c r="Q3001" s="349"/>
    </row>
    <row r="3002" spans="16:17" x14ac:dyDescent="0.3">
      <c r="P3002" s="349"/>
      <c r="Q3002" s="349"/>
    </row>
    <row r="3003" spans="16:17" x14ac:dyDescent="0.3">
      <c r="P3003" s="349"/>
      <c r="Q3003" s="349"/>
    </row>
    <row r="3004" spans="16:17" x14ac:dyDescent="0.3">
      <c r="P3004" s="349"/>
      <c r="Q3004" s="349"/>
    </row>
    <row r="3005" spans="16:17" x14ac:dyDescent="0.3">
      <c r="P3005" s="349"/>
      <c r="Q3005" s="349"/>
    </row>
    <row r="3006" spans="16:17" x14ac:dyDescent="0.3">
      <c r="P3006" s="349"/>
      <c r="Q3006" s="349"/>
    </row>
    <row r="3007" spans="16:17" x14ac:dyDescent="0.3">
      <c r="P3007" s="349"/>
      <c r="Q3007" s="349"/>
    </row>
    <row r="3008" spans="16:17" x14ac:dyDescent="0.3">
      <c r="P3008" s="349"/>
      <c r="Q3008" s="349"/>
    </row>
    <row r="3009" spans="16:17" x14ac:dyDescent="0.3">
      <c r="P3009" s="349"/>
      <c r="Q3009" s="349"/>
    </row>
    <row r="3010" spans="16:17" x14ac:dyDescent="0.3">
      <c r="P3010" s="349"/>
      <c r="Q3010" s="349"/>
    </row>
    <row r="3011" spans="16:17" x14ac:dyDescent="0.3">
      <c r="P3011" s="349"/>
      <c r="Q3011" s="349"/>
    </row>
    <row r="3012" spans="16:17" x14ac:dyDescent="0.3">
      <c r="P3012" s="349"/>
      <c r="Q3012" s="349"/>
    </row>
    <row r="3013" spans="16:17" x14ac:dyDescent="0.3">
      <c r="P3013" s="349"/>
      <c r="Q3013" s="349"/>
    </row>
    <row r="3014" spans="16:17" x14ac:dyDescent="0.3">
      <c r="P3014" s="349"/>
      <c r="Q3014" s="349"/>
    </row>
    <row r="3015" spans="16:17" x14ac:dyDescent="0.3">
      <c r="P3015" s="349"/>
      <c r="Q3015" s="349"/>
    </row>
    <row r="3016" spans="16:17" x14ac:dyDescent="0.3">
      <c r="P3016" s="349"/>
      <c r="Q3016" s="349"/>
    </row>
    <row r="3017" spans="16:17" x14ac:dyDescent="0.3">
      <c r="P3017" s="349"/>
      <c r="Q3017" s="349"/>
    </row>
    <row r="3018" spans="16:17" x14ac:dyDescent="0.3">
      <c r="P3018" s="349"/>
      <c r="Q3018" s="349"/>
    </row>
    <row r="3019" spans="16:17" x14ac:dyDescent="0.3">
      <c r="P3019" s="349"/>
      <c r="Q3019" s="349"/>
    </row>
    <row r="3020" spans="16:17" x14ac:dyDescent="0.3">
      <c r="P3020" s="349"/>
      <c r="Q3020" s="349"/>
    </row>
    <row r="3021" spans="16:17" x14ac:dyDescent="0.3">
      <c r="P3021" s="349"/>
      <c r="Q3021" s="349"/>
    </row>
    <row r="3022" spans="16:17" x14ac:dyDescent="0.3">
      <c r="P3022" s="349"/>
      <c r="Q3022" s="349"/>
    </row>
    <row r="3023" spans="16:17" x14ac:dyDescent="0.3">
      <c r="P3023" s="349"/>
      <c r="Q3023" s="349"/>
    </row>
    <row r="3024" spans="16:17" x14ac:dyDescent="0.3">
      <c r="P3024" s="349"/>
      <c r="Q3024" s="349"/>
    </row>
    <row r="3025" spans="16:17" x14ac:dyDescent="0.3">
      <c r="P3025" s="349"/>
      <c r="Q3025" s="349"/>
    </row>
    <row r="3026" spans="16:17" x14ac:dyDescent="0.3">
      <c r="P3026" s="349"/>
      <c r="Q3026" s="349"/>
    </row>
    <row r="3027" spans="16:17" x14ac:dyDescent="0.3">
      <c r="P3027" s="349"/>
      <c r="Q3027" s="349"/>
    </row>
    <row r="3028" spans="16:17" x14ac:dyDescent="0.3">
      <c r="P3028" s="349"/>
      <c r="Q3028" s="349"/>
    </row>
    <row r="3029" spans="16:17" x14ac:dyDescent="0.3">
      <c r="P3029" s="349"/>
      <c r="Q3029" s="349"/>
    </row>
    <row r="3030" spans="16:17" x14ac:dyDescent="0.3">
      <c r="P3030" s="349"/>
      <c r="Q3030" s="349"/>
    </row>
    <row r="3031" spans="16:17" x14ac:dyDescent="0.3">
      <c r="P3031" s="349"/>
      <c r="Q3031" s="349"/>
    </row>
    <row r="3032" spans="16:17" x14ac:dyDescent="0.3">
      <c r="P3032" s="349"/>
      <c r="Q3032" s="349"/>
    </row>
    <row r="3033" spans="16:17" x14ac:dyDescent="0.3">
      <c r="P3033" s="349"/>
      <c r="Q3033" s="349"/>
    </row>
    <row r="3034" spans="16:17" x14ac:dyDescent="0.3">
      <c r="P3034" s="349"/>
      <c r="Q3034" s="349"/>
    </row>
    <row r="3035" spans="16:17" x14ac:dyDescent="0.3">
      <c r="P3035" s="349"/>
      <c r="Q3035" s="349"/>
    </row>
    <row r="3036" spans="16:17" x14ac:dyDescent="0.3">
      <c r="P3036" s="349"/>
      <c r="Q3036" s="349"/>
    </row>
    <row r="3037" spans="16:17" x14ac:dyDescent="0.3">
      <c r="P3037" s="349"/>
      <c r="Q3037" s="349"/>
    </row>
    <row r="3038" spans="16:17" x14ac:dyDescent="0.3">
      <c r="P3038" s="349"/>
      <c r="Q3038" s="349"/>
    </row>
    <row r="3039" spans="16:17" x14ac:dyDescent="0.3">
      <c r="P3039" s="349"/>
      <c r="Q3039" s="349"/>
    </row>
    <row r="3040" spans="16:17" x14ac:dyDescent="0.3">
      <c r="P3040" s="349"/>
      <c r="Q3040" s="349"/>
    </row>
    <row r="3041" spans="16:17" x14ac:dyDescent="0.3">
      <c r="P3041" s="349"/>
      <c r="Q3041" s="349"/>
    </row>
    <row r="3042" spans="16:17" x14ac:dyDescent="0.3">
      <c r="P3042" s="349"/>
      <c r="Q3042" s="349"/>
    </row>
    <row r="3043" spans="16:17" x14ac:dyDescent="0.3">
      <c r="P3043" s="349"/>
      <c r="Q3043" s="349"/>
    </row>
    <row r="3044" spans="16:17" x14ac:dyDescent="0.3">
      <c r="P3044" s="349"/>
      <c r="Q3044" s="349"/>
    </row>
    <row r="3045" spans="16:17" x14ac:dyDescent="0.3">
      <c r="P3045" s="349"/>
      <c r="Q3045" s="349"/>
    </row>
    <row r="3046" spans="16:17" x14ac:dyDescent="0.3">
      <c r="P3046" s="349"/>
      <c r="Q3046" s="349"/>
    </row>
    <row r="3047" spans="16:17" x14ac:dyDescent="0.3">
      <c r="P3047" s="349"/>
      <c r="Q3047" s="349"/>
    </row>
    <row r="3048" spans="16:17" x14ac:dyDescent="0.3">
      <c r="P3048" s="349"/>
      <c r="Q3048" s="349"/>
    </row>
    <row r="3049" spans="16:17" x14ac:dyDescent="0.3">
      <c r="P3049" s="349"/>
      <c r="Q3049" s="349"/>
    </row>
    <row r="3050" spans="16:17" x14ac:dyDescent="0.3">
      <c r="P3050" s="349"/>
      <c r="Q3050" s="349"/>
    </row>
    <row r="3051" spans="16:17" x14ac:dyDescent="0.3">
      <c r="P3051" s="349"/>
      <c r="Q3051" s="349"/>
    </row>
    <row r="3052" spans="16:17" x14ac:dyDescent="0.3">
      <c r="P3052" s="349"/>
      <c r="Q3052" s="349"/>
    </row>
    <row r="3053" spans="16:17" x14ac:dyDescent="0.3">
      <c r="P3053" s="349"/>
      <c r="Q3053" s="349"/>
    </row>
    <row r="3054" spans="16:17" x14ac:dyDescent="0.3">
      <c r="P3054" s="349"/>
      <c r="Q3054" s="349"/>
    </row>
    <row r="3055" spans="16:17" x14ac:dyDescent="0.3">
      <c r="P3055" s="349"/>
      <c r="Q3055" s="349"/>
    </row>
    <row r="3056" spans="16:17" x14ac:dyDescent="0.3">
      <c r="P3056" s="349"/>
      <c r="Q3056" s="349"/>
    </row>
    <row r="3057" spans="16:17" x14ac:dyDescent="0.3">
      <c r="P3057" s="349"/>
      <c r="Q3057" s="349"/>
    </row>
    <row r="3058" spans="16:17" x14ac:dyDescent="0.3">
      <c r="P3058" s="349"/>
      <c r="Q3058" s="349"/>
    </row>
    <row r="3059" spans="16:17" x14ac:dyDescent="0.3">
      <c r="P3059" s="349"/>
      <c r="Q3059" s="349"/>
    </row>
    <row r="3060" spans="16:17" x14ac:dyDescent="0.3">
      <c r="P3060" s="349"/>
      <c r="Q3060" s="349"/>
    </row>
    <row r="3061" spans="16:17" x14ac:dyDescent="0.3">
      <c r="P3061" s="349"/>
      <c r="Q3061" s="349"/>
    </row>
    <row r="3062" spans="16:17" x14ac:dyDescent="0.3">
      <c r="P3062" s="349"/>
      <c r="Q3062" s="349"/>
    </row>
    <row r="3063" spans="16:17" x14ac:dyDescent="0.3">
      <c r="P3063" s="349"/>
      <c r="Q3063" s="349"/>
    </row>
    <row r="3064" spans="16:17" x14ac:dyDescent="0.3">
      <c r="P3064" s="349"/>
      <c r="Q3064" s="349"/>
    </row>
    <row r="3065" spans="16:17" x14ac:dyDescent="0.3">
      <c r="P3065" s="349"/>
      <c r="Q3065" s="349"/>
    </row>
    <row r="3066" spans="16:17" x14ac:dyDescent="0.3">
      <c r="P3066" s="349"/>
      <c r="Q3066" s="349"/>
    </row>
    <row r="3067" spans="16:17" x14ac:dyDescent="0.3">
      <c r="P3067" s="349"/>
      <c r="Q3067" s="349"/>
    </row>
    <row r="3068" spans="16:17" x14ac:dyDescent="0.3">
      <c r="P3068" s="349"/>
      <c r="Q3068" s="349"/>
    </row>
    <row r="3069" spans="16:17" x14ac:dyDescent="0.3">
      <c r="P3069" s="349"/>
      <c r="Q3069" s="349"/>
    </row>
    <row r="3070" spans="16:17" x14ac:dyDescent="0.3">
      <c r="P3070" s="349"/>
      <c r="Q3070" s="349"/>
    </row>
    <row r="3071" spans="16:17" x14ac:dyDescent="0.3">
      <c r="P3071" s="349"/>
      <c r="Q3071" s="349"/>
    </row>
    <row r="3072" spans="16:17" x14ac:dyDescent="0.3">
      <c r="P3072" s="349"/>
      <c r="Q3072" s="349"/>
    </row>
    <row r="3073" spans="16:17" x14ac:dyDescent="0.3">
      <c r="P3073" s="349"/>
      <c r="Q3073" s="349"/>
    </row>
    <row r="3074" spans="16:17" x14ac:dyDescent="0.3">
      <c r="P3074" s="349"/>
      <c r="Q3074" s="349"/>
    </row>
    <row r="3075" spans="16:17" x14ac:dyDescent="0.3">
      <c r="P3075" s="349"/>
      <c r="Q3075" s="349"/>
    </row>
    <row r="3076" spans="16:17" x14ac:dyDescent="0.3">
      <c r="P3076" s="349"/>
      <c r="Q3076" s="349"/>
    </row>
    <row r="3077" spans="16:17" x14ac:dyDescent="0.3">
      <c r="P3077" s="349"/>
      <c r="Q3077" s="349"/>
    </row>
    <row r="3078" spans="16:17" x14ac:dyDescent="0.3">
      <c r="P3078" s="349"/>
      <c r="Q3078" s="349"/>
    </row>
    <row r="3079" spans="16:17" x14ac:dyDescent="0.3">
      <c r="P3079" s="349"/>
      <c r="Q3079" s="349"/>
    </row>
    <row r="3080" spans="16:17" x14ac:dyDescent="0.3">
      <c r="P3080" s="349"/>
      <c r="Q3080" s="349"/>
    </row>
    <row r="3081" spans="16:17" x14ac:dyDescent="0.3">
      <c r="P3081" s="349"/>
      <c r="Q3081" s="349"/>
    </row>
    <row r="3082" spans="16:17" x14ac:dyDescent="0.3">
      <c r="P3082" s="349"/>
      <c r="Q3082" s="349"/>
    </row>
    <row r="3083" spans="16:17" x14ac:dyDescent="0.3">
      <c r="P3083" s="349"/>
      <c r="Q3083" s="349"/>
    </row>
    <row r="3084" spans="16:17" x14ac:dyDescent="0.3">
      <c r="P3084" s="349"/>
      <c r="Q3084" s="349"/>
    </row>
    <row r="3085" spans="16:17" x14ac:dyDescent="0.3">
      <c r="P3085" s="349"/>
      <c r="Q3085" s="349"/>
    </row>
    <row r="3086" spans="16:17" x14ac:dyDescent="0.3">
      <c r="P3086" s="349"/>
      <c r="Q3086" s="349"/>
    </row>
    <row r="3087" spans="16:17" x14ac:dyDescent="0.3">
      <c r="P3087" s="349"/>
      <c r="Q3087" s="349"/>
    </row>
    <row r="3088" spans="16:17" x14ac:dyDescent="0.3">
      <c r="P3088" s="349"/>
      <c r="Q3088" s="349"/>
    </row>
    <row r="3089" spans="16:17" x14ac:dyDescent="0.3">
      <c r="P3089" s="349"/>
      <c r="Q3089" s="349"/>
    </row>
    <row r="3090" spans="16:17" x14ac:dyDescent="0.3">
      <c r="P3090" s="349"/>
      <c r="Q3090" s="349"/>
    </row>
    <row r="3091" spans="16:17" x14ac:dyDescent="0.3">
      <c r="P3091" s="349"/>
      <c r="Q3091" s="349"/>
    </row>
    <row r="3092" spans="16:17" x14ac:dyDescent="0.3">
      <c r="P3092" s="349"/>
      <c r="Q3092" s="349"/>
    </row>
    <row r="3093" spans="16:17" x14ac:dyDescent="0.3">
      <c r="P3093" s="349"/>
      <c r="Q3093" s="349"/>
    </row>
    <row r="3094" spans="16:17" x14ac:dyDescent="0.3">
      <c r="P3094" s="349"/>
      <c r="Q3094" s="349"/>
    </row>
    <row r="3095" spans="16:17" x14ac:dyDescent="0.3">
      <c r="P3095" s="349"/>
      <c r="Q3095" s="349"/>
    </row>
    <row r="3096" spans="16:17" x14ac:dyDescent="0.3">
      <c r="P3096" s="349"/>
      <c r="Q3096" s="349"/>
    </row>
    <row r="3097" spans="16:17" x14ac:dyDescent="0.3">
      <c r="P3097" s="349"/>
      <c r="Q3097" s="349"/>
    </row>
    <row r="3098" spans="16:17" x14ac:dyDescent="0.3">
      <c r="P3098" s="349"/>
      <c r="Q3098" s="349"/>
    </row>
    <row r="3099" spans="16:17" x14ac:dyDescent="0.3">
      <c r="P3099" s="349"/>
      <c r="Q3099" s="349"/>
    </row>
    <row r="3100" spans="16:17" x14ac:dyDescent="0.3">
      <c r="P3100" s="349"/>
      <c r="Q3100" s="349"/>
    </row>
    <row r="3101" spans="16:17" x14ac:dyDescent="0.3">
      <c r="P3101" s="349"/>
      <c r="Q3101" s="349"/>
    </row>
    <row r="3102" spans="16:17" x14ac:dyDescent="0.3">
      <c r="P3102" s="349"/>
      <c r="Q3102" s="349"/>
    </row>
    <row r="3103" spans="16:17" x14ac:dyDescent="0.3">
      <c r="P3103" s="349"/>
      <c r="Q3103" s="349"/>
    </row>
    <row r="3104" spans="16:17" x14ac:dyDescent="0.3">
      <c r="P3104" s="349"/>
      <c r="Q3104" s="349"/>
    </row>
    <row r="3105" spans="16:17" x14ac:dyDescent="0.3">
      <c r="P3105" s="349"/>
      <c r="Q3105" s="349"/>
    </row>
    <row r="3106" spans="16:17" x14ac:dyDescent="0.3">
      <c r="P3106" s="349"/>
      <c r="Q3106" s="349"/>
    </row>
    <row r="3107" spans="16:17" x14ac:dyDescent="0.3">
      <c r="P3107" s="349"/>
      <c r="Q3107" s="349"/>
    </row>
    <row r="3108" spans="16:17" x14ac:dyDescent="0.3">
      <c r="P3108" s="349"/>
      <c r="Q3108" s="349"/>
    </row>
    <row r="3109" spans="16:17" x14ac:dyDescent="0.3">
      <c r="P3109" s="349"/>
      <c r="Q3109" s="349"/>
    </row>
    <row r="3110" spans="16:17" x14ac:dyDescent="0.3">
      <c r="P3110" s="349"/>
      <c r="Q3110" s="349"/>
    </row>
    <row r="3111" spans="16:17" x14ac:dyDescent="0.3">
      <c r="P3111" s="349"/>
      <c r="Q3111" s="349"/>
    </row>
    <row r="3112" spans="16:17" x14ac:dyDescent="0.3">
      <c r="P3112" s="349"/>
      <c r="Q3112" s="349"/>
    </row>
    <row r="3113" spans="16:17" x14ac:dyDescent="0.3">
      <c r="P3113" s="349"/>
      <c r="Q3113" s="349"/>
    </row>
    <row r="3114" spans="16:17" x14ac:dyDescent="0.3">
      <c r="P3114" s="349"/>
      <c r="Q3114" s="349"/>
    </row>
    <row r="3115" spans="16:17" x14ac:dyDescent="0.3">
      <c r="P3115" s="349"/>
      <c r="Q3115" s="349"/>
    </row>
    <row r="3116" spans="16:17" x14ac:dyDescent="0.3">
      <c r="P3116" s="349"/>
      <c r="Q3116" s="349"/>
    </row>
    <row r="3117" spans="16:17" x14ac:dyDescent="0.3">
      <c r="P3117" s="349"/>
      <c r="Q3117" s="349"/>
    </row>
    <row r="3118" spans="16:17" x14ac:dyDescent="0.3">
      <c r="P3118" s="349"/>
      <c r="Q3118" s="349"/>
    </row>
    <row r="3119" spans="16:17" x14ac:dyDescent="0.3">
      <c r="P3119" s="349"/>
      <c r="Q3119" s="349"/>
    </row>
    <row r="3120" spans="16:17" x14ac:dyDescent="0.3">
      <c r="P3120" s="349"/>
      <c r="Q3120" s="349"/>
    </row>
    <row r="3121" spans="16:17" x14ac:dyDescent="0.3">
      <c r="P3121" s="349"/>
      <c r="Q3121" s="349"/>
    </row>
    <row r="3122" spans="16:17" x14ac:dyDescent="0.3">
      <c r="P3122" s="349"/>
      <c r="Q3122" s="349"/>
    </row>
    <row r="3123" spans="16:17" x14ac:dyDescent="0.3">
      <c r="P3123" s="349"/>
      <c r="Q3123" s="349"/>
    </row>
    <row r="3124" spans="16:17" x14ac:dyDescent="0.3">
      <c r="P3124" s="349"/>
      <c r="Q3124" s="349"/>
    </row>
    <row r="3125" spans="16:17" x14ac:dyDescent="0.3">
      <c r="P3125" s="349"/>
      <c r="Q3125" s="349"/>
    </row>
    <row r="3126" spans="16:17" x14ac:dyDescent="0.3">
      <c r="P3126" s="349"/>
      <c r="Q3126" s="349"/>
    </row>
    <row r="3127" spans="16:17" x14ac:dyDescent="0.3">
      <c r="P3127" s="349"/>
      <c r="Q3127" s="349"/>
    </row>
    <row r="3128" spans="16:17" x14ac:dyDescent="0.3">
      <c r="P3128" s="349"/>
      <c r="Q3128" s="349"/>
    </row>
    <row r="3129" spans="16:17" x14ac:dyDescent="0.3">
      <c r="P3129" s="349"/>
      <c r="Q3129" s="349"/>
    </row>
    <row r="3130" spans="16:17" x14ac:dyDescent="0.3">
      <c r="P3130" s="349"/>
      <c r="Q3130" s="349"/>
    </row>
    <row r="3131" spans="16:17" x14ac:dyDescent="0.3">
      <c r="P3131" s="349"/>
      <c r="Q3131" s="349"/>
    </row>
    <row r="3132" spans="16:17" x14ac:dyDescent="0.3">
      <c r="P3132" s="349"/>
      <c r="Q3132" s="349"/>
    </row>
    <row r="3133" spans="16:17" x14ac:dyDescent="0.3">
      <c r="P3133" s="349"/>
      <c r="Q3133" s="349"/>
    </row>
    <row r="3134" spans="16:17" x14ac:dyDescent="0.3">
      <c r="P3134" s="349"/>
      <c r="Q3134" s="349"/>
    </row>
    <row r="3135" spans="16:17" x14ac:dyDescent="0.3">
      <c r="P3135" s="349"/>
      <c r="Q3135" s="349"/>
    </row>
    <row r="3136" spans="16:17" x14ac:dyDescent="0.3">
      <c r="P3136" s="349"/>
      <c r="Q3136" s="349"/>
    </row>
    <row r="3137" spans="16:17" x14ac:dyDescent="0.3">
      <c r="P3137" s="349"/>
      <c r="Q3137" s="349"/>
    </row>
    <row r="3138" spans="16:17" x14ac:dyDescent="0.3">
      <c r="P3138" s="349"/>
      <c r="Q3138" s="349"/>
    </row>
    <row r="3139" spans="16:17" x14ac:dyDescent="0.3">
      <c r="P3139" s="349"/>
      <c r="Q3139" s="349"/>
    </row>
    <row r="3140" spans="16:17" x14ac:dyDescent="0.3">
      <c r="P3140" s="349"/>
      <c r="Q3140" s="349"/>
    </row>
    <row r="3141" spans="16:17" x14ac:dyDescent="0.3">
      <c r="P3141" s="349"/>
      <c r="Q3141" s="349"/>
    </row>
    <row r="3142" spans="16:17" x14ac:dyDescent="0.3">
      <c r="P3142" s="349"/>
      <c r="Q3142" s="349"/>
    </row>
    <row r="3143" spans="16:17" x14ac:dyDescent="0.3">
      <c r="P3143" s="349"/>
      <c r="Q3143" s="349"/>
    </row>
    <row r="3144" spans="16:17" x14ac:dyDescent="0.3">
      <c r="P3144" s="349"/>
      <c r="Q3144" s="349"/>
    </row>
    <row r="3145" spans="16:17" x14ac:dyDescent="0.3">
      <c r="P3145" s="349"/>
      <c r="Q3145" s="349"/>
    </row>
    <row r="3146" spans="16:17" x14ac:dyDescent="0.3">
      <c r="P3146" s="349"/>
      <c r="Q3146" s="349"/>
    </row>
    <row r="3147" spans="16:17" x14ac:dyDescent="0.3">
      <c r="P3147" s="349"/>
      <c r="Q3147" s="349"/>
    </row>
    <row r="3148" spans="16:17" x14ac:dyDescent="0.3">
      <c r="P3148" s="349"/>
      <c r="Q3148" s="349"/>
    </row>
    <row r="3149" spans="16:17" x14ac:dyDescent="0.3">
      <c r="P3149" s="349"/>
      <c r="Q3149" s="349"/>
    </row>
    <row r="3150" spans="16:17" x14ac:dyDescent="0.3">
      <c r="P3150" s="349"/>
      <c r="Q3150" s="349"/>
    </row>
    <row r="3151" spans="16:17" x14ac:dyDescent="0.3">
      <c r="P3151" s="349"/>
      <c r="Q3151" s="349"/>
    </row>
    <row r="3152" spans="16:17" x14ac:dyDescent="0.3">
      <c r="P3152" s="349"/>
      <c r="Q3152" s="349"/>
    </row>
    <row r="3153" spans="16:17" x14ac:dyDescent="0.3">
      <c r="P3153" s="349"/>
      <c r="Q3153" s="349"/>
    </row>
    <row r="3154" spans="16:17" x14ac:dyDescent="0.3">
      <c r="P3154" s="349"/>
      <c r="Q3154" s="349"/>
    </row>
    <row r="3155" spans="16:17" x14ac:dyDescent="0.3">
      <c r="P3155" s="349"/>
      <c r="Q3155" s="349"/>
    </row>
    <row r="3156" spans="16:17" x14ac:dyDescent="0.3">
      <c r="P3156" s="349"/>
      <c r="Q3156" s="349"/>
    </row>
    <row r="3157" spans="16:17" x14ac:dyDescent="0.3">
      <c r="P3157" s="349"/>
      <c r="Q3157" s="349"/>
    </row>
    <row r="3158" spans="16:17" x14ac:dyDescent="0.3">
      <c r="P3158" s="349"/>
      <c r="Q3158" s="349"/>
    </row>
    <row r="3159" spans="16:17" x14ac:dyDescent="0.3">
      <c r="P3159" s="349"/>
      <c r="Q3159" s="349"/>
    </row>
    <row r="3160" spans="16:17" x14ac:dyDescent="0.3">
      <c r="P3160" s="349"/>
      <c r="Q3160" s="349"/>
    </row>
    <row r="3161" spans="16:17" x14ac:dyDescent="0.3">
      <c r="P3161" s="349"/>
      <c r="Q3161" s="349"/>
    </row>
    <row r="3162" spans="16:17" x14ac:dyDescent="0.3">
      <c r="P3162" s="349"/>
      <c r="Q3162" s="349"/>
    </row>
    <row r="3163" spans="16:17" x14ac:dyDescent="0.3">
      <c r="P3163" s="349"/>
      <c r="Q3163" s="349"/>
    </row>
    <row r="3164" spans="16:17" x14ac:dyDescent="0.3">
      <c r="P3164" s="349"/>
      <c r="Q3164" s="349"/>
    </row>
    <row r="3165" spans="16:17" x14ac:dyDescent="0.3">
      <c r="P3165" s="349"/>
      <c r="Q3165" s="349"/>
    </row>
    <row r="3166" spans="16:17" x14ac:dyDescent="0.3">
      <c r="P3166" s="349"/>
      <c r="Q3166" s="349"/>
    </row>
    <row r="3167" spans="16:17" x14ac:dyDescent="0.3">
      <c r="P3167" s="349"/>
      <c r="Q3167" s="349"/>
    </row>
    <row r="3168" spans="16:17" x14ac:dyDescent="0.3">
      <c r="P3168" s="349"/>
      <c r="Q3168" s="349"/>
    </row>
    <row r="3169" spans="16:17" x14ac:dyDescent="0.3">
      <c r="P3169" s="349"/>
      <c r="Q3169" s="349"/>
    </row>
    <row r="3170" spans="16:17" x14ac:dyDescent="0.3">
      <c r="P3170" s="349"/>
      <c r="Q3170" s="349"/>
    </row>
    <row r="3171" spans="16:17" x14ac:dyDescent="0.3">
      <c r="P3171" s="349"/>
      <c r="Q3171" s="349"/>
    </row>
    <row r="3172" spans="16:17" x14ac:dyDescent="0.3">
      <c r="P3172" s="349"/>
      <c r="Q3172" s="349"/>
    </row>
    <row r="3173" spans="16:17" x14ac:dyDescent="0.3">
      <c r="P3173" s="349"/>
      <c r="Q3173" s="349"/>
    </row>
    <row r="3174" spans="16:17" x14ac:dyDescent="0.3">
      <c r="P3174" s="349"/>
      <c r="Q3174" s="349"/>
    </row>
    <row r="3175" spans="16:17" x14ac:dyDescent="0.3">
      <c r="P3175" s="349"/>
      <c r="Q3175" s="349"/>
    </row>
    <row r="3176" spans="16:17" x14ac:dyDescent="0.3">
      <c r="P3176" s="349"/>
      <c r="Q3176" s="349"/>
    </row>
    <row r="3177" spans="16:17" x14ac:dyDescent="0.3">
      <c r="P3177" s="349"/>
      <c r="Q3177" s="349"/>
    </row>
    <row r="3178" spans="16:17" x14ac:dyDescent="0.3">
      <c r="P3178" s="349"/>
      <c r="Q3178" s="349"/>
    </row>
    <row r="3179" spans="16:17" x14ac:dyDescent="0.3">
      <c r="P3179" s="349"/>
      <c r="Q3179" s="349"/>
    </row>
    <row r="3180" spans="16:17" x14ac:dyDescent="0.3">
      <c r="P3180" s="349"/>
      <c r="Q3180" s="349"/>
    </row>
    <row r="3181" spans="16:17" x14ac:dyDescent="0.3">
      <c r="P3181" s="349"/>
      <c r="Q3181" s="349"/>
    </row>
    <row r="3182" spans="16:17" x14ac:dyDescent="0.3">
      <c r="P3182" s="349"/>
      <c r="Q3182" s="349"/>
    </row>
    <row r="3183" spans="16:17" x14ac:dyDescent="0.3">
      <c r="P3183" s="349"/>
      <c r="Q3183" s="349"/>
    </row>
    <row r="3184" spans="16:17" x14ac:dyDescent="0.3">
      <c r="P3184" s="349"/>
      <c r="Q3184" s="349"/>
    </row>
    <row r="3185" spans="16:17" x14ac:dyDescent="0.3">
      <c r="P3185" s="349"/>
      <c r="Q3185" s="349"/>
    </row>
    <row r="3186" spans="16:17" x14ac:dyDescent="0.3">
      <c r="P3186" s="349"/>
      <c r="Q3186" s="349"/>
    </row>
    <row r="3187" spans="16:17" x14ac:dyDescent="0.3">
      <c r="P3187" s="349"/>
      <c r="Q3187" s="349"/>
    </row>
    <row r="3188" spans="16:17" x14ac:dyDescent="0.3">
      <c r="P3188" s="349"/>
      <c r="Q3188" s="349"/>
    </row>
    <row r="3189" spans="16:17" x14ac:dyDescent="0.3">
      <c r="P3189" s="349"/>
      <c r="Q3189" s="349"/>
    </row>
    <row r="3190" spans="16:17" x14ac:dyDescent="0.3">
      <c r="P3190" s="349"/>
      <c r="Q3190" s="349"/>
    </row>
    <row r="3191" spans="16:17" x14ac:dyDescent="0.3">
      <c r="P3191" s="349"/>
      <c r="Q3191" s="349"/>
    </row>
    <row r="3192" spans="16:17" x14ac:dyDescent="0.3">
      <c r="P3192" s="349"/>
      <c r="Q3192" s="349"/>
    </row>
    <row r="3193" spans="16:17" x14ac:dyDescent="0.3">
      <c r="P3193" s="349"/>
      <c r="Q3193" s="349"/>
    </row>
    <row r="3194" spans="16:17" x14ac:dyDescent="0.3">
      <c r="P3194" s="349"/>
      <c r="Q3194" s="349"/>
    </row>
    <row r="3195" spans="16:17" x14ac:dyDescent="0.3">
      <c r="P3195" s="349"/>
      <c r="Q3195" s="349"/>
    </row>
    <row r="3196" spans="16:17" x14ac:dyDescent="0.3">
      <c r="P3196" s="349"/>
      <c r="Q3196" s="349"/>
    </row>
    <row r="3197" spans="16:17" x14ac:dyDescent="0.3">
      <c r="P3197" s="349"/>
      <c r="Q3197" s="349"/>
    </row>
    <row r="3198" spans="16:17" x14ac:dyDescent="0.3">
      <c r="P3198" s="349"/>
      <c r="Q3198" s="349"/>
    </row>
    <row r="3199" spans="16:17" x14ac:dyDescent="0.3">
      <c r="P3199" s="349"/>
      <c r="Q3199" s="349"/>
    </row>
    <row r="3200" spans="16:17" x14ac:dyDescent="0.3">
      <c r="P3200" s="349"/>
      <c r="Q3200" s="349"/>
    </row>
    <row r="3201" spans="16:17" x14ac:dyDescent="0.3">
      <c r="P3201" s="349"/>
      <c r="Q3201" s="349"/>
    </row>
    <row r="3202" spans="16:17" x14ac:dyDescent="0.3">
      <c r="P3202" s="349"/>
      <c r="Q3202" s="349"/>
    </row>
    <row r="3203" spans="16:17" x14ac:dyDescent="0.3">
      <c r="P3203" s="349"/>
      <c r="Q3203" s="349"/>
    </row>
    <row r="3204" spans="16:17" x14ac:dyDescent="0.3">
      <c r="P3204" s="349"/>
      <c r="Q3204" s="349"/>
    </row>
    <row r="3205" spans="16:17" x14ac:dyDescent="0.3">
      <c r="P3205" s="349"/>
      <c r="Q3205" s="349"/>
    </row>
    <row r="3206" spans="16:17" x14ac:dyDescent="0.3">
      <c r="P3206" s="349"/>
      <c r="Q3206" s="349"/>
    </row>
    <row r="3207" spans="16:17" x14ac:dyDescent="0.3">
      <c r="P3207" s="349"/>
      <c r="Q3207" s="349"/>
    </row>
    <row r="3208" spans="16:17" x14ac:dyDescent="0.3">
      <c r="P3208" s="349"/>
      <c r="Q3208" s="349"/>
    </row>
    <row r="3209" spans="16:17" x14ac:dyDescent="0.3">
      <c r="P3209" s="349"/>
      <c r="Q3209" s="349"/>
    </row>
    <row r="3210" spans="16:17" x14ac:dyDescent="0.3">
      <c r="P3210" s="349"/>
      <c r="Q3210" s="349"/>
    </row>
    <row r="3211" spans="16:17" x14ac:dyDescent="0.3">
      <c r="P3211" s="349"/>
      <c r="Q3211" s="349"/>
    </row>
    <row r="3212" spans="16:17" x14ac:dyDescent="0.3">
      <c r="P3212" s="349"/>
      <c r="Q3212" s="349"/>
    </row>
    <row r="3213" spans="16:17" x14ac:dyDescent="0.3">
      <c r="P3213" s="349"/>
      <c r="Q3213" s="349"/>
    </row>
    <row r="3214" spans="16:17" x14ac:dyDescent="0.3">
      <c r="P3214" s="349"/>
      <c r="Q3214" s="349"/>
    </row>
    <row r="3215" spans="16:17" x14ac:dyDescent="0.3">
      <c r="P3215" s="349"/>
      <c r="Q3215" s="349"/>
    </row>
    <row r="3216" spans="16:17" x14ac:dyDescent="0.3">
      <c r="P3216" s="349"/>
      <c r="Q3216" s="349"/>
    </row>
    <row r="3217" spans="16:17" x14ac:dyDescent="0.3">
      <c r="P3217" s="349"/>
      <c r="Q3217" s="349"/>
    </row>
    <row r="3218" spans="16:17" x14ac:dyDescent="0.3">
      <c r="P3218" s="349"/>
      <c r="Q3218" s="349"/>
    </row>
    <row r="3219" spans="16:17" x14ac:dyDescent="0.3">
      <c r="P3219" s="349"/>
      <c r="Q3219" s="349"/>
    </row>
    <row r="3220" spans="16:17" x14ac:dyDescent="0.3">
      <c r="P3220" s="349"/>
      <c r="Q3220" s="349"/>
    </row>
    <row r="3221" spans="16:17" x14ac:dyDescent="0.3">
      <c r="P3221" s="349"/>
      <c r="Q3221" s="349"/>
    </row>
    <row r="3222" spans="16:17" x14ac:dyDescent="0.3">
      <c r="P3222" s="349"/>
      <c r="Q3222" s="349"/>
    </row>
    <row r="3223" spans="16:17" x14ac:dyDescent="0.3">
      <c r="P3223" s="349"/>
      <c r="Q3223" s="349"/>
    </row>
    <row r="3224" spans="16:17" x14ac:dyDescent="0.3">
      <c r="P3224" s="349"/>
      <c r="Q3224" s="349"/>
    </row>
    <row r="3225" spans="16:17" x14ac:dyDescent="0.3">
      <c r="P3225" s="349"/>
      <c r="Q3225" s="349"/>
    </row>
    <row r="3226" spans="16:17" x14ac:dyDescent="0.3">
      <c r="P3226" s="349"/>
      <c r="Q3226" s="349"/>
    </row>
    <row r="3227" spans="16:17" x14ac:dyDescent="0.3">
      <c r="P3227" s="349"/>
      <c r="Q3227" s="349"/>
    </row>
    <row r="3228" spans="16:17" x14ac:dyDescent="0.3">
      <c r="P3228" s="349"/>
      <c r="Q3228" s="349"/>
    </row>
    <row r="3229" spans="16:17" x14ac:dyDescent="0.3">
      <c r="P3229" s="349"/>
      <c r="Q3229" s="349"/>
    </row>
    <row r="3230" spans="16:17" x14ac:dyDescent="0.3">
      <c r="P3230" s="349"/>
      <c r="Q3230" s="349"/>
    </row>
    <row r="3231" spans="16:17" x14ac:dyDescent="0.3">
      <c r="P3231" s="349"/>
      <c r="Q3231" s="349"/>
    </row>
    <row r="3232" spans="16:17" x14ac:dyDescent="0.3">
      <c r="P3232" s="349"/>
      <c r="Q3232" s="349"/>
    </row>
    <row r="3233" spans="16:17" x14ac:dyDescent="0.3">
      <c r="P3233" s="349"/>
      <c r="Q3233" s="349"/>
    </row>
    <row r="3234" spans="16:17" x14ac:dyDescent="0.3">
      <c r="P3234" s="349"/>
      <c r="Q3234" s="349"/>
    </row>
    <row r="3235" spans="16:17" x14ac:dyDescent="0.3">
      <c r="P3235" s="349"/>
      <c r="Q3235" s="349"/>
    </row>
    <row r="3236" spans="16:17" x14ac:dyDescent="0.3">
      <c r="P3236" s="349"/>
      <c r="Q3236" s="349"/>
    </row>
    <row r="3237" spans="16:17" x14ac:dyDescent="0.3">
      <c r="P3237" s="349"/>
      <c r="Q3237" s="349"/>
    </row>
    <row r="3238" spans="16:17" x14ac:dyDescent="0.3">
      <c r="P3238" s="349"/>
      <c r="Q3238" s="349"/>
    </row>
    <row r="3239" spans="16:17" x14ac:dyDescent="0.3">
      <c r="P3239" s="349"/>
      <c r="Q3239" s="349"/>
    </row>
    <row r="3240" spans="16:17" x14ac:dyDescent="0.3">
      <c r="P3240" s="349"/>
      <c r="Q3240" s="349"/>
    </row>
    <row r="3241" spans="16:17" x14ac:dyDescent="0.3">
      <c r="P3241" s="349"/>
      <c r="Q3241" s="349"/>
    </row>
    <row r="3242" spans="16:17" x14ac:dyDescent="0.3">
      <c r="P3242" s="349"/>
      <c r="Q3242" s="349"/>
    </row>
    <row r="3243" spans="16:17" x14ac:dyDescent="0.3">
      <c r="P3243" s="349"/>
      <c r="Q3243" s="349"/>
    </row>
    <row r="3244" spans="16:17" x14ac:dyDescent="0.3">
      <c r="P3244" s="349"/>
      <c r="Q3244" s="349"/>
    </row>
    <row r="3245" spans="16:17" x14ac:dyDescent="0.3">
      <c r="P3245" s="349"/>
      <c r="Q3245" s="349"/>
    </row>
    <row r="3246" spans="16:17" x14ac:dyDescent="0.3">
      <c r="P3246" s="349"/>
      <c r="Q3246" s="349"/>
    </row>
    <row r="3247" spans="16:17" x14ac:dyDescent="0.3">
      <c r="P3247" s="349"/>
      <c r="Q3247" s="349"/>
    </row>
    <row r="3248" spans="16:17" x14ac:dyDescent="0.3">
      <c r="P3248" s="349"/>
      <c r="Q3248" s="349"/>
    </row>
    <row r="3249" spans="16:17" x14ac:dyDescent="0.3">
      <c r="P3249" s="349"/>
      <c r="Q3249" s="349"/>
    </row>
    <row r="3250" spans="16:17" x14ac:dyDescent="0.3">
      <c r="P3250" s="349"/>
      <c r="Q3250" s="349"/>
    </row>
    <row r="3251" spans="16:17" x14ac:dyDescent="0.3">
      <c r="P3251" s="349"/>
      <c r="Q3251" s="349"/>
    </row>
    <row r="3252" spans="16:17" x14ac:dyDescent="0.3">
      <c r="P3252" s="349"/>
      <c r="Q3252" s="349"/>
    </row>
    <row r="3253" spans="16:17" x14ac:dyDescent="0.3">
      <c r="P3253" s="349"/>
      <c r="Q3253" s="349"/>
    </row>
    <row r="3254" spans="16:17" x14ac:dyDescent="0.3">
      <c r="P3254" s="349"/>
      <c r="Q3254" s="349"/>
    </row>
    <row r="3255" spans="16:17" x14ac:dyDescent="0.3">
      <c r="P3255" s="349"/>
      <c r="Q3255" s="349"/>
    </row>
    <row r="3256" spans="16:17" x14ac:dyDescent="0.3">
      <c r="P3256" s="349"/>
      <c r="Q3256" s="349"/>
    </row>
    <row r="3257" spans="16:17" x14ac:dyDescent="0.3">
      <c r="P3257" s="349"/>
      <c r="Q3257" s="349"/>
    </row>
    <row r="3258" spans="16:17" x14ac:dyDescent="0.3">
      <c r="P3258" s="349"/>
      <c r="Q3258" s="349"/>
    </row>
    <row r="3259" spans="16:17" x14ac:dyDescent="0.3">
      <c r="P3259" s="349"/>
      <c r="Q3259" s="349"/>
    </row>
    <row r="3260" spans="16:17" x14ac:dyDescent="0.3">
      <c r="P3260" s="349"/>
      <c r="Q3260" s="349"/>
    </row>
    <row r="3261" spans="16:17" x14ac:dyDescent="0.3">
      <c r="P3261" s="349"/>
      <c r="Q3261" s="349"/>
    </row>
    <row r="3262" spans="16:17" x14ac:dyDescent="0.3">
      <c r="P3262" s="349"/>
      <c r="Q3262" s="349"/>
    </row>
    <row r="3263" spans="16:17" x14ac:dyDescent="0.3">
      <c r="P3263" s="349"/>
      <c r="Q3263" s="349"/>
    </row>
    <row r="3264" spans="16:17" x14ac:dyDescent="0.3">
      <c r="P3264" s="349"/>
      <c r="Q3264" s="349"/>
    </row>
    <row r="3265" spans="16:17" x14ac:dyDescent="0.3">
      <c r="P3265" s="349"/>
      <c r="Q3265" s="349"/>
    </row>
    <row r="3266" spans="16:17" x14ac:dyDescent="0.3">
      <c r="P3266" s="349"/>
      <c r="Q3266" s="349"/>
    </row>
    <row r="3267" spans="16:17" x14ac:dyDescent="0.3">
      <c r="P3267" s="349"/>
      <c r="Q3267" s="349"/>
    </row>
    <row r="3268" spans="16:17" x14ac:dyDescent="0.3">
      <c r="P3268" s="349"/>
      <c r="Q3268" s="349"/>
    </row>
    <row r="3269" spans="16:17" x14ac:dyDescent="0.3">
      <c r="P3269" s="349"/>
      <c r="Q3269" s="349"/>
    </row>
    <row r="3270" spans="16:17" x14ac:dyDescent="0.3">
      <c r="P3270" s="349"/>
      <c r="Q3270" s="349"/>
    </row>
    <row r="3271" spans="16:17" x14ac:dyDescent="0.3">
      <c r="P3271" s="349"/>
      <c r="Q3271" s="349"/>
    </row>
    <row r="3272" spans="16:17" x14ac:dyDescent="0.3">
      <c r="P3272" s="349"/>
      <c r="Q3272" s="349"/>
    </row>
    <row r="3273" spans="16:17" x14ac:dyDescent="0.3">
      <c r="P3273" s="349"/>
      <c r="Q3273" s="349"/>
    </row>
    <row r="3274" spans="16:17" x14ac:dyDescent="0.3">
      <c r="P3274" s="349"/>
      <c r="Q3274" s="349"/>
    </row>
    <row r="3275" spans="16:17" x14ac:dyDescent="0.3">
      <c r="P3275" s="349"/>
      <c r="Q3275" s="349"/>
    </row>
    <row r="3276" spans="16:17" x14ac:dyDescent="0.3">
      <c r="P3276" s="349"/>
      <c r="Q3276" s="349"/>
    </row>
    <row r="3277" spans="16:17" x14ac:dyDescent="0.3">
      <c r="P3277" s="349"/>
      <c r="Q3277" s="349"/>
    </row>
    <row r="3278" spans="16:17" x14ac:dyDescent="0.3">
      <c r="P3278" s="349"/>
      <c r="Q3278" s="349"/>
    </row>
    <row r="3279" spans="16:17" x14ac:dyDescent="0.3">
      <c r="P3279" s="349"/>
      <c r="Q3279" s="349"/>
    </row>
    <row r="3280" spans="16:17" x14ac:dyDescent="0.3">
      <c r="P3280" s="349"/>
      <c r="Q3280" s="349"/>
    </row>
    <row r="3281" spans="16:17" x14ac:dyDescent="0.3">
      <c r="P3281" s="349"/>
      <c r="Q3281" s="349"/>
    </row>
    <row r="3282" spans="16:17" x14ac:dyDescent="0.3">
      <c r="P3282" s="349"/>
      <c r="Q3282" s="349"/>
    </row>
    <row r="3283" spans="16:17" x14ac:dyDescent="0.3">
      <c r="P3283" s="349"/>
      <c r="Q3283" s="349"/>
    </row>
    <row r="3284" spans="16:17" x14ac:dyDescent="0.3">
      <c r="P3284" s="349"/>
      <c r="Q3284" s="349"/>
    </row>
    <row r="3285" spans="16:17" x14ac:dyDescent="0.3">
      <c r="P3285" s="349"/>
      <c r="Q3285" s="349"/>
    </row>
    <row r="3286" spans="16:17" x14ac:dyDescent="0.3">
      <c r="P3286" s="349"/>
      <c r="Q3286" s="349"/>
    </row>
    <row r="3287" spans="16:17" x14ac:dyDescent="0.3">
      <c r="P3287" s="349"/>
      <c r="Q3287" s="349"/>
    </row>
    <row r="3288" spans="16:17" x14ac:dyDescent="0.3">
      <c r="P3288" s="349"/>
      <c r="Q3288" s="349"/>
    </row>
    <row r="3289" spans="16:17" x14ac:dyDescent="0.3">
      <c r="P3289" s="349"/>
      <c r="Q3289" s="349"/>
    </row>
    <row r="3290" spans="16:17" x14ac:dyDescent="0.3">
      <c r="P3290" s="349"/>
      <c r="Q3290" s="349"/>
    </row>
    <row r="3291" spans="16:17" x14ac:dyDescent="0.3">
      <c r="P3291" s="349"/>
      <c r="Q3291" s="349"/>
    </row>
    <row r="3292" spans="16:17" x14ac:dyDescent="0.3">
      <c r="P3292" s="349"/>
      <c r="Q3292" s="349"/>
    </row>
    <row r="3293" spans="16:17" x14ac:dyDescent="0.3">
      <c r="P3293" s="349"/>
      <c r="Q3293" s="349"/>
    </row>
    <row r="3294" spans="16:17" x14ac:dyDescent="0.3">
      <c r="P3294" s="349"/>
      <c r="Q3294" s="349"/>
    </row>
    <row r="3295" spans="16:17" x14ac:dyDescent="0.3">
      <c r="P3295" s="349"/>
      <c r="Q3295" s="349"/>
    </row>
    <row r="3296" spans="16:17" x14ac:dyDescent="0.3">
      <c r="P3296" s="349"/>
      <c r="Q3296" s="349"/>
    </row>
    <row r="3297" spans="16:17" x14ac:dyDescent="0.3">
      <c r="P3297" s="349"/>
      <c r="Q3297" s="349"/>
    </row>
    <row r="3298" spans="16:17" x14ac:dyDescent="0.3">
      <c r="P3298" s="349"/>
      <c r="Q3298" s="349"/>
    </row>
    <row r="3299" spans="16:17" x14ac:dyDescent="0.3">
      <c r="P3299" s="349"/>
      <c r="Q3299" s="349"/>
    </row>
    <row r="3300" spans="16:17" x14ac:dyDescent="0.3">
      <c r="P3300" s="349"/>
      <c r="Q3300" s="349"/>
    </row>
    <row r="3301" spans="16:17" x14ac:dyDescent="0.3">
      <c r="P3301" s="349"/>
      <c r="Q3301" s="349"/>
    </row>
    <row r="3302" spans="16:17" x14ac:dyDescent="0.3">
      <c r="P3302" s="349"/>
      <c r="Q3302" s="349"/>
    </row>
    <row r="3303" spans="16:17" x14ac:dyDescent="0.3">
      <c r="P3303" s="349"/>
      <c r="Q3303" s="349"/>
    </row>
    <row r="3304" spans="16:17" x14ac:dyDescent="0.3">
      <c r="P3304" s="349"/>
      <c r="Q3304" s="349"/>
    </row>
    <row r="3305" spans="16:17" x14ac:dyDescent="0.3">
      <c r="P3305" s="349"/>
      <c r="Q3305" s="349"/>
    </row>
    <row r="3306" spans="16:17" x14ac:dyDescent="0.3">
      <c r="P3306" s="349"/>
      <c r="Q3306" s="349"/>
    </row>
    <row r="3307" spans="16:17" x14ac:dyDescent="0.3">
      <c r="P3307" s="349"/>
      <c r="Q3307" s="349"/>
    </row>
    <row r="3308" spans="16:17" x14ac:dyDescent="0.3">
      <c r="P3308" s="349"/>
      <c r="Q3308" s="349"/>
    </row>
    <row r="3309" spans="16:17" x14ac:dyDescent="0.3">
      <c r="P3309" s="349"/>
      <c r="Q3309" s="349"/>
    </row>
    <row r="3310" spans="16:17" x14ac:dyDescent="0.3">
      <c r="P3310" s="349"/>
      <c r="Q3310" s="349"/>
    </row>
    <row r="3311" spans="16:17" x14ac:dyDescent="0.3">
      <c r="P3311" s="349"/>
      <c r="Q3311" s="349"/>
    </row>
    <row r="3312" spans="16:17" x14ac:dyDescent="0.3">
      <c r="P3312" s="349"/>
      <c r="Q3312" s="349"/>
    </row>
    <row r="3313" spans="16:17" x14ac:dyDescent="0.3">
      <c r="P3313" s="349"/>
      <c r="Q3313" s="349"/>
    </row>
    <row r="3314" spans="16:17" x14ac:dyDescent="0.3">
      <c r="P3314" s="349"/>
      <c r="Q3314" s="349"/>
    </row>
    <row r="3315" spans="16:17" x14ac:dyDescent="0.3">
      <c r="P3315" s="349"/>
      <c r="Q3315" s="349"/>
    </row>
    <row r="3316" spans="16:17" x14ac:dyDescent="0.3">
      <c r="P3316" s="349"/>
      <c r="Q3316" s="349"/>
    </row>
    <row r="3317" spans="16:17" x14ac:dyDescent="0.3">
      <c r="P3317" s="349"/>
      <c r="Q3317" s="349"/>
    </row>
    <row r="3318" spans="16:17" x14ac:dyDescent="0.3">
      <c r="P3318" s="349"/>
      <c r="Q3318" s="349"/>
    </row>
    <row r="3319" spans="16:17" x14ac:dyDescent="0.3">
      <c r="P3319" s="349"/>
      <c r="Q3319" s="349"/>
    </row>
    <row r="3320" spans="16:17" x14ac:dyDescent="0.3">
      <c r="P3320" s="349"/>
      <c r="Q3320" s="349"/>
    </row>
    <row r="3321" spans="16:17" x14ac:dyDescent="0.3">
      <c r="P3321" s="349"/>
      <c r="Q3321" s="349"/>
    </row>
    <row r="3322" spans="16:17" x14ac:dyDescent="0.3">
      <c r="P3322" s="349"/>
      <c r="Q3322" s="349"/>
    </row>
    <row r="3323" spans="16:17" x14ac:dyDescent="0.3">
      <c r="P3323" s="349"/>
      <c r="Q3323" s="349"/>
    </row>
    <row r="3324" spans="16:17" x14ac:dyDescent="0.3">
      <c r="P3324" s="349"/>
      <c r="Q3324" s="349"/>
    </row>
    <row r="3325" spans="16:17" x14ac:dyDescent="0.3">
      <c r="P3325" s="349"/>
      <c r="Q3325" s="349"/>
    </row>
    <row r="3326" spans="16:17" x14ac:dyDescent="0.3">
      <c r="P3326" s="349"/>
      <c r="Q3326" s="349"/>
    </row>
    <row r="3327" spans="16:17" x14ac:dyDescent="0.3">
      <c r="P3327" s="349"/>
      <c r="Q3327" s="349"/>
    </row>
    <row r="3328" spans="16:17" x14ac:dyDescent="0.3">
      <c r="P3328" s="349"/>
      <c r="Q3328" s="349"/>
    </row>
    <row r="3329" spans="16:17" x14ac:dyDescent="0.3">
      <c r="P3329" s="349"/>
      <c r="Q3329" s="349"/>
    </row>
    <row r="3330" spans="16:17" x14ac:dyDescent="0.3">
      <c r="P3330" s="349"/>
      <c r="Q3330" s="349"/>
    </row>
    <row r="3331" spans="16:17" x14ac:dyDescent="0.3">
      <c r="P3331" s="349"/>
      <c r="Q3331" s="349"/>
    </row>
    <row r="3332" spans="16:17" x14ac:dyDescent="0.3">
      <c r="P3332" s="349"/>
      <c r="Q3332" s="349"/>
    </row>
    <row r="3333" spans="16:17" x14ac:dyDescent="0.3">
      <c r="P3333" s="349"/>
      <c r="Q3333" s="349"/>
    </row>
    <row r="3334" spans="16:17" x14ac:dyDescent="0.3">
      <c r="P3334" s="349"/>
      <c r="Q3334" s="349"/>
    </row>
    <row r="3335" spans="16:17" x14ac:dyDescent="0.3">
      <c r="P3335" s="349"/>
      <c r="Q3335" s="349"/>
    </row>
    <row r="3336" spans="16:17" x14ac:dyDescent="0.3">
      <c r="P3336" s="349"/>
      <c r="Q3336" s="349"/>
    </row>
    <row r="3337" spans="16:17" x14ac:dyDescent="0.3">
      <c r="P3337" s="349"/>
      <c r="Q3337" s="349"/>
    </row>
    <row r="3338" spans="16:17" x14ac:dyDescent="0.3">
      <c r="P3338" s="349"/>
      <c r="Q3338" s="349"/>
    </row>
    <row r="3339" spans="16:17" x14ac:dyDescent="0.3">
      <c r="P3339" s="349"/>
      <c r="Q3339" s="349"/>
    </row>
    <row r="3340" spans="16:17" x14ac:dyDescent="0.3">
      <c r="P3340" s="349"/>
      <c r="Q3340" s="349"/>
    </row>
    <row r="3341" spans="16:17" x14ac:dyDescent="0.3">
      <c r="P3341" s="349"/>
      <c r="Q3341" s="349"/>
    </row>
    <row r="3342" spans="16:17" x14ac:dyDescent="0.3">
      <c r="P3342" s="349"/>
      <c r="Q3342" s="349"/>
    </row>
    <row r="3343" spans="16:17" x14ac:dyDescent="0.3">
      <c r="P3343" s="349"/>
      <c r="Q3343" s="349"/>
    </row>
    <row r="3344" spans="16:17" x14ac:dyDescent="0.3">
      <c r="P3344" s="349"/>
      <c r="Q3344" s="349"/>
    </row>
    <row r="3345" spans="16:17" x14ac:dyDescent="0.3">
      <c r="P3345" s="349"/>
      <c r="Q3345" s="349"/>
    </row>
    <row r="3346" spans="16:17" x14ac:dyDescent="0.3">
      <c r="P3346" s="349"/>
      <c r="Q3346" s="349"/>
    </row>
    <row r="3347" spans="16:17" x14ac:dyDescent="0.3">
      <c r="P3347" s="349"/>
      <c r="Q3347" s="349"/>
    </row>
    <row r="3348" spans="16:17" x14ac:dyDescent="0.3">
      <c r="P3348" s="349"/>
      <c r="Q3348" s="349"/>
    </row>
    <row r="3349" spans="16:17" x14ac:dyDescent="0.3">
      <c r="P3349" s="349"/>
      <c r="Q3349" s="349"/>
    </row>
    <row r="3350" spans="16:17" x14ac:dyDescent="0.3">
      <c r="P3350" s="349"/>
      <c r="Q3350" s="349"/>
    </row>
    <row r="3351" spans="16:17" x14ac:dyDescent="0.3">
      <c r="P3351" s="349"/>
      <c r="Q3351" s="349"/>
    </row>
    <row r="3352" spans="16:17" x14ac:dyDescent="0.3">
      <c r="P3352" s="349"/>
      <c r="Q3352" s="349"/>
    </row>
    <row r="3353" spans="16:17" x14ac:dyDescent="0.3">
      <c r="P3353" s="349"/>
      <c r="Q3353" s="349"/>
    </row>
    <row r="3354" spans="16:17" x14ac:dyDescent="0.3">
      <c r="P3354" s="349"/>
      <c r="Q3354" s="349"/>
    </row>
    <row r="3355" spans="16:17" x14ac:dyDescent="0.3">
      <c r="P3355" s="349"/>
      <c r="Q3355" s="349"/>
    </row>
    <row r="3356" spans="16:17" x14ac:dyDescent="0.3">
      <c r="P3356" s="349"/>
      <c r="Q3356" s="349"/>
    </row>
    <row r="3357" spans="16:17" x14ac:dyDescent="0.3">
      <c r="P3357" s="349"/>
      <c r="Q3357" s="349"/>
    </row>
    <row r="3358" spans="16:17" x14ac:dyDescent="0.3">
      <c r="P3358" s="349"/>
      <c r="Q3358" s="349"/>
    </row>
    <row r="3359" spans="16:17" x14ac:dyDescent="0.3">
      <c r="P3359" s="349"/>
      <c r="Q3359" s="349"/>
    </row>
    <row r="3360" spans="16:17" x14ac:dyDescent="0.3">
      <c r="P3360" s="349"/>
      <c r="Q3360" s="349"/>
    </row>
    <row r="3361" spans="16:17" x14ac:dyDescent="0.3">
      <c r="P3361" s="349"/>
      <c r="Q3361" s="349"/>
    </row>
    <row r="3362" spans="16:17" x14ac:dyDescent="0.3">
      <c r="P3362" s="349"/>
      <c r="Q3362" s="349"/>
    </row>
    <row r="3363" spans="16:17" x14ac:dyDescent="0.3">
      <c r="P3363" s="349"/>
      <c r="Q3363" s="349"/>
    </row>
    <row r="3364" spans="16:17" x14ac:dyDescent="0.3">
      <c r="P3364" s="349"/>
      <c r="Q3364" s="349"/>
    </row>
    <row r="3365" spans="16:17" x14ac:dyDescent="0.3">
      <c r="P3365" s="349"/>
      <c r="Q3365" s="349"/>
    </row>
    <row r="3366" spans="16:17" x14ac:dyDescent="0.3">
      <c r="P3366" s="349"/>
      <c r="Q3366" s="349"/>
    </row>
    <row r="3367" spans="16:17" x14ac:dyDescent="0.3">
      <c r="P3367" s="349"/>
      <c r="Q3367" s="349"/>
    </row>
    <row r="3368" spans="16:17" x14ac:dyDescent="0.3">
      <c r="P3368" s="349"/>
      <c r="Q3368" s="349"/>
    </row>
    <row r="3369" spans="16:17" x14ac:dyDescent="0.3">
      <c r="P3369" s="349"/>
      <c r="Q3369" s="349"/>
    </row>
    <row r="3370" spans="16:17" x14ac:dyDescent="0.3">
      <c r="P3370" s="349"/>
      <c r="Q3370" s="349"/>
    </row>
    <row r="3371" spans="16:17" x14ac:dyDescent="0.3">
      <c r="P3371" s="349"/>
      <c r="Q3371" s="349"/>
    </row>
    <row r="3372" spans="16:17" x14ac:dyDescent="0.3">
      <c r="P3372" s="349"/>
      <c r="Q3372" s="349"/>
    </row>
    <row r="3373" spans="16:17" x14ac:dyDescent="0.3">
      <c r="P3373" s="349"/>
      <c r="Q3373" s="349"/>
    </row>
    <row r="3374" spans="16:17" x14ac:dyDescent="0.3">
      <c r="P3374" s="349"/>
      <c r="Q3374" s="349"/>
    </row>
    <row r="3375" spans="16:17" x14ac:dyDescent="0.3">
      <c r="P3375" s="349"/>
      <c r="Q3375" s="349"/>
    </row>
    <row r="3376" spans="16:17" x14ac:dyDescent="0.3">
      <c r="P3376" s="349"/>
      <c r="Q3376" s="349"/>
    </row>
    <row r="3377" spans="16:17" x14ac:dyDescent="0.3">
      <c r="P3377" s="349"/>
      <c r="Q3377" s="349"/>
    </row>
    <row r="3378" spans="16:17" x14ac:dyDescent="0.3">
      <c r="P3378" s="349"/>
      <c r="Q3378" s="349"/>
    </row>
    <row r="3379" spans="16:17" x14ac:dyDescent="0.3">
      <c r="P3379" s="349"/>
      <c r="Q3379" s="349"/>
    </row>
    <row r="3380" spans="16:17" x14ac:dyDescent="0.3">
      <c r="P3380" s="349"/>
      <c r="Q3380" s="349"/>
    </row>
    <row r="3381" spans="16:17" x14ac:dyDescent="0.3">
      <c r="P3381" s="349"/>
      <c r="Q3381" s="349"/>
    </row>
    <row r="3382" spans="16:17" x14ac:dyDescent="0.3">
      <c r="P3382" s="349"/>
      <c r="Q3382" s="349"/>
    </row>
    <row r="3383" spans="16:17" x14ac:dyDescent="0.3">
      <c r="P3383" s="349"/>
      <c r="Q3383" s="349"/>
    </row>
    <row r="3384" spans="16:17" x14ac:dyDescent="0.3">
      <c r="P3384" s="349"/>
      <c r="Q3384" s="349"/>
    </row>
    <row r="3385" spans="16:17" x14ac:dyDescent="0.3">
      <c r="P3385" s="349"/>
      <c r="Q3385" s="349"/>
    </row>
    <row r="3386" spans="16:17" x14ac:dyDescent="0.3">
      <c r="P3386" s="349"/>
      <c r="Q3386" s="349"/>
    </row>
    <row r="3387" spans="16:17" x14ac:dyDescent="0.3">
      <c r="P3387" s="349"/>
      <c r="Q3387" s="349"/>
    </row>
    <row r="3388" spans="16:17" x14ac:dyDescent="0.3">
      <c r="P3388" s="349"/>
      <c r="Q3388" s="349"/>
    </row>
    <row r="3389" spans="16:17" x14ac:dyDescent="0.3">
      <c r="P3389" s="349"/>
      <c r="Q3389" s="349"/>
    </row>
    <row r="3390" spans="16:17" x14ac:dyDescent="0.3">
      <c r="P3390" s="349"/>
      <c r="Q3390" s="349"/>
    </row>
    <row r="3391" spans="16:17" x14ac:dyDescent="0.3">
      <c r="P3391" s="349"/>
      <c r="Q3391" s="349"/>
    </row>
    <row r="3392" spans="16:17" x14ac:dyDescent="0.3">
      <c r="P3392" s="349"/>
      <c r="Q3392" s="349"/>
    </row>
    <row r="3393" spans="16:17" x14ac:dyDescent="0.3">
      <c r="P3393" s="349"/>
      <c r="Q3393" s="349"/>
    </row>
    <row r="3394" spans="16:17" x14ac:dyDescent="0.3">
      <c r="P3394" s="349"/>
      <c r="Q3394" s="349"/>
    </row>
    <row r="3395" spans="16:17" x14ac:dyDescent="0.3">
      <c r="P3395" s="349"/>
      <c r="Q3395" s="349"/>
    </row>
    <row r="3396" spans="16:17" x14ac:dyDescent="0.3">
      <c r="P3396" s="349"/>
      <c r="Q3396" s="349"/>
    </row>
    <row r="3397" spans="16:17" x14ac:dyDescent="0.3">
      <c r="P3397" s="349"/>
      <c r="Q3397" s="349"/>
    </row>
    <row r="3398" spans="16:17" x14ac:dyDescent="0.3">
      <c r="P3398" s="349"/>
      <c r="Q3398" s="349"/>
    </row>
    <row r="3399" spans="16:17" x14ac:dyDescent="0.3">
      <c r="P3399" s="349"/>
      <c r="Q3399" s="349"/>
    </row>
    <row r="3400" spans="16:17" x14ac:dyDescent="0.3">
      <c r="P3400" s="349"/>
      <c r="Q3400" s="349"/>
    </row>
    <row r="3401" spans="16:17" x14ac:dyDescent="0.3">
      <c r="P3401" s="349"/>
      <c r="Q3401" s="349"/>
    </row>
    <row r="3402" spans="16:17" x14ac:dyDescent="0.3">
      <c r="P3402" s="349"/>
      <c r="Q3402" s="349"/>
    </row>
    <row r="3403" spans="16:17" x14ac:dyDescent="0.3">
      <c r="P3403" s="349"/>
      <c r="Q3403" s="349"/>
    </row>
    <row r="3404" spans="16:17" x14ac:dyDescent="0.3">
      <c r="P3404" s="349"/>
      <c r="Q3404" s="349"/>
    </row>
    <row r="3405" spans="16:17" x14ac:dyDescent="0.3">
      <c r="P3405" s="349"/>
      <c r="Q3405" s="349"/>
    </row>
    <row r="3406" spans="16:17" x14ac:dyDescent="0.3">
      <c r="P3406" s="349"/>
      <c r="Q3406" s="349"/>
    </row>
    <row r="3407" spans="16:17" x14ac:dyDescent="0.3">
      <c r="P3407" s="349"/>
      <c r="Q3407" s="349"/>
    </row>
    <row r="3408" spans="16:17" x14ac:dyDescent="0.3">
      <c r="P3408" s="349"/>
      <c r="Q3408" s="349"/>
    </row>
    <row r="3409" spans="16:17" x14ac:dyDescent="0.3">
      <c r="P3409" s="349"/>
      <c r="Q3409" s="349"/>
    </row>
    <row r="3410" spans="16:17" x14ac:dyDescent="0.3">
      <c r="P3410" s="349"/>
      <c r="Q3410" s="349"/>
    </row>
    <row r="3411" spans="16:17" x14ac:dyDescent="0.3">
      <c r="P3411" s="349"/>
      <c r="Q3411" s="349"/>
    </row>
    <row r="3412" spans="16:17" x14ac:dyDescent="0.3">
      <c r="P3412" s="349"/>
      <c r="Q3412" s="349"/>
    </row>
    <row r="3413" spans="16:17" x14ac:dyDescent="0.3">
      <c r="P3413" s="349"/>
      <c r="Q3413" s="349"/>
    </row>
    <row r="3414" spans="16:17" x14ac:dyDescent="0.3">
      <c r="P3414" s="349"/>
      <c r="Q3414" s="349"/>
    </row>
    <row r="3415" spans="16:17" x14ac:dyDescent="0.3">
      <c r="P3415" s="349"/>
      <c r="Q3415" s="349"/>
    </row>
    <row r="3416" spans="16:17" x14ac:dyDescent="0.3">
      <c r="P3416" s="349"/>
      <c r="Q3416" s="349"/>
    </row>
    <row r="3417" spans="16:17" x14ac:dyDescent="0.3">
      <c r="P3417" s="349"/>
      <c r="Q3417" s="349"/>
    </row>
    <row r="3418" spans="16:17" x14ac:dyDescent="0.3">
      <c r="P3418" s="349"/>
      <c r="Q3418" s="349"/>
    </row>
    <row r="3419" spans="16:17" x14ac:dyDescent="0.3">
      <c r="P3419" s="349"/>
      <c r="Q3419" s="349"/>
    </row>
    <row r="3420" spans="16:17" x14ac:dyDescent="0.3">
      <c r="P3420" s="349"/>
      <c r="Q3420" s="349"/>
    </row>
    <row r="3421" spans="16:17" x14ac:dyDescent="0.3">
      <c r="P3421" s="349"/>
      <c r="Q3421" s="349"/>
    </row>
    <row r="3422" spans="16:17" x14ac:dyDescent="0.3">
      <c r="P3422" s="349"/>
      <c r="Q3422" s="349"/>
    </row>
    <row r="3423" spans="16:17" x14ac:dyDescent="0.3">
      <c r="P3423" s="349"/>
      <c r="Q3423" s="349"/>
    </row>
    <row r="3424" spans="16:17" x14ac:dyDescent="0.3">
      <c r="P3424" s="349"/>
      <c r="Q3424" s="349"/>
    </row>
    <row r="3425" spans="16:17" x14ac:dyDescent="0.3">
      <c r="P3425" s="349"/>
      <c r="Q3425" s="349"/>
    </row>
    <row r="3426" spans="16:17" x14ac:dyDescent="0.3">
      <c r="P3426" s="349"/>
      <c r="Q3426" s="349"/>
    </row>
    <row r="3427" spans="16:17" x14ac:dyDescent="0.3">
      <c r="P3427" s="349"/>
      <c r="Q3427" s="349"/>
    </row>
    <row r="3428" spans="16:17" x14ac:dyDescent="0.3">
      <c r="P3428" s="349"/>
      <c r="Q3428" s="349"/>
    </row>
    <row r="3429" spans="16:17" x14ac:dyDescent="0.3">
      <c r="P3429" s="349"/>
      <c r="Q3429" s="349"/>
    </row>
    <row r="3430" spans="16:17" x14ac:dyDescent="0.3">
      <c r="P3430" s="349"/>
      <c r="Q3430" s="349"/>
    </row>
    <row r="3431" spans="16:17" x14ac:dyDescent="0.3">
      <c r="P3431" s="349"/>
      <c r="Q3431" s="349"/>
    </row>
    <row r="3432" spans="16:17" x14ac:dyDescent="0.3">
      <c r="P3432" s="349"/>
      <c r="Q3432" s="349"/>
    </row>
    <row r="3433" spans="16:17" x14ac:dyDescent="0.3">
      <c r="P3433" s="349"/>
      <c r="Q3433" s="349"/>
    </row>
    <row r="3434" spans="16:17" x14ac:dyDescent="0.3">
      <c r="P3434" s="349"/>
      <c r="Q3434" s="349"/>
    </row>
    <row r="3435" spans="16:17" x14ac:dyDescent="0.3">
      <c r="P3435" s="349"/>
      <c r="Q3435" s="349"/>
    </row>
    <row r="3436" spans="16:17" x14ac:dyDescent="0.3">
      <c r="P3436" s="349"/>
      <c r="Q3436" s="349"/>
    </row>
    <row r="3437" spans="16:17" x14ac:dyDescent="0.3">
      <c r="P3437" s="349"/>
      <c r="Q3437" s="349"/>
    </row>
    <row r="3438" spans="16:17" x14ac:dyDescent="0.3">
      <c r="P3438" s="349"/>
      <c r="Q3438" s="349"/>
    </row>
    <row r="3439" spans="16:17" x14ac:dyDescent="0.3">
      <c r="P3439" s="349"/>
      <c r="Q3439" s="349"/>
    </row>
    <row r="3440" spans="16:17" x14ac:dyDescent="0.3">
      <c r="P3440" s="349"/>
      <c r="Q3440" s="349"/>
    </row>
    <row r="3441" spans="16:17" x14ac:dyDescent="0.3">
      <c r="P3441" s="349"/>
      <c r="Q3441" s="349"/>
    </row>
    <row r="3442" spans="16:17" x14ac:dyDescent="0.3">
      <c r="P3442" s="349"/>
      <c r="Q3442" s="349"/>
    </row>
    <row r="3443" spans="16:17" x14ac:dyDescent="0.3">
      <c r="P3443" s="349"/>
      <c r="Q3443" s="349"/>
    </row>
    <row r="3444" spans="16:17" x14ac:dyDescent="0.3">
      <c r="P3444" s="349"/>
      <c r="Q3444" s="349"/>
    </row>
    <row r="3445" spans="16:17" x14ac:dyDescent="0.3">
      <c r="P3445" s="349"/>
      <c r="Q3445" s="349"/>
    </row>
    <row r="3446" spans="16:17" x14ac:dyDescent="0.3">
      <c r="P3446" s="349"/>
      <c r="Q3446" s="349"/>
    </row>
    <row r="3447" spans="16:17" x14ac:dyDescent="0.3">
      <c r="P3447" s="349"/>
      <c r="Q3447" s="349"/>
    </row>
    <row r="3448" spans="16:17" x14ac:dyDescent="0.3">
      <c r="P3448" s="349"/>
      <c r="Q3448" s="349"/>
    </row>
    <row r="3449" spans="16:17" x14ac:dyDescent="0.3">
      <c r="P3449" s="349"/>
      <c r="Q3449" s="349"/>
    </row>
    <row r="3450" spans="16:17" x14ac:dyDescent="0.3">
      <c r="P3450" s="349"/>
      <c r="Q3450" s="349"/>
    </row>
    <row r="3451" spans="16:17" x14ac:dyDescent="0.3">
      <c r="P3451" s="349"/>
      <c r="Q3451" s="349"/>
    </row>
    <row r="3452" spans="16:17" x14ac:dyDescent="0.3">
      <c r="P3452" s="349"/>
      <c r="Q3452" s="349"/>
    </row>
    <row r="3453" spans="16:17" x14ac:dyDescent="0.3">
      <c r="P3453" s="349"/>
      <c r="Q3453" s="349"/>
    </row>
    <row r="3454" spans="16:17" x14ac:dyDescent="0.3">
      <c r="P3454" s="349"/>
      <c r="Q3454" s="349"/>
    </row>
    <row r="3455" spans="16:17" x14ac:dyDescent="0.3">
      <c r="P3455" s="349"/>
      <c r="Q3455" s="349"/>
    </row>
    <row r="3456" spans="16:17" x14ac:dyDescent="0.3">
      <c r="P3456" s="349"/>
      <c r="Q3456" s="349"/>
    </row>
    <row r="3457" spans="16:17" x14ac:dyDescent="0.3">
      <c r="P3457" s="349"/>
      <c r="Q3457" s="349"/>
    </row>
    <row r="3458" spans="16:17" x14ac:dyDescent="0.3">
      <c r="P3458" s="349"/>
      <c r="Q3458" s="349"/>
    </row>
    <row r="3459" spans="16:17" x14ac:dyDescent="0.3">
      <c r="P3459" s="349"/>
      <c r="Q3459" s="349"/>
    </row>
    <row r="3460" spans="16:17" x14ac:dyDescent="0.3">
      <c r="P3460" s="349"/>
      <c r="Q3460" s="349"/>
    </row>
    <row r="3461" spans="16:17" x14ac:dyDescent="0.3">
      <c r="P3461" s="349"/>
      <c r="Q3461" s="349"/>
    </row>
    <row r="3462" spans="16:17" x14ac:dyDescent="0.3">
      <c r="P3462" s="349"/>
      <c r="Q3462" s="349"/>
    </row>
    <row r="3463" spans="16:17" x14ac:dyDescent="0.3">
      <c r="P3463" s="349"/>
      <c r="Q3463" s="349"/>
    </row>
    <row r="3464" spans="16:17" x14ac:dyDescent="0.3">
      <c r="P3464" s="349"/>
      <c r="Q3464" s="349"/>
    </row>
    <row r="3465" spans="16:17" x14ac:dyDescent="0.3">
      <c r="P3465" s="349"/>
      <c r="Q3465" s="349"/>
    </row>
    <row r="3466" spans="16:17" x14ac:dyDescent="0.3">
      <c r="P3466" s="349"/>
      <c r="Q3466" s="349"/>
    </row>
    <row r="3467" spans="16:17" x14ac:dyDescent="0.3">
      <c r="P3467" s="349"/>
      <c r="Q3467" s="349"/>
    </row>
    <row r="3468" spans="16:17" x14ac:dyDescent="0.3">
      <c r="P3468" s="349"/>
      <c r="Q3468" s="349"/>
    </row>
    <row r="3469" spans="16:17" x14ac:dyDescent="0.3">
      <c r="P3469" s="349"/>
      <c r="Q3469" s="349"/>
    </row>
    <row r="3470" spans="16:17" x14ac:dyDescent="0.3">
      <c r="P3470" s="349"/>
      <c r="Q3470" s="349"/>
    </row>
    <row r="3471" spans="16:17" x14ac:dyDescent="0.3">
      <c r="P3471" s="349"/>
      <c r="Q3471" s="349"/>
    </row>
    <row r="3472" spans="16:17" x14ac:dyDescent="0.3">
      <c r="P3472" s="349"/>
      <c r="Q3472" s="349"/>
    </row>
    <row r="3473" spans="16:17" x14ac:dyDescent="0.3">
      <c r="P3473" s="349"/>
      <c r="Q3473" s="349"/>
    </row>
    <row r="3474" spans="16:17" x14ac:dyDescent="0.3">
      <c r="P3474" s="349"/>
      <c r="Q3474" s="349"/>
    </row>
    <row r="3475" spans="16:17" x14ac:dyDescent="0.3">
      <c r="P3475" s="349"/>
      <c r="Q3475" s="349"/>
    </row>
    <row r="3476" spans="16:17" x14ac:dyDescent="0.3">
      <c r="P3476" s="349"/>
      <c r="Q3476" s="349"/>
    </row>
    <row r="3477" spans="16:17" x14ac:dyDescent="0.3">
      <c r="P3477" s="349"/>
      <c r="Q3477" s="349"/>
    </row>
    <row r="3478" spans="16:17" x14ac:dyDescent="0.3">
      <c r="P3478" s="349"/>
      <c r="Q3478" s="349"/>
    </row>
    <row r="3479" spans="16:17" x14ac:dyDescent="0.3">
      <c r="P3479" s="349"/>
      <c r="Q3479" s="349"/>
    </row>
    <row r="3480" spans="16:17" x14ac:dyDescent="0.3">
      <c r="P3480" s="349"/>
      <c r="Q3480" s="349"/>
    </row>
    <row r="3481" spans="16:17" x14ac:dyDescent="0.3">
      <c r="P3481" s="349"/>
      <c r="Q3481" s="349"/>
    </row>
    <row r="3482" spans="16:17" x14ac:dyDescent="0.3">
      <c r="P3482" s="349"/>
      <c r="Q3482" s="349"/>
    </row>
    <row r="3483" spans="16:17" x14ac:dyDescent="0.3">
      <c r="P3483" s="349"/>
      <c r="Q3483" s="349"/>
    </row>
    <row r="3484" spans="16:17" x14ac:dyDescent="0.3">
      <c r="P3484" s="349"/>
      <c r="Q3484" s="349"/>
    </row>
    <row r="3485" spans="16:17" x14ac:dyDescent="0.3">
      <c r="P3485" s="349"/>
      <c r="Q3485" s="349"/>
    </row>
    <row r="3486" spans="16:17" x14ac:dyDescent="0.3">
      <c r="P3486" s="349"/>
      <c r="Q3486" s="349"/>
    </row>
    <row r="3487" spans="16:17" x14ac:dyDescent="0.3">
      <c r="P3487" s="349"/>
      <c r="Q3487" s="349"/>
    </row>
    <row r="3488" spans="16:17" x14ac:dyDescent="0.3">
      <c r="P3488" s="349"/>
      <c r="Q3488" s="349"/>
    </row>
    <row r="3489" spans="16:17" x14ac:dyDescent="0.3">
      <c r="P3489" s="349"/>
      <c r="Q3489" s="349"/>
    </row>
    <row r="3490" spans="16:17" x14ac:dyDescent="0.3">
      <c r="P3490" s="349"/>
      <c r="Q3490" s="349"/>
    </row>
    <row r="3491" spans="16:17" x14ac:dyDescent="0.3">
      <c r="P3491" s="349"/>
      <c r="Q3491" s="349"/>
    </row>
    <row r="3492" spans="16:17" x14ac:dyDescent="0.3">
      <c r="P3492" s="349"/>
      <c r="Q3492" s="349"/>
    </row>
    <row r="3493" spans="16:17" x14ac:dyDescent="0.3">
      <c r="P3493" s="349"/>
      <c r="Q3493" s="349"/>
    </row>
    <row r="3494" spans="16:17" x14ac:dyDescent="0.3">
      <c r="P3494" s="349"/>
      <c r="Q3494" s="349"/>
    </row>
    <row r="3495" spans="16:17" x14ac:dyDescent="0.3">
      <c r="P3495" s="349"/>
      <c r="Q3495" s="349"/>
    </row>
    <row r="3496" spans="16:17" x14ac:dyDescent="0.3">
      <c r="P3496" s="349"/>
      <c r="Q3496" s="349"/>
    </row>
    <row r="3497" spans="16:17" x14ac:dyDescent="0.3">
      <c r="P3497" s="349"/>
      <c r="Q3497" s="349"/>
    </row>
    <row r="3498" spans="16:17" x14ac:dyDescent="0.3">
      <c r="P3498" s="349"/>
      <c r="Q3498" s="349"/>
    </row>
    <row r="3499" spans="16:17" x14ac:dyDescent="0.3">
      <c r="P3499" s="349"/>
      <c r="Q3499" s="349"/>
    </row>
    <row r="3500" spans="16:17" x14ac:dyDescent="0.3">
      <c r="P3500" s="349"/>
      <c r="Q3500" s="349"/>
    </row>
    <row r="3501" spans="16:17" x14ac:dyDescent="0.3">
      <c r="P3501" s="349"/>
      <c r="Q3501" s="349"/>
    </row>
    <row r="3502" spans="16:17" x14ac:dyDescent="0.3">
      <c r="P3502" s="349"/>
      <c r="Q3502" s="349"/>
    </row>
    <row r="3503" spans="16:17" x14ac:dyDescent="0.3">
      <c r="P3503" s="349"/>
      <c r="Q3503" s="349"/>
    </row>
    <row r="3504" spans="16:17" x14ac:dyDescent="0.3">
      <c r="P3504" s="349"/>
      <c r="Q3504" s="349"/>
    </row>
    <row r="3505" spans="16:17" x14ac:dyDescent="0.3">
      <c r="P3505" s="349"/>
      <c r="Q3505" s="349"/>
    </row>
    <row r="3506" spans="16:17" x14ac:dyDescent="0.3">
      <c r="P3506" s="349"/>
      <c r="Q3506" s="349"/>
    </row>
    <row r="3507" spans="16:17" x14ac:dyDescent="0.3">
      <c r="P3507" s="349"/>
      <c r="Q3507" s="349"/>
    </row>
    <row r="3508" spans="16:17" x14ac:dyDescent="0.3">
      <c r="P3508" s="349"/>
      <c r="Q3508" s="349"/>
    </row>
    <row r="3509" spans="16:17" x14ac:dyDescent="0.3">
      <c r="P3509" s="349"/>
      <c r="Q3509" s="349"/>
    </row>
    <row r="3510" spans="16:17" x14ac:dyDescent="0.3">
      <c r="P3510" s="349"/>
      <c r="Q3510" s="349"/>
    </row>
    <row r="3511" spans="16:17" x14ac:dyDescent="0.3">
      <c r="P3511" s="349"/>
      <c r="Q3511" s="349"/>
    </row>
    <row r="3512" spans="16:17" x14ac:dyDescent="0.3">
      <c r="P3512" s="349"/>
      <c r="Q3512" s="349"/>
    </row>
    <row r="3513" spans="16:17" x14ac:dyDescent="0.3">
      <c r="P3513" s="349"/>
      <c r="Q3513" s="349"/>
    </row>
    <row r="3514" spans="16:17" x14ac:dyDescent="0.3">
      <c r="P3514" s="349"/>
      <c r="Q3514" s="349"/>
    </row>
    <row r="3515" spans="16:17" x14ac:dyDescent="0.3">
      <c r="P3515" s="349"/>
      <c r="Q3515" s="349"/>
    </row>
    <row r="3516" spans="16:17" x14ac:dyDescent="0.3">
      <c r="P3516" s="349"/>
      <c r="Q3516" s="349"/>
    </row>
    <row r="3517" spans="16:17" x14ac:dyDescent="0.3">
      <c r="P3517" s="349"/>
      <c r="Q3517" s="349"/>
    </row>
    <row r="3518" spans="16:17" x14ac:dyDescent="0.3">
      <c r="P3518" s="349"/>
      <c r="Q3518" s="349"/>
    </row>
    <row r="3519" spans="16:17" x14ac:dyDescent="0.3">
      <c r="P3519" s="349"/>
      <c r="Q3519" s="349"/>
    </row>
    <row r="3520" spans="16:17" x14ac:dyDescent="0.3">
      <c r="P3520" s="349"/>
      <c r="Q3520" s="349"/>
    </row>
    <row r="3521" spans="16:17" x14ac:dyDescent="0.3">
      <c r="P3521" s="349"/>
      <c r="Q3521" s="349"/>
    </row>
    <row r="3522" spans="16:17" x14ac:dyDescent="0.3">
      <c r="P3522" s="349"/>
      <c r="Q3522" s="349"/>
    </row>
    <row r="3523" spans="16:17" x14ac:dyDescent="0.3">
      <c r="P3523" s="349"/>
      <c r="Q3523" s="349"/>
    </row>
    <row r="3524" spans="16:17" x14ac:dyDescent="0.3">
      <c r="P3524" s="349"/>
      <c r="Q3524" s="349"/>
    </row>
    <row r="3525" spans="16:17" x14ac:dyDescent="0.3">
      <c r="P3525" s="349"/>
      <c r="Q3525" s="349"/>
    </row>
    <row r="3526" spans="16:17" x14ac:dyDescent="0.3">
      <c r="P3526" s="349"/>
      <c r="Q3526" s="349"/>
    </row>
    <row r="3527" spans="16:17" x14ac:dyDescent="0.3">
      <c r="P3527" s="349"/>
      <c r="Q3527" s="349"/>
    </row>
    <row r="3528" spans="16:17" x14ac:dyDescent="0.3">
      <c r="P3528" s="349"/>
      <c r="Q3528" s="349"/>
    </row>
    <row r="3529" spans="16:17" x14ac:dyDescent="0.3">
      <c r="P3529" s="349"/>
      <c r="Q3529" s="349"/>
    </row>
    <row r="3530" spans="16:17" x14ac:dyDescent="0.3">
      <c r="P3530" s="349"/>
      <c r="Q3530" s="349"/>
    </row>
    <row r="3531" spans="16:17" x14ac:dyDescent="0.3">
      <c r="P3531" s="349"/>
      <c r="Q3531" s="349"/>
    </row>
    <row r="3532" spans="16:17" x14ac:dyDescent="0.3">
      <c r="P3532" s="349"/>
      <c r="Q3532" s="349"/>
    </row>
    <row r="3533" spans="16:17" x14ac:dyDescent="0.3">
      <c r="P3533" s="349"/>
      <c r="Q3533" s="349"/>
    </row>
    <row r="3534" spans="16:17" x14ac:dyDescent="0.3">
      <c r="P3534" s="349"/>
      <c r="Q3534" s="349"/>
    </row>
    <row r="3535" spans="16:17" x14ac:dyDescent="0.3">
      <c r="P3535" s="349"/>
      <c r="Q3535" s="349"/>
    </row>
    <row r="3536" spans="16:17" x14ac:dyDescent="0.3">
      <c r="P3536" s="349"/>
      <c r="Q3536" s="349"/>
    </row>
    <row r="3537" spans="16:17" x14ac:dyDescent="0.3">
      <c r="P3537" s="349"/>
      <c r="Q3537" s="349"/>
    </row>
    <row r="3538" spans="16:17" x14ac:dyDescent="0.3">
      <c r="P3538" s="349"/>
      <c r="Q3538" s="349"/>
    </row>
    <row r="3539" spans="16:17" x14ac:dyDescent="0.3">
      <c r="P3539" s="349"/>
      <c r="Q3539" s="349"/>
    </row>
    <row r="3540" spans="16:17" x14ac:dyDescent="0.3">
      <c r="P3540" s="349"/>
      <c r="Q3540" s="349"/>
    </row>
    <row r="3541" spans="16:17" x14ac:dyDescent="0.3">
      <c r="P3541" s="349"/>
      <c r="Q3541" s="349"/>
    </row>
    <row r="3542" spans="16:17" x14ac:dyDescent="0.3">
      <c r="P3542" s="349"/>
      <c r="Q3542" s="349"/>
    </row>
    <row r="3543" spans="16:17" x14ac:dyDescent="0.3">
      <c r="P3543" s="349"/>
      <c r="Q3543" s="349"/>
    </row>
    <row r="3544" spans="16:17" x14ac:dyDescent="0.3">
      <c r="P3544" s="349"/>
      <c r="Q3544" s="349"/>
    </row>
    <row r="3545" spans="16:17" x14ac:dyDescent="0.3">
      <c r="P3545" s="349"/>
      <c r="Q3545" s="349"/>
    </row>
    <row r="3546" spans="16:17" x14ac:dyDescent="0.3">
      <c r="P3546" s="349"/>
      <c r="Q3546" s="349"/>
    </row>
    <row r="3547" spans="16:17" x14ac:dyDescent="0.3">
      <c r="P3547" s="349"/>
      <c r="Q3547" s="349"/>
    </row>
    <row r="3548" spans="16:17" x14ac:dyDescent="0.3">
      <c r="P3548" s="349"/>
      <c r="Q3548" s="349"/>
    </row>
    <row r="3549" spans="16:17" x14ac:dyDescent="0.3">
      <c r="P3549" s="349"/>
      <c r="Q3549" s="349"/>
    </row>
    <row r="3550" spans="16:17" x14ac:dyDescent="0.3">
      <c r="P3550" s="349"/>
      <c r="Q3550" s="349"/>
    </row>
    <row r="3551" spans="16:17" x14ac:dyDescent="0.3">
      <c r="P3551" s="349"/>
      <c r="Q3551" s="349"/>
    </row>
    <row r="3552" spans="16:17" x14ac:dyDescent="0.3">
      <c r="P3552" s="349"/>
      <c r="Q3552" s="349"/>
    </row>
    <row r="3553" spans="16:17" x14ac:dyDescent="0.3">
      <c r="P3553" s="349"/>
      <c r="Q3553" s="349"/>
    </row>
    <row r="3554" spans="16:17" x14ac:dyDescent="0.3">
      <c r="P3554" s="349"/>
      <c r="Q3554" s="349"/>
    </row>
    <row r="3555" spans="16:17" x14ac:dyDescent="0.3">
      <c r="P3555" s="349"/>
      <c r="Q3555" s="349"/>
    </row>
    <row r="3556" spans="16:17" x14ac:dyDescent="0.3">
      <c r="P3556" s="349"/>
      <c r="Q3556" s="349"/>
    </row>
    <row r="3557" spans="16:17" x14ac:dyDescent="0.3">
      <c r="P3557" s="349"/>
      <c r="Q3557" s="349"/>
    </row>
    <row r="3558" spans="16:17" x14ac:dyDescent="0.3">
      <c r="P3558" s="349"/>
      <c r="Q3558" s="349"/>
    </row>
    <row r="3559" spans="16:17" x14ac:dyDescent="0.3">
      <c r="P3559" s="349"/>
      <c r="Q3559" s="349"/>
    </row>
    <row r="3560" spans="16:17" x14ac:dyDescent="0.3">
      <c r="P3560" s="349"/>
      <c r="Q3560" s="349"/>
    </row>
    <row r="3561" spans="16:17" x14ac:dyDescent="0.3">
      <c r="P3561" s="349"/>
      <c r="Q3561" s="349"/>
    </row>
    <row r="3562" spans="16:17" x14ac:dyDescent="0.3">
      <c r="P3562" s="349"/>
      <c r="Q3562" s="349"/>
    </row>
    <row r="3563" spans="16:17" x14ac:dyDescent="0.3">
      <c r="P3563" s="349"/>
      <c r="Q3563" s="349"/>
    </row>
    <row r="3564" spans="16:17" x14ac:dyDescent="0.3">
      <c r="P3564" s="349"/>
      <c r="Q3564" s="349"/>
    </row>
    <row r="3565" spans="16:17" x14ac:dyDescent="0.3">
      <c r="P3565" s="349"/>
      <c r="Q3565" s="349"/>
    </row>
    <row r="3566" spans="16:17" x14ac:dyDescent="0.3">
      <c r="P3566" s="349"/>
      <c r="Q3566" s="349"/>
    </row>
    <row r="3567" spans="16:17" x14ac:dyDescent="0.3">
      <c r="P3567" s="349"/>
      <c r="Q3567" s="349"/>
    </row>
    <row r="3568" spans="16:17" x14ac:dyDescent="0.3">
      <c r="P3568" s="349"/>
      <c r="Q3568" s="349"/>
    </row>
    <row r="3569" spans="16:17" x14ac:dyDescent="0.3">
      <c r="P3569" s="349"/>
      <c r="Q3569" s="349"/>
    </row>
    <row r="3570" spans="16:17" x14ac:dyDescent="0.3">
      <c r="P3570" s="349"/>
      <c r="Q3570" s="349"/>
    </row>
    <row r="3571" spans="16:17" x14ac:dyDescent="0.3">
      <c r="P3571" s="349"/>
      <c r="Q3571" s="349"/>
    </row>
    <row r="3572" spans="16:17" x14ac:dyDescent="0.3">
      <c r="P3572" s="349"/>
      <c r="Q3572" s="349"/>
    </row>
    <row r="3573" spans="16:17" x14ac:dyDescent="0.3">
      <c r="P3573" s="349"/>
      <c r="Q3573" s="349"/>
    </row>
    <row r="3574" spans="16:17" x14ac:dyDescent="0.3">
      <c r="P3574" s="349"/>
      <c r="Q3574" s="349"/>
    </row>
    <row r="3575" spans="16:17" x14ac:dyDescent="0.3">
      <c r="P3575" s="349"/>
      <c r="Q3575" s="349"/>
    </row>
    <row r="3576" spans="16:17" x14ac:dyDescent="0.3">
      <c r="P3576" s="349"/>
      <c r="Q3576" s="349"/>
    </row>
    <row r="3577" spans="16:17" x14ac:dyDescent="0.3">
      <c r="P3577" s="349"/>
      <c r="Q3577" s="349"/>
    </row>
    <row r="3578" spans="16:17" x14ac:dyDescent="0.3">
      <c r="P3578" s="349"/>
      <c r="Q3578" s="349"/>
    </row>
    <row r="3579" spans="16:17" x14ac:dyDescent="0.3">
      <c r="P3579" s="349"/>
      <c r="Q3579" s="349"/>
    </row>
    <row r="3580" spans="16:17" x14ac:dyDescent="0.3">
      <c r="P3580" s="349"/>
      <c r="Q3580" s="349"/>
    </row>
    <row r="3581" spans="16:17" x14ac:dyDescent="0.3">
      <c r="P3581" s="349"/>
      <c r="Q3581" s="349"/>
    </row>
    <row r="3582" spans="16:17" x14ac:dyDescent="0.3">
      <c r="P3582" s="349"/>
      <c r="Q3582" s="349"/>
    </row>
    <row r="3583" spans="16:17" x14ac:dyDescent="0.3">
      <c r="P3583" s="349"/>
      <c r="Q3583" s="349"/>
    </row>
    <row r="3584" spans="16:17" x14ac:dyDescent="0.3">
      <c r="P3584" s="349"/>
      <c r="Q3584" s="349"/>
    </row>
    <row r="3585" spans="16:17" x14ac:dyDescent="0.3">
      <c r="P3585" s="349"/>
      <c r="Q3585" s="349"/>
    </row>
    <row r="3586" spans="16:17" x14ac:dyDescent="0.3">
      <c r="P3586" s="349"/>
      <c r="Q3586" s="349"/>
    </row>
    <row r="3587" spans="16:17" x14ac:dyDescent="0.3">
      <c r="P3587" s="349"/>
      <c r="Q3587" s="349"/>
    </row>
    <row r="3588" spans="16:17" x14ac:dyDescent="0.3">
      <c r="P3588" s="349"/>
      <c r="Q3588" s="349"/>
    </row>
    <row r="3589" spans="16:17" x14ac:dyDescent="0.3">
      <c r="P3589" s="349"/>
      <c r="Q3589" s="349"/>
    </row>
    <row r="3590" spans="16:17" x14ac:dyDescent="0.3">
      <c r="P3590" s="349"/>
      <c r="Q3590" s="349"/>
    </row>
    <row r="3591" spans="16:17" x14ac:dyDescent="0.3">
      <c r="P3591" s="349"/>
      <c r="Q3591" s="349"/>
    </row>
    <row r="3592" spans="16:17" x14ac:dyDescent="0.3">
      <c r="P3592" s="349"/>
      <c r="Q3592" s="349"/>
    </row>
    <row r="3593" spans="16:17" x14ac:dyDescent="0.3">
      <c r="P3593" s="349"/>
      <c r="Q3593" s="349"/>
    </row>
    <row r="3594" spans="16:17" x14ac:dyDescent="0.3">
      <c r="P3594" s="349"/>
      <c r="Q3594" s="349"/>
    </row>
    <row r="3595" spans="16:17" x14ac:dyDescent="0.3">
      <c r="P3595" s="349"/>
      <c r="Q3595" s="349"/>
    </row>
    <row r="3596" spans="16:17" x14ac:dyDescent="0.3">
      <c r="P3596" s="349"/>
      <c r="Q3596" s="349"/>
    </row>
    <row r="3597" spans="16:17" x14ac:dyDescent="0.3">
      <c r="P3597" s="349"/>
      <c r="Q3597" s="349"/>
    </row>
    <row r="3598" spans="16:17" x14ac:dyDescent="0.3">
      <c r="P3598" s="349"/>
      <c r="Q3598" s="349"/>
    </row>
    <row r="3599" spans="16:17" x14ac:dyDescent="0.3">
      <c r="P3599" s="349"/>
      <c r="Q3599" s="349"/>
    </row>
    <row r="3600" spans="16:17" x14ac:dyDescent="0.3">
      <c r="P3600" s="349"/>
      <c r="Q3600" s="349"/>
    </row>
    <row r="3601" spans="16:17" x14ac:dyDescent="0.3">
      <c r="P3601" s="349"/>
      <c r="Q3601" s="349"/>
    </row>
    <row r="3602" spans="16:17" x14ac:dyDescent="0.3">
      <c r="P3602" s="349"/>
      <c r="Q3602" s="349"/>
    </row>
    <row r="3603" spans="16:17" x14ac:dyDescent="0.3">
      <c r="P3603" s="349"/>
      <c r="Q3603" s="349"/>
    </row>
    <row r="3604" spans="16:17" x14ac:dyDescent="0.3">
      <c r="P3604" s="349"/>
      <c r="Q3604" s="349"/>
    </row>
    <row r="3605" spans="16:17" x14ac:dyDescent="0.3">
      <c r="P3605" s="349"/>
      <c r="Q3605" s="349"/>
    </row>
    <row r="3606" spans="16:17" x14ac:dyDescent="0.3">
      <c r="P3606" s="349"/>
      <c r="Q3606" s="349"/>
    </row>
    <row r="3607" spans="16:17" x14ac:dyDescent="0.3">
      <c r="P3607" s="349"/>
      <c r="Q3607" s="349"/>
    </row>
    <row r="3608" spans="16:17" x14ac:dyDescent="0.3">
      <c r="P3608" s="349"/>
      <c r="Q3608" s="349"/>
    </row>
    <row r="3609" spans="16:17" x14ac:dyDescent="0.3">
      <c r="P3609" s="349"/>
      <c r="Q3609" s="349"/>
    </row>
    <row r="3610" spans="16:17" x14ac:dyDescent="0.3">
      <c r="P3610" s="349"/>
      <c r="Q3610" s="349"/>
    </row>
    <row r="3611" spans="16:17" x14ac:dyDescent="0.3">
      <c r="P3611" s="349"/>
      <c r="Q3611" s="349"/>
    </row>
    <row r="3612" spans="16:17" x14ac:dyDescent="0.3">
      <c r="P3612" s="349"/>
      <c r="Q3612" s="349"/>
    </row>
    <row r="3613" spans="16:17" x14ac:dyDescent="0.3">
      <c r="P3613" s="349"/>
      <c r="Q3613" s="349"/>
    </row>
    <row r="3614" spans="16:17" x14ac:dyDescent="0.3">
      <c r="P3614" s="349"/>
      <c r="Q3614" s="349"/>
    </row>
    <row r="3615" spans="16:17" x14ac:dyDescent="0.3">
      <c r="P3615" s="349"/>
      <c r="Q3615" s="349"/>
    </row>
    <row r="3616" spans="16:17" x14ac:dyDescent="0.3">
      <c r="P3616" s="349"/>
      <c r="Q3616" s="349"/>
    </row>
    <row r="3617" spans="16:17" x14ac:dyDescent="0.3">
      <c r="P3617" s="349"/>
      <c r="Q3617" s="349"/>
    </row>
    <row r="3618" spans="16:17" x14ac:dyDescent="0.3">
      <c r="P3618" s="349"/>
      <c r="Q3618" s="349"/>
    </row>
    <row r="3619" spans="16:17" x14ac:dyDescent="0.3">
      <c r="P3619" s="349"/>
      <c r="Q3619" s="349"/>
    </row>
    <row r="3620" spans="16:17" x14ac:dyDescent="0.3">
      <c r="P3620" s="349"/>
      <c r="Q3620" s="349"/>
    </row>
    <row r="3621" spans="16:17" x14ac:dyDescent="0.3">
      <c r="P3621" s="349"/>
      <c r="Q3621" s="349"/>
    </row>
    <row r="3622" spans="16:17" x14ac:dyDescent="0.3">
      <c r="P3622" s="349"/>
      <c r="Q3622" s="349"/>
    </row>
    <row r="3623" spans="16:17" x14ac:dyDescent="0.3">
      <c r="P3623" s="349"/>
      <c r="Q3623" s="349"/>
    </row>
    <row r="3624" spans="16:17" x14ac:dyDescent="0.3">
      <c r="P3624" s="349"/>
      <c r="Q3624" s="349"/>
    </row>
    <row r="3625" spans="16:17" x14ac:dyDescent="0.3">
      <c r="P3625" s="349"/>
      <c r="Q3625" s="349"/>
    </row>
    <row r="3626" spans="16:17" x14ac:dyDescent="0.3">
      <c r="P3626" s="349"/>
      <c r="Q3626" s="349"/>
    </row>
    <row r="3627" spans="16:17" x14ac:dyDescent="0.3">
      <c r="P3627" s="349"/>
      <c r="Q3627" s="349"/>
    </row>
    <row r="3628" spans="16:17" x14ac:dyDescent="0.3">
      <c r="P3628" s="349"/>
      <c r="Q3628" s="349"/>
    </row>
    <row r="3629" spans="16:17" x14ac:dyDescent="0.3">
      <c r="P3629" s="349"/>
      <c r="Q3629" s="349"/>
    </row>
    <row r="3630" spans="16:17" x14ac:dyDescent="0.3">
      <c r="P3630" s="349"/>
      <c r="Q3630" s="349"/>
    </row>
    <row r="3631" spans="16:17" x14ac:dyDescent="0.3">
      <c r="P3631" s="349"/>
      <c r="Q3631" s="349"/>
    </row>
    <row r="3632" spans="16:17" x14ac:dyDescent="0.3">
      <c r="P3632" s="349"/>
      <c r="Q3632" s="349"/>
    </row>
    <row r="3633" spans="16:17" x14ac:dyDescent="0.3">
      <c r="P3633" s="349"/>
      <c r="Q3633" s="349"/>
    </row>
    <row r="3634" spans="16:17" x14ac:dyDescent="0.3">
      <c r="P3634" s="349"/>
      <c r="Q3634" s="349"/>
    </row>
    <row r="3635" spans="16:17" x14ac:dyDescent="0.3">
      <c r="P3635" s="349"/>
      <c r="Q3635" s="349"/>
    </row>
    <row r="3636" spans="16:17" x14ac:dyDescent="0.3">
      <c r="P3636" s="349"/>
      <c r="Q3636" s="349"/>
    </row>
    <row r="3637" spans="16:17" x14ac:dyDescent="0.3">
      <c r="P3637" s="349"/>
      <c r="Q3637" s="349"/>
    </row>
    <row r="3638" spans="16:17" x14ac:dyDescent="0.3">
      <c r="P3638" s="349"/>
      <c r="Q3638" s="349"/>
    </row>
    <row r="3639" spans="16:17" x14ac:dyDescent="0.3">
      <c r="P3639" s="349"/>
      <c r="Q3639" s="349"/>
    </row>
    <row r="3640" spans="16:17" x14ac:dyDescent="0.3">
      <c r="P3640" s="349"/>
      <c r="Q3640" s="349"/>
    </row>
    <row r="3641" spans="16:17" x14ac:dyDescent="0.3">
      <c r="P3641" s="349"/>
      <c r="Q3641" s="349"/>
    </row>
    <row r="3642" spans="16:17" x14ac:dyDescent="0.3">
      <c r="P3642" s="349"/>
      <c r="Q3642" s="349"/>
    </row>
    <row r="3643" spans="16:17" x14ac:dyDescent="0.3">
      <c r="P3643" s="349"/>
      <c r="Q3643" s="349"/>
    </row>
    <row r="3644" spans="16:17" x14ac:dyDescent="0.3">
      <c r="P3644" s="349"/>
      <c r="Q3644" s="349"/>
    </row>
    <row r="3645" spans="16:17" x14ac:dyDescent="0.3">
      <c r="P3645" s="349"/>
      <c r="Q3645" s="349"/>
    </row>
    <row r="3646" spans="16:17" x14ac:dyDescent="0.3">
      <c r="P3646" s="349"/>
      <c r="Q3646" s="349"/>
    </row>
    <row r="3647" spans="16:17" x14ac:dyDescent="0.3">
      <c r="P3647" s="349"/>
      <c r="Q3647" s="349"/>
    </row>
    <row r="3648" spans="16:17" x14ac:dyDescent="0.3">
      <c r="P3648" s="349"/>
      <c r="Q3648" s="349"/>
    </row>
    <row r="3649" spans="16:17" x14ac:dyDescent="0.3">
      <c r="P3649" s="349"/>
      <c r="Q3649" s="349"/>
    </row>
    <row r="3650" spans="16:17" x14ac:dyDescent="0.3">
      <c r="P3650" s="349"/>
      <c r="Q3650" s="349"/>
    </row>
    <row r="3651" spans="16:17" x14ac:dyDescent="0.3">
      <c r="P3651" s="349"/>
      <c r="Q3651" s="349"/>
    </row>
    <row r="3652" spans="16:17" x14ac:dyDescent="0.3">
      <c r="P3652" s="349"/>
      <c r="Q3652" s="349"/>
    </row>
    <row r="3653" spans="16:17" x14ac:dyDescent="0.3">
      <c r="P3653" s="349"/>
      <c r="Q3653" s="349"/>
    </row>
    <row r="3654" spans="16:17" x14ac:dyDescent="0.3">
      <c r="P3654" s="349"/>
      <c r="Q3654" s="349"/>
    </row>
    <row r="3655" spans="16:17" x14ac:dyDescent="0.3">
      <c r="P3655" s="349"/>
      <c r="Q3655" s="349"/>
    </row>
    <row r="3656" spans="16:17" x14ac:dyDescent="0.3">
      <c r="P3656" s="349"/>
      <c r="Q3656" s="349"/>
    </row>
    <row r="3657" spans="16:17" x14ac:dyDescent="0.3">
      <c r="P3657" s="349"/>
      <c r="Q3657" s="349"/>
    </row>
    <row r="3658" spans="16:17" x14ac:dyDescent="0.3">
      <c r="P3658" s="349"/>
      <c r="Q3658" s="349"/>
    </row>
    <row r="3659" spans="16:17" x14ac:dyDescent="0.3">
      <c r="P3659" s="349"/>
      <c r="Q3659" s="349"/>
    </row>
    <row r="3660" spans="16:17" x14ac:dyDescent="0.3">
      <c r="P3660" s="349"/>
      <c r="Q3660" s="349"/>
    </row>
    <row r="3661" spans="16:17" x14ac:dyDescent="0.3">
      <c r="P3661" s="349"/>
      <c r="Q3661" s="349"/>
    </row>
    <row r="3662" spans="16:17" x14ac:dyDescent="0.3">
      <c r="P3662" s="349"/>
      <c r="Q3662" s="349"/>
    </row>
    <row r="3663" spans="16:17" x14ac:dyDescent="0.3">
      <c r="P3663" s="349"/>
      <c r="Q3663" s="349"/>
    </row>
    <row r="3664" spans="16:17" x14ac:dyDescent="0.3">
      <c r="P3664" s="349"/>
      <c r="Q3664" s="349"/>
    </row>
    <row r="3665" spans="16:17" x14ac:dyDescent="0.3">
      <c r="P3665" s="349"/>
      <c r="Q3665" s="349"/>
    </row>
    <row r="3666" spans="16:17" x14ac:dyDescent="0.3">
      <c r="P3666" s="349"/>
      <c r="Q3666" s="349"/>
    </row>
    <row r="3667" spans="16:17" x14ac:dyDescent="0.3">
      <c r="P3667" s="349"/>
      <c r="Q3667" s="349"/>
    </row>
    <row r="3668" spans="16:17" x14ac:dyDescent="0.3">
      <c r="P3668" s="349"/>
      <c r="Q3668" s="349"/>
    </row>
    <row r="3669" spans="16:17" x14ac:dyDescent="0.3">
      <c r="P3669" s="349"/>
      <c r="Q3669" s="349"/>
    </row>
    <row r="3670" spans="16:17" x14ac:dyDescent="0.3">
      <c r="P3670" s="349"/>
      <c r="Q3670" s="349"/>
    </row>
    <row r="3671" spans="16:17" x14ac:dyDescent="0.3">
      <c r="P3671" s="349"/>
      <c r="Q3671" s="349"/>
    </row>
    <row r="3672" spans="16:17" x14ac:dyDescent="0.3">
      <c r="P3672" s="349"/>
      <c r="Q3672" s="349"/>
    </row>
    <row r="3673" spans="16:17" x14ac:dyDescent="0.3">
      <c r="P3673" s="349"/>
      <c r="Q3673" s="349"/>
    </row>
    <row r="3674" spans="16:17" x14ac:dyDescent="0.3">
      <c r="P3674" s="349"/>
      <c r="Q3674" s="349"/>
    </row>
    <row r="3675" spans="16:17" x14ac:dyDescent="0.3">
      <c r="P3675" s="349"/>
      <c r="Q3675" s="349"/>
    </row>
    <row r="3676" spans="16:17" x14ac:dyDescent="0.3">
      <c r="P3676" s="349"/>
      <c r="Q3676" s="349"/>
    </row>
    <row r="3677" spans="16:17" x14ac:dyDescent="0.3">
      <c r="P3677" s="349"/>
      <c r="Q3677" s="349"/>
    </row>
    <row r="3678" spans="16:17" x14ac:dyDescent="0.3">
      <c r="P3678" s="349"/>
      <c r="Q3678" s="349"/>
    </row>
    <row r="3679" spans="16:17" x14ac:dyDescent="0.3">
      <c r="P3679" s="349"/>
      <c r="Q3679" s="349"/>
    </row>
    <row r="3680" spans="16:17" x14ac:dyDescent="0.3">
      <c r="P3680" s="349"/>
      <c r="Q3680" s="349"/>
    </row>
    <row r="3681" spans="16:17" x14ac:dyDescent="0.3">
      <c r="P3681" s="349"/>
      <c r="Q3681" s="349"/>
    </row>
    <row r="3682" spans="16:17" x14ac:dyDescent="0.3">
      <c r="P3682" s="349"/>
      <c r="Q3682" s="349"/>
    </row>
    <row r="3683" spans="16:17" x14ac:dyDescent="0.3">
      <c r="P3683" s="349"/>
      <c r="Q3683" s="349"/>
    </row>
    <row r="3684" spans="16:17" x14ac:dyDescent="0.3">
      <c r="P3684" s="349"/>
      <c r="Q3684" s="349"/>
    </row>
    <row r="3685" spans="16:17" x14ac:dyDescent="0.3">
      <c r="P3685" s="349"/>
      <c r="Q3685" s="349"/>
    </row>
    <row r="3686" spans="16:17" x14ac:dyDescent="0.3">
      <c r="P3686" s="349"/>
      <c r="Q3686" s="349"/>
    </row>
    <row r="3687" spans="16:17" x14ac:dyDescent="0.3">
      <c r="P3687" s="349"/>
      <c r="Q3687" s="349"/>
    </row>
    <row r="3688" spans="16:17" x14ac:dyDescent="0.3">
      <c r="P3688" s="349"/>
      <c r="Q3688" s="349"/>
    </row>
    <row r="3689" spans="16:17" x14ac:dyDescent="0.3">
      <c r="P3689" s="349"/>
      <c r="Q3689" s="349"/>
    </row>
    <row r="3690" spans="16:17" x14ac:dyDescent="0.3">
      <c r="P3690" s="349"/>
      <c r="Q3690" s="349"/>
    </row>
    <row r="3691" spans="16:17" x14ac:dyDescent="0.3">
      <c r="P3691" s="349"/>
      <c r="Q3691" s="349"/>
    </row>
    <row r="3692" spans="16:17" x14ac:dyDescent="0.3">
      <c r="P3692" s="349"/>
      <c r="Q3692" s="349"/>
    </row>
    <row r="3693" spans="16:17" x14ac:dyDescent="0.3">
      <c r="P3693" s="349"/>
      <c r="Q3693" s="349"/>
    </row>
    <row r="3694" spans="16:17" x14ac:dyDescent="0.3">
      <c r="P3694" s="349"/>
      <c r="Q3694" s="349"/>
    </row>
    <row r="3695" spans="16:17" x14ac:dyDescent="0.3">
      <c r="P3695" s="349"/>
      <c r="Q3695" s="349"/>
    </row>
    <row r="3696" spans="16:17" x14ac:dyDescent="0.3">
      <c r="P3696" s="349"/>
      <c r="Q3696" s="349"/>
    </row>
    <row r="3697" spans="16:17" x14ac:dyDescent="0.3">
      <c r="P3697" s="349"/>
      <c r="Q3697" s="349"/>
    </row>
    <row r="3698" spans="16:17" x14ac:dyDescent="0.3">
      <c r="P3698" s="349"/>
      <c r="Q3698" s="349"/>
    </row>
    <row r="3699" spans="16:17" x14ac:dyDescent="0.3">
      <c r="P3699" s="349"/>
      <c r="Q3699" s="349"/>
    </row>
    <row r="3700" spans="16:17" x14ac:dyDescent="0.3">
      <c r="P3700" s="349"/>
      <c r="Q3700" s="349"/>
    </row>
    <row r="3701" spans="16:17" x14ac:dyDescent="0.3">
      <c r="P3701" s="349"/>
      <c r="Q3701" s="349"/>
    </row>
    <row r="3702" spans="16:17" x14ac:dyDescent="0.3">
      <c r="P3702" s="349"/>
      <c r="Q3702" s="349"/>
    </row>
    <row r="3703" spans="16:17" x14ac:dyDescent="0.3">
      <c r="P3703" s="349"/>
      <c r="Q3703" s="349"/>
    </row>
    <row r="3704" spans="16:17" x14ac:dyDescent="0.3">
      <c r="P3704" s="349"/>
      <c r="Q3704" s="349"/>
    </row>
    <row r="3705" spans="16:17" x14ac:dyDescent="0.3">
      <c r="P3705" s="349"/>
      <c r="Q3705" s="349"/>
    </row>
    <row r="3706" spans="16:17" x14ac:dyDescent="0.3">
      <c r="P3706" s="349"/>
      <c r="Q3706" s="349"/>
    </row>
    <row r="3707" spans="16:17" x14ac:dyDescent="0.3">
      <c r="P3707" s="349"/>
      <c r="Q3707" s="349"/>
    </row>
    <row r="3708" spans="16:17" x14ac:dyDescent="0.3">
      <c r="P3708" s="349"/>
      <c r="Q3708" s="349"/>
    </row>
    <row r="3709" spans="16:17" x14ac:dyDescent="0.3">
      <c r="P3709" s="349"/>
      <c r="Q3709" s="349"/>
    </row>
    <row r="3710" spans="16:17" x14ac:dyDescent="0.3">
      <c r="P3710" s="349"/>
      <c r="Q3710" s="349"/>
    </row>
    <row r="3711" spans="16:17" x14ac:dyDescent="0.3">
      <c r="P3711" s="349"/>
      <c r="Q3711" s="349"/>
    </row>
    <row r="3712" spans="16:17" x14ac:dyDescent="0.3">
      <c r="P3712" s="349"/>
      <c r="Q3712" s="349"/>
    </row>
    <row r="3713" spans="16:17" x14ac:dyDescent="0.3">
      <c r="P3713" s="349"/>
      <c r="Q3713" s="349"/>
    </row>
    <row r="3714" spans="16:17" x14ac:dyDescent="0.3">
      <c r="P3714" s="349"/>
      <c r="Q3714" s="349"/>
    </row>
    <row r="3715" spans="16:17" x14ac:dyDescent="0.3">
      <c r="P3715" s="349"/>
      <c r="Q3715" s="349"/>
    </row>
    <row r="3716" spans="16:17" x14ac:dyDescent="0.3">
      <c r="P3716" s="349"/>
      <c r="Q3716" s="349"/>
    </row>
    <row r="3717" spans="16:17" x14ac:dyDescent="0.3">
      <c r="P3717" s="349"/>
      <c r="Q3717" s="349"/>
    </row>
    <row r="3718" spans="16:17" x14ac:dyDescent="0.3">
      <c r="P3718" s="349"/>
      <c r="Q3718" s="349"/>
    </row>
    <row r="3719" spans="16:17" x14ac:dyDescent="0.3">
      <c r="P3719" s="349"/>
      <c r="Q3719" s="349"/>
    </row>
    <row r="3720" spans="16:17" x14ac:dyDescent="0.3">
      <c r="P3720" s="349"/>
      <c r="Q3720" s="349"/>
    </row>
    <row r="3721" spans="16:17" x14ac:dyDescent="0.3">
      <c r="P3721" s="349"/>
      <c r="Q3721" s="349"/>
    </row>
    <row r="3722" spans="16:17" x14ac:dyDescent="0.3">
      <c r="P3722" s="349"/>
      <c r="Q3722" s="349"/>
    </row>
    <row r="3723" spans="16:17" x14ac:dyDescent="0.3">
      <c r="P3723" s="349"/>
      <c r="Q3723" s="349"/>
    </row>
    <row r="3724" spans="16:17" x14ac:dyDescent="0.3">
      <c r="P3724" s="349"/>
      <c r="Q3724" s="349"/>
    </row>
    <row r="3725" spans="16:17" x14ac:dyDescent="0.3">
      <c r="P3725" s="349"/>
      <c r="Q3725" s="349"/>
    </row>
    <row r="3726" spans="16:17" x14ac:dyDescent="0.3">
      <c r="P3726" s="349"/>
      <c r="Q3726" s="349"/>
    </row>
    <row r="3727" spans="16:17" x14ac:dyDescent="0.3">
      <c r="P3727" s="349"/>
      <c r="Q3727" s="349"/>
    </row>
    <row r="3728" spans="16:17" x14ac:dyDescent="0.3">
      <c r="P3728" s="349"/>
      <c r="Q3728" s="349"/>
    </row>
    <row r="3729" spans="16:17" x14ac:dyDescent="0.3">
      <c r="P3729" s="349"/>
      <c r="Q3729" s="349"/>
    </row>
    <row r="3730" spans="16:17" x14ac:dyDescent="0.3">
      <c r="P3730" s="349"/>
      <c r="Q3730" s="349"/>
    </row>
    <row r="3731" spans="16:17" x14ac:dyDescent="0.3">
      <c r="P3731" s="349"/>
      <c r="Q3731" s="349"/>
    </row>
    <row r="3732" spans="16:17" x14ac:dyDescent="0.3">
      <c r="P3732" s="349"/>
      <c r="Q3732" s="349"/>
    </row>
    <row r="3733" spans="16:17" x14ac:dyDescent="0.3">
      <c r="P3733" s="349"/>
      <c r="Q3733" s="349"/>
    </row>
    <row r="3734" spans="16:17" x14ac:dyDescent="0.3">
      <c r="P3734" s="349"/>
      <c r="Q3734" s="349"/>
    </row>
    <row r="3735" spans="16:17" x14ac:dyDescent="0.3">
      <c r="P3735" s="349"/>
      <c r="Q3735" s="349"/>
    </row>
    <row r="3736" spans="16:17" x14ac:dyDescent="0.3">
      <c r="P3736" s="349"/>
      <c r="Q3736" s="349"/>
    </row>
    <row r="3737" spans="16:17" x14ac:dyDescent="0.3">
      <c r="P3737" s="349"/>
      <c r="Q3737" s="349"/>
    </row>
    <row r="3738" spans="16:17" x14ac:dyDescent="0.3">
      <c r="P3738" s="349"/>
      <c r="Q3738" s="349"/>
    </row>
    <row r="3739" spans="16:17" x14ac:dyDescent="0.3">
      <c r="P3739" s="349"/>
      <c r="Q3739" s="349"/>
    </row>
    <row r="3740" spans="16:17" x14ac:dyDescent="0.3">
      <c r="P3740" s="349"/>
      <c r="Q3740" s="349"/>
    </row>
    <row r="3741" spans="16:17" x14ac:dyDescent="0.3">
      <c r="P3741" s="349"/>
      <c r="Q3741" s="349"/>
    </row>
    <row r="3742" spans="16:17" x14ac:dyDescent="0.3">
      <c r="P3742" s="349"/>
      <c r="Q3742" s="349"/>
    </row>
    <row r="3743" spans="16:17" x14ac:dyDescent="0.3">
      <c r="P3743" s="349"/>
      <c r="Q3743" s="349"/>
    </row>
    <row r="3744" spans="16:17" x14ac:dyDescent="0.3">
      <c r="P3744" s="349"/>
      <c r="Q3744" s="349"/>
    </row>
    <row r="3745" spans="16:17" x14ac:dyDescent="0.3">
      <c r="P3745" s="349"/>
      <c r="Q3745" s="349"/>
    </row>
    <row r="3746" spans="16:17" x14ac:dyDescent="0.3">
      <c r="P3746" s="349"/>
      <c r="Q3746" s="349"/>
    </row>
    <row r="3747" spans="16:17" x14ac:dyDescent="0.3">
      <c r="P3747" s="349"/>
      <c r="Q3747" s="349"/>
    </row>
    <row r="3748" spans="16:17" x14ac:dyDescent="0.3">
      <c r="P3748" s="349"/>
      <c r="Q3748" s="349"/>
    </row>
    <row r="3749" spans="16:17" x14ac:dyDescent="0.3">
      <c r="P3749" s="349"/>
      <c r="Q3749" s="349"/>
    </row>
    <row r="3750" spans="16:17" x14ac:dyDescent="0.3">
      <c r="P3750" s="349"/>
      <c r="Q3750" s="349"/>
    </row>
    <row r="3751" spans="16:17" x14ac:dyDescent="0.3">
      <c r="P3751" s="349"/>
      <c r="Q3751" s="349"/>
    </row>
    <row r="3752" spans="16:17" x14ac:dyDescent="0.3">
      <c r="P3752" s="349"/>
      <c r="Q3752" s="349"/>
    </row>
    <row r="3753" spans="16:17" x14ac:dyDescent="0.3">
      <c r="P3753" s="349"/>
      <c r="Q3753" s="349"/>
    </row>
    <row r="3754" spans="16:17" x14ac:dyDescent="0.3">
      <c r="P3754" s="349"/>
      <c r="Q3754" s="349"/>
    </row>
    <row r="3755" spans="16:17" x14ac:dyDescent="0.3">
      <c r="P3755" s="349"/>
      <c r="Q3755" s="349"/>
    </row>
    <row r="3756" spans="16:17" x14ac:dyDescent="0.3">
      <c r="P3756" s="349"/>
      <c r="Q3756" s="349"/>
    </row>
    <row r="3757" spans="16:17" x14ac:dyDescent="0.3">
      <c r="P3757" s="349"/>
      <c r="Q3757" s="349"/>
    </row>
    <row r="3758" spans="16:17" x14ac:dyDescent="0.3">
      <c r="P3758" s="349"/>
      <c r="Q3758" s="349"/>
    </row>
    <row r="3759" spans="16:17" x14ac:dyDescent="0.3">
      <c r="P3759" s="349"/>
      <c r="Q3759" s="349"/>
    </row>
    <row r="3760" spans="16:17" x14ac:dyDescent="0.3">
      <c r="P3760" s="349"/>
      <c r="Q3760" s="349"/>
    </row>
    <row r="3761" spans="16:17" x14ac:dyDescent="0.3">
      <c r="P3761" s="349"/>
      <c r="Q3761" s="349"/>
    </row>
    <row r="3762" spans="16:17" x14ac:dyDescent="0.3">
      <c r="P3762" s="349"/>
      <c r="Q3762" s="349"/>
    </row>
    <row r="3763" spans="16:17" x14ac:dyDescent="0.3">
      <c r="P3763" s="349"/>
      <c r="Q3763" s="349"/>
    </row>
    <row r="3764" spans="16:17" x14ac:dyDescent="0.3">
      <c r="P3764" s="349"/>
      <c r="Q3764" s="349"/>
    </row>
    <row r="3765" spans="16:17" x14ac:dyDescent="0.3">
      <c r="P3765" s="349"/>
      <c r="Q3765" s="349"/>
    </row>
    <row r="3766" spans="16:17" x14ac:dyDescent="0.3">
      <c r="P3766" s="349"/>
      <c r="Q3766" s="349"/>
    </row>
    <row r="3767" spans="16:17" x14ac:dyDescent="0.3">
      <c r="P3767" s="349"/>
      <c r="Q3767" s="349"/>
    </row>
    <row r="3768" spans="16:17" x14ac:dyDescent="0.3">
      <c r="P3768" s="349"/>
      <c r="Q3768" s="349"/>
    </row>
    <row r="3769" spans="16:17" x14ac:dyDescent="0.3">
      <c r="P3769" s="349"/>
      <c r="Q3769" s="349"/>
    </row>
    <row r="3770" spans="16:17" x14ac:dyDescent="0.3">
      <c r="P3770" s="349"/>
      <c r="Q3770" s="349"/>
    </row>
    <row r="3771" spans="16:17" x14ac:dyDescent="0.3">
      <c r="P3771" s="349"/>
      <c r="Q3771" s="349"/>
    </row>
    <row r="3772" spans="16:17" x14ac:dyDescent="0.3">
      <c r="P3772" s="349"/>
      <c r="Q3772" s="349"/>
    </row>
    <row r="3773" spans="16:17" x14ac:dyDescent="0.3">
      <c r="P3773" s="349"/>
      <c r="Q3773" s="349"/>
    </row>
    <row r="3774" spans="16:17" x14ac:dyDescent="0.3">
      <c r="P3774" s="349"/>
      <c r="Q3774" s="349"/>
    </row>
    <row r="3775" spans="16:17" x14ac:dyDescent="0.3">
      <c r="P3775" s="349"/>
      <c r="Q3775" s="349"/>
    </row>
    <row r="3776" spans="16:17" x14ac:dyDescent="0.3">
      <c r="P3776" s="349"/>
      <c r="Q3776" s="349"/>
    </row>
    <row r="3777" spans="16:17" x14ac:dyDescent="0.3">
      <c r="P3777" s="349"/>
      <c r="Q3777" s="349"/>
    </row>
    <row r="3778" spans="16:17" x14ac:dyDescent="0.3">
      <c r="P3778" s="349"/>
      <c r="Q3778" s="349"/>
    </row>
    <row r="3779" spans="16:17" x14ac:dyDescent="0.3">
      <c r="P3779" s="349"/>
      <c r="Q3779" s="349"/>
    </row>
    <row r="3780" spans="16:17" x14ac:dyDescent="0.3">
      <c r="P3780" s="349"/>
      <c r="Q3780" s="349"/>
    </row>
    <row r="3781" spans="16:17" x14ac:dyDescent="0.3">
      <c r="P3781" s="349"/>
      <c r="Q3781" s="349"/>
    </row>
    <row r="3782" spans="16:17" x14ac:dyDescent="0.3">
      <c r="P3782" s="349"/>
      <c r="Q3782" s="349"/>
    </row>
    <row r="3783" spans="16:17" x14ac:dyDescent="0.3">
      <c r="P3783" s="349"/>
      <c r="Q3783" s="349"/>
    </row>
    <row r="3784" spans="16:17" x14ac:dyDescent="0.3">
      <c r="P3784" s="349"/>
      <c r="Q3784" s="349"/>
    </row>
    <row r="3785" spans="16:17" x14ac:dyDescent="0.3">
      <c r="P3785" s="349"/>
      <c r="Q3785" s="349"/>
    </row>
    <row r="3786" spans="16:17" x14ac:dyDescent="0.3">
      <c r="P3786" s="349"/>
      <c r="Q3786" s="349"/>
    </row>
    <row r="3787" spans="16:17" x14ac:dyDescent="0.3">
      <c r="P3787" s="349"/>
      <c r="Q3787" s="349"/>
    </row>
    <row r="3788" spans="16:17" x14ac:dyDescent="0.3">
      <c r="P3788" s="349"/>
      <c r="Q3788" s="349"/>
    </row>
    <row r="3789" spans="16:17" x14ac:dyDescent="0.3">
      <c r="P3789" s="349"/>
      <c r="Q3789" s="349"/>
    </row>
    <row r="3790" spans="16:17" x14ac:dyDescent="0.3">
      <c r="P3790" s="349"/>
      <c r="Q3790" s="349"/>
    </row>
    <row r="3791" spans="16:17" x14ac:dyDescent="0.3">
      <c r="P3791" s="349"/>
      <c r="Q3791" s="349"/>
    </row>
    <row r="3792" spans="16:17" x14ac:dyDescent="0.3">
      <c r="P3792" s="349"/>
      <c r="Q3792" s="349"/>
    </row>
    <row r="3793" spans="16:17" x14ac:dyDescent="0.3">
      <c r="P3793" s="349"/>
      <c r="Q3793" s="349"/>
    </row>
    <row r="3794" spans="16:17" x14ac:dyDescent="0.3">
      <c r="P3794" s="349"/>
      <c r="Q3794" s="349"/>
    </row>
    <row r="3795" spans="16:17" x14ac:dyDescent="0.3">
      <c r="P3795" s="349"/>
      <c r="Q3795" s="349"/>
    </row>
    <row r="3796" spans="16:17" x14ac:dyDescent="0.3">
      <c r="P3796" s="349"/>
      <c r="Q3796" s="349"/>
    </row>
    <row r="3797" spans="16:17" x14ac:dyDescent="0.3">
      <c r="P3797" s="349"/>
      <c r="Q3797" s="349"/>
    </row>
    <row r="3798" spans="16:17" x14ac:dyDescent="0.3">
      <c r="P3798" s="349"/>
      <c r="Q3798" s="349"/>
    </row>
    <row r="3799" spans="16:17" x14ac:dyDescent="0.3">
      <c r="P3799" s="349"/>
      <c r="Q3799" s="349"/>
    </row>
    <row r="3800" spans="16:17" x14ac:dyDescent="0.3">
      <c r="P3800" s="349"/>
      <c r="Q3800" s="349"/>
    </row>
    <row r="3801" spans="16:17" x14ac:dyDescent="0.3">
      <c r="P3801" s="349"/>
      <c r="Q3801" s="349"/>
    </row>
    <row r="3802" spans="16:17" x14ac:dyDescent="0.3">
      <c r="P3802" s="349"/>
      <c r="Q3802" s="349"/>
    </row>
    <row r="3803" spans="16:17" x14ac:dyDescent="0.3">
      <c r="P3803" s="349"/>
      <c r="Q3803" s="349"/>
    </row>
    <row r="3804" spans="16:17" x14ac:dyDescent="0.3">
      <c r="P3804" s="349"/>
      <c r="Q3804" s="349"/>
    </row>
    <row r="3805" spans="16:17" x14ac:dyDescent="0.3">
      <c r="P3805" s="349"/>
      <c r="Q3805" s="349"/>
    </row>
    <row r="3806" spans="16:17" x14ac:dyDescent="0.3">
      <c r="P3806" s="349"/>
      <c r="Q3806" s="349"/>
    </row>
    <row r="3807" spans="16:17" x14ac:dyDescent="0.3">
      <c r="P3807" s="349"/>
      <c r="Q3807" s="349"/>
    </row>
    <row r="3808" spans="16:17" x14ac:dyDescent="0.3">
      <c r="P3808" s="349"/>
      <c r="Q3808" s="349"/>
    </row>
    <row r="3809" spans="16:17" x14ac:dyDescent="0.3">
      <c r="P3809" s="349"/>
      <c r="Q3809" s="349"/>
    </row>
    <row r="3810" spans="16:17" x14ac:dyDescent="0.3">
      <c r="P3810" s="349"/>
      <c r="Q3810" s="349"/>
    </row>
    <row r="3811" spans="16:17" x14ac:dyDescent="0.3">
      <c r="P3811" s="349"/>
      <c r="Q3811" s="349"/>
    </row>
    <row r="3812" spans="16:17" x14ac:dyDescent="0.3">
      <c r="P3812" s="349"/>
      <c r="Q3812" s="349"/>
    </row>
    <row r="3813" spans="16:17" x14ac:dyDescent="0.3">
      <c r="P3813" s="349"/>
      <c r="Q3813" s="349"/>
    </row>
    <row r="3814" spans="16:17" x14ac:dyDescent="0.3">
      <c r="P3814" s="349"/>
      <c r="Q3814" s="349"/>
    </row>
    <row r="3815" spans="16:17" x14ac:dyDescent="0.3">
      <c r="P3815" s="349"/>
      <c r="Q3815" s="349"/>
    </row>
    <row r="3816" spans="16:17" x14ac:dyDescent="0.3">
      <c r="P3816" s="349"/>
      <c r="Q3816" s="349"/>
    </row>
    <row r="3817" spans="16:17" x14ac:dyDescent="0.3">
      <c r="P3817" s="349"/>
      <c r="Q3817" s="349"/>
    </row>
    <row r="3818" spans="16:17" x14ac:dyDescent="0.3">
      <c r="P3818" s="349"/>
      <c r="Q3818" s="349"/>
    </row>
    <row r="3819" spans="16:17" x14ac:dyDescent="0.3">
      <c r="P3819" s="349"/>
      <c r="Q3819" s="349"/>
    </row>
    <row r="3820" spans="16:17" x14ac:dyDescent="0.3">
      <c r="P3820" s="349"/>
      <c r="Q3820" s="349"/>
    </row>
    <row r="3821" spans="16:17" x14ac:dyDescent="0.3">
      <c r="P3821" s="349"/>
      <c r="Q3821" s="349"/>
    </row>
    <row r="3822" spans="16:17" x14ac:dyDescent="0.3">
      <c r="P3822" s="349"/>
      <c r="Q3822" s="349"/>
    </row>
    <row r="3823" spans="16:17" x14ac:dyDescent="0.3">
      <c r="P3823" s="349"/>
      <c r="Q3823" s="349"/>
    </row>
    <row r="3824" spans="16:17" x14ac:dyDescent="0.3">
      <c r="P3824" s="349"/>
      <c r="Q3824" s="349"/>
    </row>
    <row r="3825" spans="16:17" x14ac:dyDescent="0.3">
      <c r="P3825" s="349"/>
      <c r="Q3825" s="349"/>
    </row>
    <row r="3826" spans="16:17" x14ac:dyDescent="0.3">
      <c r="P3826" s="349"/>
      <c r="Q3826" s="349"/>
    </row>
    <row r="3827" spans="16:17" x14ac:dyDescent="0.3">
      <c r="P3827" s="349"/>
      <c r="Q3827" s="349"/>
    </row>
    <row r="3828" spans="16:17" x14ac:dyDescent="0.3">
      <c r="P3828" s="349"/>
      <c r="Q3828" s="349"/>
    </row>
    <row r="3829" spans="16:17" x14ac:dyDescent="0.3">
      <c r="P3829" s="349"/>
      <c r="Q3829" s="349"/>
    </row>
    <row r="3830" spans="16:17" x14ac:dyDescent="0.3">
      <c r="P3830" s="349"/>
      <c r="Q3830" s="349"/>
    </row>
    <row r="3831" spans="16:17" x14ac:dyDescent="0.3">
      <c r="P3831" s="349"/>
      <c r="Q3831" s="349"/>
    </row>
    <row r="3832" spans="16:17" x14ac:dyDescent="0.3">
      <c r="P3832" s="349"/>
      <c r="Q3832" s="349"/>
    </row>
    <row r="3833" spans="16:17" x14ac:dyDescent="0.3">
      <c r="P3833" s="349"/>
      <c r="Q3833" s="349"/>
    </row>
    <row r="3834" spans="16:17" x14ac:dyDescent="0.3">
      <c r="P3834" s="349"/>
      <c r="Q3834" s="349"/>
    </row>
    <row r="3835" spans="16:17" x14ac:dyDescent="0.3">
      <c r="P3835" s="349"/>
      <c r="Q3835" s="349"/>
    </row>
    <row r="3836" spans="16:17" x14ac:dyDescent="0.3">
      <c r="P3836" s="349"/>
      <c r="Q3836" s="349"/>
    </row>
    <row r="3837" spans="16:17" x14ac:dyDescent="0.3">
      <c r="P3837" s="349"/>
      <c r="Q3837" s="349"/>
    </row>
    <row r="3838" spans="16:17" x14ac:dyDescent="0.3">
      <c r="P3838" s="349"/>
      <c r="Q3838" s="349"/>
    </row>
    <row r="3839" spans="16:17" x14ac:dyDescent="0.3">
      <c r="P3839" s="349"/>
      <c r="Q3839" s="349"/>
    </row>
    <row r="3840" spans="16:17" x14ac:dyDescent="0.3">
      <c r="P3840" s="349"/>
      <c r="Q3840" s="349"/>
    </row>
    <row r="3841" spans="16:17" x14ac:dyDescent="0.3">
      <c r="P3841" s="349"/>
      <c r="Q3841" s="349"/>
    </row>
    <row r="3842" spans="16:17" x14ac:dyDescent="0.3">
      <c r="P3842" s="349"/>
      <c r="Q3842" s="349"/>
    </row>
    <row r="3843" spans="16:17" x14ac:dyDescent="0.3">
      <c r="P3843" s="349"/>
      <c r="Q3843" s="349"/>
    </row>
    <row r="3844" spans="16:17" x14ac:dyDescent="0.3">
      <c r="P3844" s="349"/>
      <c r="Q3844" s="349"/>
    </row>
    <row r="3845" spans="16:17" x14ac:dyDescent="0.3">
      <c r="P3845" s="349"/>
      <c r="Q3845" s="349"/>
    </row>
    <row r="3846" spans="16:17" x14ac:dyDescent="0.3">
      <c r="P3846" s="349"/>
      <c r="Q3846" s="349"/>
    </row>
    <row r="3847" spans="16:17" x14ac:dyDescent="0.3">
      <c r="P3847" s="349"/>
      <c r="Q3847" s="349"/>
    </row>
    <row r="3848" spans="16:17" x14ac:dyDescent="0.3">
      <c r="P3848" s="349"/>
      <c r="Q3848" s="349"/>
    </row>
    <row r="3849" spans="16:17" x14ac:dyDescent="0.3">
      <c r="P3849" s="349"/>
      <c r="Q3849" s="349"/>
    </row>
    <row r="3850" spans="16:17" x14ac:dyDescent="0.3">
      <c r="P3850" s="349"/>
      <c r="Q3850" s="349"/>
    </row>
    <row r="3851" spans="16:17" x14ac:dyDescent="0.3">
      <c r="P3851" s="349"/>
      <c r="Q3851" s="349"/>
    </row>
    <row r="3852" spans="16:17" x14ac:dyDescent="0.3">
      <c r="P3852" s="349"/>
      <c r="Q3852" s="349"/>
    </row>
    <row r="3853" spans="16:17" x14ac:dyDescent="0.3">
      <c r="P3853" s="349"/>
      <c r="Q3853" s="349"/>
    </row>
    <row r="3854" spans="16:17" x14ac:dyDescent="0.3">
      <c r="P3854" s="349"/>
      <c r="Q3854" s="349"/>
    </row>
    <row r="3855" spans="16:17" x14ac:dyDescent="0.3">
      <c r="P3855" s="349"/>
      <c r="Q3855" s="349"/>
    </row>
    <row r="3856" spans="16:17" x14ac:dyDescent="0.3">
      <c r="P3856" s="349"/>
      <c r="Q3856" s="349"/>
    </row>
    <row r="3857" spans="16:17" x14ac:dyDescent="0.3">
      <c r="P3857" s="349"/>
      <c r="Q3857" s="349"/>
    </row>
    <row r="3858" spans="16:17" x14ac:dyDescent="0.3">
      <c r="P3858" s="349"/>
      <c r="Q3858" s="349"/>
    </row>
    <row r="3859" spans="16:17" x14ac:dyDescent="0.3">
      <c r="P3859" s="349"/>
      <c r="Q3859" s="349"/>
    </row>
    <row r="3860" spans="16:17" x14ac:dyDescent="0.3">
      <c r="P3860" s="349"/>
      <c r="Q3860" s="349"/>
    </row>
    <row r="3861" spans="16:17" x14ac:dyDescent="0.3">
      <c r="P3861" s="349"/>
      <c r="Q3861" s="349"/>
    </row>
    <row r="3862" spans="16:17" x14ac:dyDescent="0.3">
      <c r="P3862" s="349"/>
      <c r="Q3862" s="349"/>
    </row>
    <row r="3863" spans="16:17" x14ac:dyDescent="0.3">
      <c r="P3863" s="349"/>
      <c r="Q3863" s="349"/>
    </row>
    <row r="3864" spans="16:17" x14ac:dyDescent="0.3">
      <c r="P3864" s="349"/>
      <c r="Q3864" s="349"/>
    </row>
    <row r="3865" spans="16:17" x14ac:dyDescent="0.3">
      <c r="P3865" s="349"/>
      <c r="Q3865" s="349"/>
    </row>
    <row r="3866" spans="16:17" x14ac:dyDescent="0.3">
      <c r="P3866" s="349"/>
      <c r="Q3866" s="349"/>
    </row>
    <row r="3867" spans="16:17" x14ac:dyDescent="0.3">
      <c r="P3867" s="349"/>
      <c r="Q3867" s="349"/>
    </row>
    <row r="3868" spans="16:17" x14ac:dyDescent="0.3">
      <c r="P3868" s="349"/>
      <c r="Q3868" s="349"/>
    </row>
    <row r="3869" spans="16:17" x14ac:dyDescent="0.3">
      <c r="P3869" s="349"/>
      <c r="Q3869" s="349"/>
    </row>
    <row r="3870" spans="16:17" x14ac:dyDescent="0.3">
      <c r="P3870" s="349"/>
      <c r="Q3870" s="349"/>
    </row>
    <row r="3871" spans="16:17" x14ac:dyDescent="0.3">
      <c r="P3871" s="349"/>
      <c r="Q3871" s="349"/>
    </row>
    <row r="3872" spans="16:17" x14ac:dyDescent="0.3">
      <c r="P3872" s="349"/>
      <c r="Q3872" s="349"/>
    </row>
    <row r="3873" spans="16:17" x14ac:dyDescent="0.3">
      <c r="P3873" s="349"/>
      <c r="Q3873" s="349"/>
    </row>
    <row r="3874" spans="16:17" x14ac:dyDescent="0.3">
      <c r="P3874" s="349"/>
      <c r="Q3874" s="349"/>
    </row>
    <row r="3875" spans="16:17" x14ac:dyDescent="0.3">
      <c r="P3875" s="349"/>
      <c r="Q3875" s="349"/>
    </row>
    <row r="3876" spans="16:17" x14ac:dyDescent="0.3">
      <c r="P3876" s="349"/>
      <c r="Q3876" s="349"/>
    </row>
    <row r="3877" spans="16:17" x14ac:dyDescent="0.3">
      <c r="P3877" s="349"/>
      <c r="Q3877" s="349"/>
    </row>
    <row r="3878" spans="16:17" x14ac:dyDescent="0.3">
      <c r="P3878" s="349"/>
      <c r="Q3878" s="349"/>
    </row>
    <row r="3879" spans="16:17" x14ac:dyDescent="0.3">
      <c r="P3879" s="349"/>
      <c r="Q3879" s="349"/>
    </row>
    <row r="3880" spans="16:17" x14ac:dyDescent="0.3">
      <c r="P3880" s="349"/>
      <c r="Q3880" s="349"/>
    </row>
    <row r="3881" spans="16:17" x14ac:dyDescent="0.3">
      <c r="P3881" s="349"/>
      <c r="Q3881" s="349"/>
    </row>
    <row r="3882" spans="16:17" x14ac:dyDescent="0.3">
      <c r="P3882" s="349"/>
      <c r="Q3882" s="349"/>
    </row>
    <row r="3883" spans="16:17" x14ac:dyDescent="0.3">
      <c r="P3883" s="349"/>
      <c r="Q3883" s="349"/>
    </row>
    <row r="3884" spans="16:17" x14ac:dyDescent="0.3">
      <c r="P3884" s="349"/>
      <c r="Q3884" s="349"/>
    </row>
    <row r="3885" spans="16:17" x14ac:dyDescent="0.3">
      <c r="P3885" s="349"/>
      <c r="Q3885" s="349"/>
    </row>
    <row r="3886" spans="16:17" x14ac:dyDescent="0.3">
      <c r="P3886" s="349"/>
      <c r="Q3886" s="349"/>
    </row>
    <row r="3887" spans="16:17" x14ac:dyDescent="0.3">
      <c r="P3887" s="349"/>
      <c r="Q3887" s="349"/>
    </row>
    <row r="3888" spans="16:17" x14ac:dyDescent="0.3">
      <c r="P3888" s="349"/>
      <c r="Q3888" s="349"/>
    </row>
    <row r="3889" spans="16:17" x14ac:dyDescent="0.3">
      <c r="P3889" s="349"/>
      <c r="Q3889" s="349"/>
    </row>
    <row r="3890" spans="16:17" x14ac:dyDescent="0.3">
      <c r="P3890" s="349"/>
      <c r="Q3890" s="349"/>
    </row>
    <row r="3891" spans="16:17" x14ac:dyDescent="0.3">
      <c r="P3891" s="349"/>
      <c r="Q3891" s="349"/>
    </row>
    <row r="3892" spans="16:17" x14ac:dyDescent="0.3">
      <c r="P3892" s="349"/>
      <c r="Q3892" s="349"/>
    </row>
    <row r="3893" spans="16:17" x14ac:dyDescent="0.3">
      <c r="P3893" s="349"/>
      <c r="Q3893" s="349"/>
    </row>
    <row r="3894" spans="16:17" x14ac:dyDescent="0.3">
      <c r="P3894" s="349"/>
      <c r="Q3894" s="349"/>
    </row>
    <row r="3895" spans="16:17" x14ac:dyDescent="0.3">
      <c r="P3895" s="349"/>
      <c r="Q3895" s="349"/>
    </row>
    <row r="3896" spans="16:17" x14ac:dyDescent="0.3">
      <c r="P3896" s="349"/>
      <c r="Q3896" s="349"/>
    </row>
    <row r="3897" spans="16:17" x14ac:dyDescent="0.3">
      <c r="P3897" s="349"/>
      <c r="Q3897" s="349"/>
    </row>
    <row r="3898" spans="16:17" x14ac:dyDescent="0.3">
      <c r="P3898" s="349"/>
      <c r="Q3898" s="349"/>
    </row>
    <row r="3899" spans="16:17" x14ac:dyDescent="0.3">
      <c r="P3899" s="349"/>
      <c r="Q3899" s="349"/>
    </row>
    <row r="3900" spans="16:17" x14ac:dyDescent="0.3">
      <c r="P3900" s="349"/>
      <c r="Q3900" s="349"/>
    </row>
    <row r="3901" spans="16:17" x14ac:dyDescent="0.3">
      <c r="P3901" s="349"/>
      <c r="Q3901" s="349"/>
    </row>
    <row r="3902" spans="16:17" x14ac:dyDescent="0.3">
      <c r="P3902" s="349"/>
      <c r="Q3902" s="349"/>
    </row>
    <row r="3903" spans="16:17" x14ac:dyDescent="0.3">
      <c r="P3903" s="349"/>
      <c r="Q3903" s="349"/>
    </row>
    <row r="3904" spans="16:17" x14ac:dyDescent="0.3">
      <c r="P3904" s="349"/>
      <c r="Q3904" s="349"/>
    </row>
    <row r="3905" spans="16:17" x14ac:dyDescent="0.3">
      <c r="P3905" s="349"/>
      <c r="Q3905" s="349"/>
    </row>
    <row r="3906" spans="16:17" x14ac:dyDescent="0.3">
      <c r="P3906" s="349"/>
      <c r="Q3906" s="349"/>
    </row>
    <row r="3907" spans="16:17" x14ac:dyDescent="0.3">
      <c r="P3907" s="349"/>
      <c r="Q3907" s="349"/>
    </row>
    <row r="3908" spans="16:17" x14ac:dyDescent="0.3">
      <c r="P3908" s="349"/>
      <c r="Q3908" s="349"/>
    </row>
    <row r="3909" spans="16:17" x14ac:dyDescent="0.3">
      <c r="P3909" s="349"/>
      <c r="Q3909" s="349"/>
    </row>
    <row r="3910" spans="16:17" x14ac:dyDescent="0.3">
      <c r="P3910" s="349"/>
      <c r="Q3910" s="349"/>
    </row>
    <row r="3911" spans="16:17" x14ac:dyDescent="0.3">
      <c r="P3911" s="349"/>
      <c r="Q3911" s="349"/>
    </row>
    <row r="3912" spans="16:17" x14ac:dyDescent="0.3">
      <c r="P3912" s="349"/>
      <c r="Q3912" s="349"/>
    </row>
    <row r="3913" spans="16:17" x14ac:dyDescent="0.3">
      <c r="P3913" s="349"/>
      <c r="Q3913" s="349"/>
    </row>
    <row r="3914" spans="16:17" x14ac:dyDescent="0.3">
      <c r="P3914" s="349"/>
      <c r="Q3914" s="349"/>
    </row>
    <row r="3915" spans="16:17" x14ac:dyDescent="0.3">
      <c r="P3915" s="349"/>
      <c r="Q3915" s="349"/>
    </row>
    <row r="3916" spans="16:17" x14ac:dyDescent="0.3">
      <c r="P3916" s="349"/>
      <c r="Q3916" s="349"/>
    </row>
    <row r="3917" spans="16:17" x14ac:dyDescent="0.3">
      <c r="P3917" s="349"/>
      <c r="Q3917" s="349"/>
    </row>
    <row r="3918" spans="16:17" x14ac:dyDescent="0.3">
      <c r="P3918" s="349"/>
      <c r="Q3918" s="349"/>
    </row>
    <row r="3919" spans="16:17" x14ac:dyDescent="0.3">
      <c r="P3919" s="349"/>
      <c r="Q3919" s="349"/>
    </row>
    <row r="3920" spans="16:17" x14ac:dyDescent="0.3">
      <c r="P3920" s="349"/>
      <c r="Q3920" s="349"/>
    </row>
    <row r="3921" spans="16:17" x14ac:dyDescent="0.3">
      <c r="P3921" s="349"/>
      <c r="Q3921" s="349"/>
    </row>
    <row r="3922" spans="16:17" x14ac:dyDescent="0.3">
      <c r="P3922" s="349"/>
      <c r="Q3922" s="349"/>
    </row>
    <row r="3923" spans="16:17" x14ac:dyDescent="0.3">
      <c r="P3923" s="349"/>
      <c r="Q3923" s="349"/>
    </row>
    <row r="3924" spans="16:17" x14ac:dyDescent="0.3">
      <c r="P3924" s="349"/>
      <c r="Q3924" s="349"/>
    </row>
    <row r="3925" spans="16:17" x14ac:dyDescent="0.3">
      <c r="P3925" s="349"/>
      <c r="Q3925" s="349"/>
    </row>
    <row r="3926" spans="16:17" x14ac:dyDescent="0.3">
      <c r="P3926" s="349"/>
      <c r="Q3926" s="349"/>
    </row>
    <row r="3927" spans="16:17" x14ac:dyDescent="0.3">
      <c r="P3927" s="349"/>
      <c r="Q3927" s="349"/>
    </row>
    <row r="3928" spans="16:17" x14ac:dyDescent="0.3">
      <c r="P3928" s="349"/>
      <c r="Q3928" s="349"/>
    </row>
    <row r="3929" spans="16:17" x14ac:dyDescent="0.3">
      <c r="P3929" s="349"/>
      <c r="Q3929" s="349"/>
    </row>
    <row r="3930" spans="16:17" x14ac:dyDescent="0.3">
      <c r="P3930" s="349"/>
      <c r="Q3930" s="349"/>
    </row>
    <row r="3931" spans="16:17" x14ac:dyDescent="0.3">
      <c r="P3931" s="349"/>
      <c r="Q3931" s="349"/>
    </row>
    <row r="3932" spans="16:17" x14ac:dyDescent="0.3">
      <c r="P3932" s="349"/>
      <c r="Q3932" s="349"/>
    </row>
    <row r="3933" spans="16:17" x14ac:dyDescent="0.3">
      <c r="P3933" s="349"/>
      <c r="Q3933" s="349"/>
    </row>
    <row r="3934" spans="16:17" x14ac:dyDescent="0.3">
      <c r="P3934" s="349"/>
      <c r="Q3934" s="349"/>
    </row>
    <row r="3935" spans="16:17" x14ac:dyDescent="0.3">
      <c r="P3935" s="349"/>
      <c r="Q3935" s="349"/>
    </row>
    <row r="3936" spans="16:17" x14ac:dyDescent="0.3">
      <c r="P3936" s="349"/>
      <c r="Q3936" s="349"/>
    </row>
    <row r="3937" spans="16:17" x14ac:dyDescent="0.3">
      <c r="P3937" s="349"/>
      <c r="Q3937" s="349"/>
    </row>
    <row r="3938" spans="16:17" x14ac:dyDescent="0.3">
      <c r="P3938" s="349"/>
      <c r="Q3938" s="349"/>
    </row>
    <row r="3939" spans="16:17" x14ac:dyDescent="0.3">
      <c r="P3939" s="349"/>
      <c r="Q3939" s="349"/>
    </row>
    <row r="3940" spans="16:17" x14ac:dyDescent="0.3">
      <c r="P3940" s="349"/>
      <c r="Q3940" s="349"/>
    </row>
    <row r="3941" spans="16:17" x14ac:dyDescent="0.3">
      <c r="P3941" s="349"/>
      <c r="Q3941" s="349"/>
    </row>
    <row r="3942" spans="16:17" x14ac:dyDescent="0.3">
      <c r="P3942" s="349"/>
      <c r="Q3942" s="349"/>
    </row>
    <row r="3943" spans="16:17" x14ac:dyDescent="0.3">
      <c r="P3943" s="349"/>
      <c r="Q3943" s="349"/>
    </row>
    <row r="3944" spans="16:17" x14ac:dyDescent="0.3">
      <c r="P3944" s="349"/>
      <c r="Q3944" s="349"/>
    </row>
    <row r="3945" spans="16:17" x14ac:dyDescent="0.3">
      <c r="P3945" s="349"/>
      <c r="Q3945" s="349"/>
    </row>
    <row r="3946" spans="16:17" x14ac:dyDescent="0.3">
      <c r="P3946" s="349"/>
      <c r="Q3946" s="349"/>
    </row>
    <row r="3947" spans="16:17" x14ac:dyDescent="0.3">
      <c r="P3947" s="349"/>
      <c r="Q3947" s="349"/>
    </row>
    <row r="3948" spans="16:17" x14ac:dyDescent="0.3">
      <c r="P3948" s="349"/>
      <c r="Q3948" s="349"/>
    </row>
    <row r="3949" spans="16:17" x14ac:dyDescent="0.3">
      <c r="P3949" s="349"/>
      <c r="Q3949" s="349"/>
    </row>
    <row r="3950" spans="16:17" x14ac:dyDescent="0.3">
      <c r="P3950" s="349"/>
      <c r="Q3950" s="349"/>
    </row>
    <row r="3951" spans="16:17" x14ac:dyDescent="0.3">
      <c r="P3951" s="349"/>
      <c r="Q3951" s="349"/>
    </row>
    <row r="3952" spans="16:17" x14ac:dyDescent="0.3">
      <c r="P3952" s="349"/>
      <c r="Q3952" s="349"/>
    </row>
    <row r="3953" spans="16:17" x14ac:dyDescent="0.3">
      <c r="P3953" s="349"/>
      <c r="Q3953" s="349"/>
    </row>
    <row r="3954" spans="16:17" x14ac:dyDescent="0.3">
      <c r="P3954" s="349"/>
      <c r="Q3954" s="349"/>
    </row>
    <row r="3955" spans="16:17" x14ac:dyDescent="0.3">
      <c r="P3955" s="349"/>
      <c r="Q3955" s="349"/>
    </row>
    <row r="3956" spans="16:17" x14ac:dyDescent="0.3">
      <c r="P3956" s="349"/>
      <c r="Q3956" s="349"/>
    </row>
    <row r="3957" spans="16:17" x14ac:dyDescent="0.3">
      <c r="P3957" s="349"/>
      <c r="Q3957" s="349"/>
    </row>
    <row r="3958" spans="16:17" x14ac:dyDescent="0.3">
      <c r="P3958" s="349"/>
      <c r="Q3958" s="349"/>
    </row>
    <row r="3959" spans="16:17" x14ac:dyDescent="0.3">
      <c r="P3959" s="349"/>
      <c r="Q3959" s="349"/>
    </row>
    <row r="3960" spans="16:17" x14ac:dyDescent="0.3">
      <c r="P3960" s="349"/>
      <c r="Q3960" s="349"/>
    </row>
    <row r="3961" spans="16:17" x14ac:dyDescent="0.3">
      <c r="P3961" s="349"/>
      <c r="Q3961" s="349"/>
    </row>
    <row r="3962" spans="16:17" x14ac:dyDescent="0.3">
      <c r="P3962" s="349"/>
      <c r="Q3962" s="349"/>
    </row>
    <row r="3963" spans="16:17" x14ac:dyDescent="0.3">
      <c r="P3963" s="349"/>
      <c r="Q3963" s="349"/>
    </row>
    <row r="3964" spans="16:17" x14ac:dyDescent="0.3">
      <c r="P3964" s="349"/>
      <c r="Q3964" s="349"/>
    </row>
    <row r="3965" spans="16:17" x14ac:dyDescent="0.3">
      <c r="P3965" s="349"/>
      <c r="Q3965" s="349"/>
    </row>
    <row r="3966" spans="16:17" x14ac:dyDescent="0.3">
      <c r="P3966" s="349"/>
      <c r="Q3966" s="349"/>
    </row>
    <row r="3967" spans="16:17" x14ac:dyDescent="0.3">
      <c r="P3967" s="349"/>
      <c r="Q3967" s="349"/>
    </row>
    <row r="3968" spans="16:17" x14ac:dyDescent="0.3">
      <c r="P3968" s="349"/>
      <c r="Q3968" s="349"/>
    </row>
    <row r="3969" spans="16:17" x14ac:dyDescent="0.3">
      <c r="P3969" s="349"/>
      <c r="Q3969" s="349"/>
    </row>
    <row r="3970" spans="16:17" x14ac:dyDescent="0.3">
      <c r="P3970" s="349"/>
      <c r="Q3970" s="349"/>
    </row>
    <row r="3971" spans="16:17" x14ac:dyDescent="0.3">
      <c r="P3971" s="349"/>
      <c r="Q3971" s="349"/>
    </row>
    <row r="3972" spans="16:17" x14ac:dyDescent="0.3">
      <c r="P3972" s="349"/>
      <c r="Q3972" s="349"/>
    </row>
    <row r="3973" spans="16:17" x14ac:dyDescent="0.3">
      <c r="P3973" s="349"/>
      <c r="Q3973" s="349"/>
    </row>
    <row r="3974" spans="16:17" x14ac:dyDescent="0.3">
      <c r="P3974" s="349"/>
      <c r="Q3974" s="349"/>
    </row>
    <row r="3975" spans="16:17" x14ac:dyDescent="0.3">
      <c r="P3975" s="349"/>
      <c r="Q3975" s="349"/>
    </row>
    <row r="3976" spans="16:17" x14ac:dyDescent="0.3">
      <c r="P3976" s="349"/>
      <c r="Q3976" s="349"/>
    </row>
    <row r="3977" spans="16:17" x14ac:dyDescent="0.3">
      <c r="P3977" s="349"/>
      <c r="Q3977" s="349"/>
    </row>
    <row r="3978" spans="16:17" x14ac:dyDescent="0.3">
      <c r="P3978" s="349"/>
      <c r="Q3978" s="349"/>
    </row>
    <row r="3979" spans="16:17" x14ac:dyDescent="0.3">
      <c r="P3979" s="349"/>
      <c r="Q3979" s="349"/>
    </row>
    <row r="3980" spans="16:17" x14ac:dyDescent="0.3">
      <c r="P3980" s="349"/>
      <c r="Q3980" s="349"/>
    </row>
    <row r="3981" spans="16:17" x14ac:dyDescent="0.3">
      <c r="P3981" s="349"/>
      <c r="Q3981" s="349"/>
    </row>
    <row r="3982" spans="16:17" x14ac:dyDescent="0.3">
      <c r="P3982" s="349"/>
      <c r="Q3982" s="349"/>
    </row>
    <row r="3983" spans="16:17" x14ac:dyDescent="0.3">
      <c r="P3983" s="349"/>
      <c r="Q3983" s="349"/>
    </row>
    <row r="3984" spans="16:17" x14ac:dyDescent="0.3">
      <c r="P3984" s="349"/>
      <c r="Q3984" s="349"/>
    </row>
    <row r="3985" spans="16:17" x14ac:dyDescent="0.3">
      <c r="P3985" s="349"/>
      <c r="Q3985" s="349"/>
    </row>
    <row r="3986" spans="16:17" x14ac:dyDescent="0.3">
      <c r="P3986" s="349"/>
      <c r="Q3986" s="349"/>
    </row>
    <row r="3987" spans="16:17" x14ac:dyDescent="0.3">
      <c r="P3987" s="349"/>
      <c r="Q3987" s="349"/>
    </row>
    <row r="3988" spans="16:17" x14ac:dyDescent="0.3">
      <c r="P3988" s="349"/>
      <c r="Q3988" s="349"/>
    </row>
    <row r="3989" spans="16:17" x14ac:dyDescent="0.3">
      <c r="P3989" s="349"/>
      <c r="Q3989" s="349"/>
    </row>
    <row r="3990" spans="16:17" x14ac:dyDescent="0.3">
      <c r="P3990" s="349"/>
      <c r="Q3990" s="349"/>
    </row>
    <row r="3991" spans="16:17" x14ac:dyDescent="0.3">
      <c r="P3991" s="349"/>
      <c r="Q3991" s="349"/>
    </row>
    <row r="3992" spans="16:17" x14ac:dyDescent="0.3">
      <c r="P3992" s="349"/>
      <c r="Q3992" s="349"/>
    </row>
    <row r="3993" spans="16:17" x14ac:dyDescent="0.3">
      <c r="P3993" s="349"/>
      <c r="Q3993" s="349"/>
    </row>
    <row r="3994" spans="16:17" x14ac:dyDescent="0.3">
      <c r="P3994" s="349"/>
      <c r="Q3994" s="349"/>
    </row>
    <row r="3995" spans="16:17" x14ac:dyDescent="0.3">
      <c r="P3995" s="349"/>
      <c r="Q3995" s="349"/>
    </row>
    <row r="3996" spans="16:17" x14ac:dyDescent="0.3">
      <c r="P3996" s="349"/>
      <c r="Q3996" s="349"/>
    </row>
    <row r="3997" spans="16:17" x14ac:dyDescent="0.3">
      <c r="P3997" s="349"/>
      <c r="Q3997" s="349"/>
    </row>
    <row r="3998" spans="16:17" x14ac:dyDescent="0.3">
      <c r="P3998" s="349"/>
      <c r="Q3998" s="349"/>
    </row>
    <row r="3999" spans="16:17" x14ac:dyDescent="0.3">
      <c r="P3999" s="349"/>
      <c r="Q3999" s="349"/>
    </row>
    <row r="4000" spans="16:17" x14ac:dyDescent="0.3">
      <c r="P4000" s="349"/>
      <c r="Q4000" s="349"/>
    </row>
    <row r="4001" spans="16:17" x14ac:dyDescent="0.3">
      <c r="P4001" s="349"/>
      <c r="Q4001" s="349"/>
    </row>
    <row r="4002" spans="16:17" x14ac:dyDescent="0.3">
      <c r="P4002" s="349"/>
      <c r="Q4002" s="349"/>
    </row>
    <row r="4003" spans="16:17" x14ac:dyDescent="0.3">
      <c r="P4003" s="349"/>
      <c r="Q4003" s="349"/>
    </row>
    <row r="4004" spans="16:17" x14ac:dyDescent="0.3">
      <c r="P4004" s="349"/>
      <c r="Q4004" s="349"/>
    </row>
    <row r="4005" spans="16:17" x14ac:dyDescent="0.3">
      <c r="P4005" s="349"/>
      <c r="Q4005" s="349"/>
    </row>
    <row r="4006" spans="16:17" x14ac:dyDescent="0.3">
      <c r="P4006" s="349"/>
      <c r="Q4006" s="349"/>
    </row>
    <row r="4007" spans="16:17" x14ac:dyDescent="0.3">
      <c r="P4007" s="349"/>
      <c r="Q4007" s="349"/>
    </row>
    <row r="4008" spans="16:17" x14ac:dyDescent="0.3">
      <c r="P4008" s="349"/>
      <c r="Q4008" s="349"/>
    </row>
    <row r="4009" spans="16:17" x14ac:dyDescent="0.3">
      <c r="P4009" s="349"/>
      <c r="Q4009" s="349"/>
    </row>
    <row r="4010" spans="16:17" x14ac:dyDescent="0.3">
      <c r="P4010" s="349"/>
      <c r="Q4010" s="349"/>
    </row>
    <row r="4011" spans="16:17" x14ac:dyDescent="0.3">
      <c r="P4011" s="349"/>
      <c r="Q4011" s="349"/>
    </row>
    <row r="4012" spans="16:17" x14ac:dyDescent="0.3">
      <c r="P4012" s="349"/>
      <c r="Q4012" s="349"/>
    </row>
    <row r="4013" spans="16:17" x14ac:dyDescent="0.3">
      <c r="P4013" s="349"/>
      <c r="Q4013" s="349"/>
    </row>
    <row r="4014" spans="16:17" x14ac:dyDescent="0.3">
      <c r="P4014" s="349"/>
      <c r="Q4014" s="349"/>
    </row>
    <row r="4015" spans="16:17" x14ac:dyDescent="0.3">
      <c r="P4015" s="349"/>
      <c r="Q4015" s="349"/>
    </row>
    <row r="4016" spans="16:17" x14ac:dyDescent="0.3">
      <c r="P4016" s="349"/>
      <c r="Q4016" s="349"/>
    </row>
    <row r="4017" spans="16:17" x14ac:dyDescent="0.3">
      <c r="P4017" s="349"/>
      <c r="Q4017" s="349"/>
    </row>
    <row r="4018" spans="16:17" x14ac:dyDescent="0.3">
      <c r="P4018" s="349"/>
      <c r="Q4018" s="349"/>
    </row>
    <row r="4019" spans="16:17" x14ac:dyDescent="0.3">
      <c r="P4019" s="349"/>
      <c r="Q4019" s="349"/>
    </row>
    <row r="4020" spans="16:17" x14ac:dyDescent="0.3">
      <c r="P4020" s="349"/>
      <c r="Q4020" s="349"/>
    </row>
    <row r="4021" spans="16:17" x14ac:dyDescent="0.3">
      <c r="P4021" s="349"/>
      <c r="Q4021" s="349"/>
    </row>
    <row r="4022" spans="16:17" x14ac:dyDescent="0.3">
      <c r="P4022" s="349"/>
      <c r="Q4022" s="349"/>
    </row>
    <row r="4023" spans="16:17" x14ac:dyDescent="0.3">
      <c r="P4023" s="349"/>
      <c r="Q4023" s="349"/>
    </row>
    <row r="4024" spans="16:17" x14ac:dyDescent="0.3">
      <c r="P4024" s="349"/>
      <c r="Q4024" s="349"/>
    </row>
    <row r="4025" spans="16:17" x14ac:dyDescent="0.3">
      <c r="P4025" s="349"/>
      <c r="Q4025" s="349"/>
    </row>
    <row r="4026" spans="16:17" x14ac:dyDescent="0.3">
      <c r="P4026" s="349"/>
      <c r="Q4026" s="349"/>
    </row>
    <row r="4027" spans="16:17" x14ac:dyDescent="0.3">
      <c r="P4027" s="349"/>
      <c r="Q4027" s="349"/>
    </row>
    <row r="4028" spans="16:17" x14ac:dyDescent="0.3">
      <c r="P4028" s="349"/>
      <c r="Q4028" s="349"/>
    </row>
    <row r="4029" spans="16:17" x14ac:dyDescent="0.3">
      <c r="P4029" s="349"/>
      <c r="Q4029" s="349"/>
    </row>
    <row r="4030" spans="16:17" x14ac:dyDescent="0.3">
      <c r="P4030" s="349"/>
      <c r="Q4030" s="349"/>
    </row>
    <row r="4031" spans="16:17" x14ac:dyDescent="0.3">
      <c r="P4031" s="349"/>
      <c r="Q4031" s="349"/>
    </row>
    <row r="4032" spans="16:17" x14ac:dyDescent="0.3">
      <c r="P4032" s="349"/>
      <c r="Q4032" s="349"/>
    </row>
    <row r="4033" spans="16:17" x14ac:dyDescent="0.3">
      <c r="P4033" s="349"/>
      <c r="Q4033" s="349"/>
    </row>
    <row r="4034" spans="16:17" x14ac:dyDescent="0.3">
      <c r="P4034" s="349"/>
      <c r="Q4034" s="349"/>
    </row>
    <row r="4035" spans="16:17" x14ac:dyDescent="0.3">
      <c r="P4035" s="349"/>
      <c r="Q4035" s="349"/>
    </row>
    <row r="4036" spans="16:17" x14ac:dyDescent="0.3">
      <c r="P4036" s="349"/>
      <c r="Q4036" s="349"/>
    </row>
    <row r="4037" spans="16:17" x14ac:dyDescent="0.3">
      <c r="P4037" s="349"/>
      <c r="Q4037" s="349"/>
    </row>
    <row r="4038" spans="16:17" x14ac:dyDescent="0.3">
      <c r="P4038" s="349"/>
      <c r="Q4038" s="349"/>
    </row>
    <row r="4039" spans="16:17" x14ac:dyDescent="0.3">
      <c r="P4039" s="349"/>
      <c r="Q4039" s="349"/>
    </row>
    <row r="4040" spans="16:17" x14ac:dyDescent="0.3">
      <c r="P4040" s="349"/>
      <c r="Q4040" s="349"/>
    </row>
    <row r="4041" spans="16:17" x14ac:dyDescent="0.3">
      <c r="P4041" s="349"/>
      <c r="Q4041" s="349"/>
    </row>
    <row r="4042" spans="16:17" x14ac:dyDescent="0.3">
      <c r="P4042" s="349"/>
      <c r="Q4042" s="349"/>
    </row>
    <row r="4043" spans="16:17" x14ac:dyDescent="0.3">
      <c r="P4043" s="349"/>
      <c r="Q4043" s="349"/>
    </row>
    <row r="4044" spans="16:17" x14ac:dyDescent="0.3">
      <c r="P4044" s="349"/>
      <c r="Q4044" s="349"/>
    </row>
    <row r="4045" spans="16:17" x14ac:dyDescent="0.3">
      <c r="P4045" s="349"/>
      <c r="Q4045" s="349"/>
    </row>
    <row r="4046" spans="16:17" x14ac:dyDescent="0.3">
      <c r="P4046" s="349"/>
      <c r="Q4046" s="349"/>
    </row>
    <row r="4047" spans="16:17" x14ac:dyDescent="0.3">
      <c r="P4047" s="349"/>
      <c r="Q4047" s="349"/>
    </row>
    <row r="4048" spans="16:17" x14ac:dyDescent="0.3">
      <c r="P4048" s="349"/>
      <c r="Q4048" s="349"/>
    </row>
    <row r="4049" spans="16:17" x14ac:dyDescent="0.3">
      <c r="P4049" s="349"/>
      <c r="Q4049" s="349"/>
    </row>
    <row r="4050" spans="16:17" x14ac:dyDescent="0.3">
      <c r="P4050" s="349"/>
      <c r="Q4050" s="349"/>
    </row>
    <row r="4051" spans="16:17" x14ac:dyDescent="0.3">
      <c r="P4051" s="349"/>
      <c r="Q4051" s="349"/>
    </row>
    <row r="4052" spans="16:17" x14ac:dyDescent="0.3">
      <c r="P4052" s="349"/>
      <c r="Q4052" s="349"/>
    </row>
    <row r="4053" spans="16:17" x14ac:dyDescent="0.3">
      <c r="P4053" s="349"/>
      <c r="Q4053" s="349"/>
    </row>
    <row r="4054" spans="16:17" x14ac:dyDescent="0.3">
      <c r="P4054" s="349"/>
      <c r="Q4054" s="349"/>
    </row>
    <row r="4055" spans="16:17" x14ac:dyDescent="0.3">
      <c r="P4055" s="349"/>
      <c r="Q4055" s="349"/>
    </row>
    <row r="4056" spans="16:17" x14ac:dyDescent="0.3">
      <c r="P4056" s="349"/>
      <c r="Q4056" s="349"/>
    </row>
    <row r="4057" spans="16:17" x14ac:dyDescent="0.3">
      <c r="P4057" s="349"/>
      <c r="Q4057" s="349"/>
    </row>
    <row r="4058" spans="16:17" x14ac:dyDescent="0.3">
      <c r="P4058" s="349"/>
      <c r="Q4058" s="349"/>
    </row>
    <row r="4059" spans="16:17" x14ac:dyDescent="0.3">
      <c r="P4059" s="349"/>
      <c r="Q4059" s="349"/>
    </row>
    <row r="4060" spans="16:17" x14ac:dyDescent="0.3">
      <c r="P4060" s="349"/>
      <c r="Q4060" s="349"/>
    </row>
    <row r="4061" spans="16:17" x14ac:dyDescent="0.3">
      <c r="P4061" s="349"/>
      <c r="Q4061" s="349"/>
    </row>
    <row r="4062" spans="16:17" x14ac:dyDescent="0.3">
      <c r="P4062" s="349"/>
      <c r="Q4062" s="349"/>
    </row>
    <row r="4063" spans="16:17" x14ac:dyDescent="0.3">
      <c r="P4063" s="349"/>
      <c r="Q4063" s="349"/>
    </row>
    <row r="4064" spans="16:17" x14ac:dyDescent="0.3">
      <c r="P4064" s="349"/>
      <c r="Q4064" s="349"/>
    </row>
    <row r="4065" spans="16:17" x14ac:dyDescent="0.3">
      <c r="P4065" s="349"/>
      <c r="Q4065" s="349"/>
    </row>
    <row r="4066" spans="16:17" x14ac:dyDescent="0.3">
      <c r="P4066" s="349"/>
      <c r="Q4066" s="349"/>
    </row>
    <row r="4067" spans="16:17" x14ac:dyDescent="0.3">
      <c r="P4067" s="349"/>
      <c r="Q4067" s="349"/>
    </row>
    <row r="4068" spans="16:17" x14ac:dyDescent="0.3">
      <c r="P4068" s="349"/>
      <c r="Q4068" s="349"/>
    </row>
    <row r="4069" spans="16:17" x14ac:dyDescent="0.3">
      <c r="P4069" s="349"/>
      <c r="Q4069" s="349"/>
    </row>
    <row r="4070" spans="16:17" x14ac:dyDescent="0.3">
      <c r="P4070" s="349"/>
      <c r="Q4070" s="349"/>
    </row>
    <row r="4071" spans="16:17" x14ac:dyDescent="0.3">
      <c r="P4071" s="349"/>
      <c r="Q4071" s="349"/>
    </row>
    <row r="4072" spans="16:17" x14ac:dyDescent="0.3">
      <c r="P4072" s="349"/>
      <c r="Q4072" s="349"/>
    </row>
    <row r="4073" spans="16:17" x14ac:dyDescent="0.3">
      <c r="P4073" s="349"/>
      <c r="Q4073" s="349"/>
    </row>
    <row r="4074" spans="16:17" x14ac:dyDescent="0.3">
      <c r="P4074" s="349"/>
      <c r="Q4074" s="349"/>
    </row>
    <row r="4075" spans="16:17" x14ac:dyDescent="0.3">
      <c r="P4075" s="349"/>
      <c r="Q4075" s="349"/>
    </row>
    <row r="4076" spans="16:17" x14ac:dyDescent="0.3">
      <c r="P4076" s="349"/>
      <c r="Q4076" s="349"/>
    </row>
    <row r="4077" spans="16:17" x14ac:dyDescent="0.3">
      <c r="P4077" s="349"/>
      <c r="Q4077" s="349"/>
    </row>
    <row r="4078" spans="16:17" x14ac:dyDescent="0.3">
      <c r="P4078" s="349"/>
      <c r="Q4078" s="349"/>
    </row>
    <row r="4079" spans="16:17" x14ac:dyDescent="0.3">
      <c r="P4079" s="349"/>
      <c r="Q4079" s="349"/>
    </row>
    <row r="4080" spans="16:17" x14ac:dyDescent="0.3">
      <c r="P4080" s="349"/>
      <c r="Q4080" s="349"/>
    </row>
    <row r="4081" spans="16:17" x14ac:dyDescent="0.3">
      <c r="P4081" s="349"/>
      <c r="Q4081" s="349"/>
    </row>
    <row r="4082" spans="16:17" x14ac:dyDescent="0.3">
      <c r="P4082" s="349"/>
      <c r="Q4082" s="349"/>
    </row>
    <row r="4083" spans="16:17" x14ac:dyDescent="0.3">
      <c r="P4083" s="349"/>
      <c r="Q4083" s="349"/>
    </row>
    <row r="4084" spans="16:17" x14ac:dyDescent="0.3">
      <c r="P4084" s="349"/>
      <c r="Q4084" s="349"/>
    </row>
    <row r="4085" spans="16:17" x14ac:dyDescent="0.3">
      <c r="P4085" s="349"/>
      <c r="Q4085" s="349"/>
    </row>
    <row r="4086" spans="16:17" x14ac:dyDescent="0.3">
      <c r="P4086" s="349"/>
      <c r="Q4086" s="349"/>
    </row>
    <row r="4087" spans="16:17" x14ac:dyDescent="0.3">
      <c r="P4087" s="349"/>
      <c r="Q4087" s="349"/>
    </row>
    <row r="4088" spans="16:17" x14ac:dyDescent="0.3">
      <c r="P4088" s="349"/>
      <c r="Q4088" s="349"/>
    </row>
    <row r="4089" spans="16:17" x14ac:dyDescent="0.3">
      <c r="P4089" s="349"/>
      <c r="Q4089" s="349"/>
    </row>
    <row r="4090" spans="16:17" x14ac:dyDescent="0.3">
      <c r="P4090" s="349"/>
      <c r="Q4090" s="349"/>
    </row>
    <row r="4091" spans="16:17" x14ac:dyDescent="0.3">
      <c r="P4091" s="349"/>
      <c r="Q4091" s="349"/>
    </row>
    <row r="4092" spans="16:17" x14ac:dyDescent="0.3">
      <c r="P4092" s="349"/>
      <c r="Q4092" s="349"/>
    </row>
    <row r="4093" spans="16:17" x14ac:dyDescent="0.3">
      <c r="P4093" s="349"/>
      <c r="Q4093" s="349"/>
    </row>
    <row r="4094" spans="16:17" x14ac:dyDescent="0.3">
      <c r="P4094" s="349"/>
      <c r="Q4094" s="349"/>
    </row>
    <row r="4095" spans="16:17" x14ac:dyDescent="0.3">
      <c r="P4095" s="349"/>
      <c r="Q4095" s="349"/>
    </row>
    <row r="4096" spans="16:17" x14ac:dyDescent="0.3">
      <c r="P4096" s="349"/>
      <c r="Q4096" s="349"/>
    </row>
    <row r="4097" spans="16:17" x14ac:dyDescent="0.3">
      <c r="P4097" s="349"/>
      <c r="Q4097" s="349"/>
    </row>
    <row r="4098" spans="16:17" x14ac:dyDescent="0.3">
      <c r="P4098" s="349"/>
      <c r="Q4098" s="349"/>
    </row>
    <row r="4099" spans="16:17" x14ac:dyDescent="0.3">
      <c r="P4099" s="349"/>
      <c r="Q4099" s="349"/>
    </row>
    <row r="4100" spans="16:17" x14ac:dyDescent="0.3">
      <c r="P4100" s="349"/>
      <c r="Q4100" s="349"/>
    </row>
    <row r="4101" spans="16:17" x14ac:dyDescent="0.3">
      <c r="P4101" s="349"/>
      <c r="Q4101" s="349"/>
    </row>
    <row r="4102" spans="16:17" x14ac:dyDescent="0.3">
      <c r="P4102" s="349"/>
      <c r="Q4102" s="349"/>
    </row>
    <row r="4103" spans="16:17" x14ac:dyDescent="0.3">
      <c r="P4103" s="349"/>
      <c r="Q4103" s="349"/>
    </row>
    <row r="4104" spans="16:17" x14ac:dyDescent="0.3">
      <c r="P4104" s="349"/>
      <c r="Q4104" s="349"/>
    </row>
    <row r="4105" spans="16:17" x14ac:dyDescent="0.3">
      <c r="P4105" s="349"/>
      <c r="Q4105" s="349"/>
    </row>
    <row r="4106" spans="16:17" x14ac:dyDescent="0.3">
      <c r="P4106" s="349"/>
      <c r="Q4106" s="349"/>
    </row>
    <row r="4107" spans="16:17" x14ac:dyDescent="0.3">
      <c r="P4107" s="349"/>
      <c r="Q4107" s="349"/>
    </row>
    <row r="4108" spans="16:17" x14ac:dyDescent="0.3">
      <c r="P4108" s="349"/>
      <c r="Q4108" s="349"/>
    </row>
    <row r="4109" spans="16:17" x14ac:dyDescent="0.3">
      <c r="P4109" s="349"/>
      <c r="Q4109" s="349"/>
    </row>
    <row r="4110" spans="16:17" x14ac:dyDescent="0.3">
      <c r="P4110" s="349"/>
      <c r="Q4110" s="349"/>
    </row>
    <row r="4111" spans="16:17" x14ac:dyDescent="0.3">
      <c r="P4111" s="349"/>
      <c r="Q4111" s="349"/>
    </row>
    <row r="4112" spans="16:17" x14ac:dyDescent="0.3">
      <c r="P4112" s="349"/>
      <c r="Q4112" s="349"/>
    </row>
    <row r="4113" spans="16:17" x14ac:dyDescent="0.3">
      <c r="P4113" s="349"/>
      <c r="Q4113" s="349"/>
    </row>
    <row r="4114" spans="16:17" x14ac:dyDescent="0.3">
      <c r="P4114" s="349"/>
      <c r="Q4114" s="349"/>
    </row>
    <row r="4115" spans="16:17" x14ac:dyDescent="0.3">
      <c r="P4115" s="349"/>
      <c r="Q4115" s="349"/>
    </row>
    <row r="4116" spans="16:17" x14ac:dyDescent="0.3">
      <c r="P4116" s="349"/>
      <c r="Q4116" s="349"/>
    </row>
    <row r="4117" spans="16:17" x14ac:dyDescent="0.3">
      <c r="P4117" s="349"/>
      <c r="Q4117" s="349"/>
    </row>
    <row r="4118" spans="16:17" x14ac:dyDescent="0.3">
      <c r="P4118" s="349"/>
      <c r="Q4118" s="349"/>
    </row>
    <row r="4119" spans="16:17" x14ac:dyDescent="0.3">
      <c r="P4119" s="349"/>
      <c r="Q4119" s="349"/>
    </row>
    <row r="4120" spans="16:17" x14ac:dyDescent="0.3">
      <c r="P4120" s="349"/>
      <c r="Q4120" s="349"/>
    </row>
    <row r="4121" spans="16:17" x14ac:dyDescent="0.3">
      <c r="P4121" s="349"/>
      <c r="Q4121" s="349"/>
    </row>
    <row r="4122" spans="16:17" x14ac:dyDescent="0.3">
      <c r="P4122" s="349"/>
      <c r="Q4122" s="349"/>
    </row>
    <row r="4123" spans="16:17" x14ac:dyDescent="0.3">
      <c r="P4123" s="349"/>
      <c r="Q4123" s="349"/>
    </row>
    <row r="4124" spans="16:17" x14ac:dyDescent="0.3">
      <c r="P4124" s="349"/>
      <c r="Q4124" s="349"/>
    </row>
    <row r="4125" spans="16:17" x14ac:dyDescent="0.3">
      <c r="P4125" s="349"/>
      <c r="Q4125" s="349"/>
    </row>
    <row r="4126" spans="16:17" x14ac:dyDescent="0.3">
      <c r="P4126" s="349"/>
      <c r="Q4126" s="349"/>
    </row>
    <row r="4127" spans="16:17" x14ac:dyDescent="0.3">
      <c r="P4127" s="349"/>
      <c r="Q4127" s="349"/>
    </row>
    <row r="4128" spans="16:17" x14ac:dyDescent="0.3">
      <c r="P4128" s="349"/>
      <c r="Q4128" s="349"/>
    </row>
    <row r="4129" spans="16:17" x14ac:dyDescent="0.3">
      <c r="P4129" s="349"/>
      <c r="Q4129" s="349"/>
    </row>
    <row r="4130" spans="16:17" x14ac:dyDescent="0.3">
      <c r="P4130" s="349"/>
      <c r="Q4130" s="349"/>
    </row>
    <row r="4131" spans="16:17" x14ac:dyDescent="0.3">
      <c r="P4131" s="349"/>
      <c r="Q4131" s="349"/>
    </row>
    <row r="4132" spans="16:17" x14ac:dyDescent="0.3">
      <c r="P4132" s="349"/>
      <c r="Q4132" s="349"/>
    </row>
    <row r="4133" spans="16:17" x14ac:dyDescent="0.3">
      <c r="P4133" s="349"/>
      <c r="Q4133" s="349"/>
    </row>
    <row r="4134" spans="16:17" x14ac:dyDescent="0.3">
      <c r="P4134" s="349"/>
      <c r="Q4134" s="349"/>
    </row>
    <row r="4135" spans="16:17" x14ac:dyDescent="0.3">
      <c r="P4135" s="349"/>
      <c r="Q4135" s="349"/>
    </row>
    <row r="4136" spans="16:17" x14ac:dyDescent="0.3">
      <c r="P4136" s="349"/>
      <c r="Q4136" s="349"/>
    </row>
    <row r="4137" spans="16:17" x14ac:dyDescent="0.3">
      <c r="P4137" s="349"/>
      <c r="Q4137" s="349"/>
    </row>
    <row r="4138" spans="16:17" x14ac:dyDescent="0.3">
      <c r="P4138" s="349"/>
      <c r="Q4138" s="349"/>
    </row>
    <row r="4139" spans="16:17" x14ac:dyDescent="0.3">
      <c r="P4139" s="349"/>
      <c r="Q4139" s="349"/>
    </row>
    <row r="4140" spans="16:17" x14ac:dyDescent="0.3">
      <c r="P4140" s="349"/>
      <c r="Q4140" s="349"/>
    </row>
    <row r="4141" spans="16:17" x14ac:dyDescent="0.3">
      <c r="P4141" s="349"/>
      <c r="Q4141" s="349"/>
    </row>
    <row r="4142" spans="16:17" x14ac:dyDescent="0.3">
      <c r="P4142" s="349"/>
      <c r="Q4142" s="349"/>
    </row>
    <row r="4143" spans="16:17" x14ac:dyDescent="0.3">
      <c r="P4143" s="349"/>
      <c r="Q4143" s="349"/>
    </row>
    <row r="4144" spans="16:17" x14ac:dyDescent="0.3">
      <c r="P4144" s="349"/>
      <c r="Q4144" s="349"/>
    </row>
    <row r="4145" spans="16:17" x14ac:dyDescent="0.3">
      <c r="P4145" s="349"/>
      <c r="Q4145" s="349"/>
    </row>
    <row r="4146" spans="16:17" x14ac:dyDescent="0.3">
      <c r="P4146" s="349"/>
      <c r="Q4146" s="349"/>
    </row>
    <row r="4147" spans="16:17" x14ac:dyDescent="0.3">
      <c r="P4147" s="349"/>
      <c r="Q4147" s="349"/>
    </row>
    <row r="4148" spans="16:17" x14ac:dyDescent="0.3">
      <c r="P4148" s="349"/>
      <c r="Q4148" s="349"/>
    </row>
    <row r="4149" spans="16:17" x14ac:dyDescent="0.3">
      <c r="P4149" s="349"/>
      <c r="Q4149" s="349"/>
    </row>
    <row r="4150" spans="16:17" x14ac:dyDescent="0.3">
      <c r="P4150" s="349"/>
      <c r="Q4150" s="349"/>
    </row>
    <row r="4151" spans="16:17" x14ac:dyDescent="0.3">
      <c r="P4151" s="349"/>
      <c r="Q4151" s="349"/>
    </row>
    <row r="4152" spans="16:17" x14ac:dyDescent="0.3">
      <c r="P4152" s="349"/>
      <c r="Q4152" s="349"/>
    </row>
    <row r="4153" spans="16:17" x14ac:dyDescent="0.3">
      <c r="P4153" s="349"/>
      <c r="Q4153" s="349"/>
    </row>
    <row r="4154" spans="16:17" x14ac:dyDescent="0.3">
      <c r="P4154" s="349"/>
      <c r="Q4154" s="349"/>
    </row>
    <row r="4155" spans="16:17" x14ac:dyDescent="0.3">
      <c r="P4155" s="349"/>
      <c r="Q4155" s="349"/>
    </row>
    <row r="4156" spans="16:17" x14ac:dyDescent="0.3">
      <c r="P4156" s="349"/>
      <c r="Q4156" s="349"/>
    </row>
    <row r="4157" spans="16:17" x14ac:dyDescent="0.3">
      <c r="P4157" s="349"/>
      <c r="Q4157" s="349"/>
    </row>
    <row r="4158" spans="16:17" x14ac:dyDescent="0.3">
      <c r="P4158" s="349"/>
      <c r="Q4158" s="349"/>
    </row>
    <row r="4159" spans="16:17" x14ac:dyDescent="0.3">
      <c r="P4159" s="349"/>
      <c r="Q4159" s="349"/>
    </row>
    <row r="4160" spans="16:17" x14ac:dyDescent="0.3">
      <c r="P4160" s="349"/>
      <c r="Q4160" s="349"/>
    </row>
    <row r="4161" spans="16:17" x14ac:dyDescent="0.3">
      <c r="P4161" s="349"/>
      <c r="Q4161" s="349"/>
    </row>
    <row r="4162" spans="16:17" x14ac:dyDescent="0.3">
      <c r="P4162" s="349"/>
      <c r="Q4162" s="349"/>
    </row>
    <row r="4163" spans="16:17" x14ac:dyDescent="0.3">
      <c r="P4163" s="349"/>
      <c r="Q4163" s="349"/>
    </row>
    <row r="4164" spans="16:17" x14ac:dyDescent="0.3">
      <c r="P4164" s="349"/>
      <c r="Q4164" s="349"/>
    </row>
    <row r="4165" spans="16:17" x14ac:dyDescent="0.3">
      <c r="P4165" s="349"/>
      <c r="Q4165" s="349"/>
    </row>
    <row r="4166" spans="16:17" x14ac:dyDescent="0.3">
      <c r="P4166" s="349"/>
      <c r="Q4166" s="349"/>
    </row>
    <row r="4167" spans="16:17" x14ac:dyDescent="0.3">
      <c r="P4167" s="349"/>
      <c r="Q4167" s="349"/>
    </row>
    <row r="4168" spans="16:17" x14ac:dyDescent="0.3">
      <c r="P4168" s="349"/>
      <c r="Q4168" s="349"/>
    </row>
    <row r="4169" spans="16:17" x14ac:dyDescent="0.3">
      <c r="P4169" s="349"/>
      <c r="Q4169" s="349"/>
    </row>
    <row r="4170" spans="16:17" x14ac:dyDescent="0.3">
      <c r="P4170" s="349"/>
      <c r="Q4170" s="349"/>
    </row>
    <row r="4171" spans="16:17" x14ac:dyDescent="0.3">
      <c r="P4171" s="349"/>
      <c r="Q4171" s="349"/>
    </row>
    <row r="4172" spans="16:17" x14ac:dyDescent="0.3">
      <c r="P4172" s="349"/>
      <c r="Q4172" s="349"/>
    </row>
    <row r="4173" spans="16:17" x14ac:dyDescent="0.3">
      <c r="P4173" s="349"/>
      <c r="Q4173" s="349"/>
    </row>
    <row r="4174" spans="16:17" x14ac:dyDescent="0.3">
      <c r="P4174" s="349"/>
      <c r="Q4174" s="349"/>
    </row>
    <row r="4175" spans="16:17" x14ac:dyDescent="0.3">
      <c r="P4175" s="349"/>
      <c r="Q4175" s="349"/>
    </row>
    <row r="4176" spans="16:17" x14ac:dyDescent="0.3">
      <c r="P4176" s="349"/>
      <c r="Q4176" s="349"/>
    </row>
    <row r="4177" spans="16:17" x14ac:dyDescent="0.3">
      <c r="P4177" s="349"/>
      <c r="Q4177" s="349"/>
    </row>
    <row r="4178" spans="16:17" x14ac:dyDescent="0.3">
      <c r="P4178" s="349"/>
      <c r="Q4178" s="349"/>
    </row>
    <row r="4179" spans="16:17" x14ac:dyDescent="0.3">
      <c r="P4179" s="349"/>
      <c r="Q4179" s="349"/>
    </row>
    <row r="4180" spans="16:17" x14ac:dyDescent="0.3">
      <c r="P4180" s="349"/>
      <c r="Q4180" s="349"/>
    </row>
    <row r="4181" spans="16:17" x14ac:dyDescent="0.3">
      <c r="P4181" s="349"/>
      <c r="Q4181" s="349"/>
    </row>
    <row r="4182" spans="16:17" x14ac:dyDescent="0.3">
      <c r="P4182" s="349"/>
      <c r="Q4182" s="349"/>
    </row>
    <row r="4183" spans="16:17" x14ac:dyDescent="0.3">
      <c r="P4183" s="349"/>
      <c r="Q4183" s="349"/>
    </row>
    <row r="4184" spans="16:17" x14ac:dyDescent="0.3">
      <c r="P4184" s="349"/>
      <c r="Q4184" s="349"/>
    </row>
    <row r="4185" spans="16:17" x14ac:dyDescent="0.3">
      <c r="P4185" s="349"/>
      <c r="Q4185" s="349"/>
    </row>
    <row r="4186" spans="16:17" x14ac:dyDescent="0.3">
      <c r="P4186" s="349"/>
      <c r="Q4186" s="349"/>
    </row>
    <row r="4187" spans="16:17" x14ac:dyDescent="0.3">
      <c r="P4187" s="349"/>
      <c r="Q4187" s="349"/>
    </row>
    <row r="4188" spans="16:17" x14ac:dyDescent="0.3">
      <c r="P4188" s="349"/>
      <c r="Q4188" s="349"/>
    </row>
    <row r="4189" spans="16:17" x14ac:dyDescent="0.3">
      <c r="P4189" s="349"/>
      <c r="Q4189" s="349"/>
    </row>
    <row r="4190" spans="16:17" x14ac:dyDescent="0.3">
      <c r="P4190" s="349"/>
      <c r="Q4190" s="349"/>
    </row>
    <row r="4191" spans="16:17" x14ac:dyDescent="0.3">
      <c r="P4191" s="349"/>
      <c r="Q4191" s="349"/>
    </row>
    <row r="4192" spans="16:17" x14ac:dyDescent="0.3">
      <c r="P4192" s="349"/>
      <c r="Q4192" s="349"/>
    </row>
    <row r="4193" spans="16:17" x14ac:dyDescent="0.3">
      <c r="P4193" s="349"/>
      <c r="Q4193" s="349"/>
    </row>
    <row r="4194" spans="16:17" x14ac:dyDescent="0.3">
      <c r="P4194" s="349"/>
      <c r="Q4194" s="349"/>
    </row>
    <row r="4195" spans="16:17" x14ac:dyDescent="0.3">
      <c r="P4195" s="349"/>
      <c r="Q4195" s="349"/>
    </row>
    <row r="4196" spans="16:17" x14ac:dyDescent="0.3">
      <c r="P4196" s="349"/>
      <c r="Q4196" s="349"/>
    </row>
    <row r="4197" spans="16:17" x14ac:dyDescent="0.3">
      <c r="P4197" s="349"/>
      <c r="Q4197" s="349"/>
    </row>
    <row r="4198" spans="16:17" x14ac:dyDescent="0.3">
      <c r="P4198" s="349"/>
      <c r="Q4198" s="349"/>
    </row>
    <row r="4199" spans="16:17" x14ac:dyDescent="0.3">
      <c r="P4199" s="349"/>
      <c r="Q4199" s="349"/>
    </row>
    <row r="4200" spans="16:17" x14ac:dyDescent="0.3">
      <c r="P4200" s="349"/>
      <c r="Q4200" s="349"/>
    </row>
    <row r="4201" spans="16:17" x14ac:dyDescent="0.3">
      <c r="P4201" s="349"/>
      <c r="Q4201" s="349"/>
    </row>
    <row r="4202" spans="16:17" x14ac:dyDescent="0.3">
      <c r="P4202" s="349"/>
      <c r="Q4202" s="349"/>
    </row>
    <row r="4203" spans="16:17" x14ac:dyDescent="0.3">
      <c r="P4203" s="349"/>
      <c r="Q4203" s="349"/>
    </row>
    <row r="4204" spans="16:17" x14ac:dyDescent="0.3">
      <c r="P4204" s="349"/>
      <c r="Q4204" s="349"/>
    </row>
    <row r="4205" spans="16:17" x14ac:dyDescent="0.3">
      <c r="P4205" s="349"/>
      <c r="Q4205" s="349"/>
    </row>
    <row r="4206" spans="16:17" x14ac:dyDescent="0.3">
      <c r="P4206" s="349"/>
      <c r="Q4206" s="349"/>
    </row>
    <row r="4207" spans="16:17" x14ac:dyDescent="0.3">
      <c r="P4207" s="349"/>
      <c r="Q4207" s="349"/>
    </row>
    <row r="4208" spans="16:17" x14ac:dyDescent="0.3">
      <c r="P4208" s="349"/>
      <c r="Q4208" s="349"/>
    </row>
    <row r="4209" spans="16:17" x14ac:dyDescent="0.3">
      <c r="P4209" s="349"/>
      <c r="Q4209" s="349"/>
    </row>
    <row r="4210" spans="16:17" x14ac:dyDescent="0.3">
      <c r="P4210" s="349"/>
      <c r="Q4210" s="349"/>
    </row>
    <row r="4211" spans="16:17" x14ac:dyDescent="0.3">
      <c r="P4211" s="349"/>
      <c r="Q4211" s="349"/>
    </row>
    <row r="4212" spans="16:17" x14ac:dyDescent="0.3">
      <c r="P4212" s="349"/>
      <c r="Q4212" s="349"/>
    </row>
    <row r="4213" spans="16:17" x14ac:dyDescent="0.3">
      <c r="P4213" s="349"/>
      <c r="Q4213" s="349"/>
    </row>
    <row r="4214" spans="16:17" x14ac:dyDescent="0.3">
      <c r="P4214" s="349"/>
      <c r="Q4214" s="349"/>
    </row>
    <row r="4215" spans="16:17" x14ac:dyDescent="0.3">
      <c r="P4215" s="349"/>
      <c r="Q4215" s="349"/>
    </row>
    <row r="4216" spans="16:17" x14ac:dyDescent="0.3">
      <c r="P4216" s="349"/>
      <c r="Q4216" s="349"/>
    </row>
    <row r="4217" spans="16:17" x14ac:dyDescent="0.3">
      <c r="P4217" s="349"/>
      <c r="Q4217" s="349"/>
    </row>
    <row r="4218" spans="16:17" x14ac:dyDescent="0.3">
      <c r="P4218" s="349"/>
      <c r="Q4218" s="349"/>
    </row>
    <row r="4219" spans="16:17" x14ac:dyDescent="0.3">
      <c r="P4219" s="349"/>
      <c r="Q4219" s="349"/>
    </row>
    <row r="4220" spans="16:17" x14ac:dyDescent="0.3">
      <c r="P4220" s="349"/>
      <c r="Q4220" s="349"/>
    </row>
    <row r="4221" spans="16:17" x14ac:dyDescent="0.3">
      <c r="P4221" s="349"/>
      <c r="Q4221" s="349"/>
    </row>
    <row r="4222" spans="16:17" x14ac:dyDescent="0.3">
      <c r="P4222" s="349"/>
      <c r="Q4222" s="349"/>
    </row>
    <row r="4223" spans="16:17" x14ac:dyDescent="0.3">
      <c r="P4223" s="349"/>
      <c r="Q4223" s="349"/>
    </row>
    <row r="4224" spans="16:17" x14ac:dyDescent="0.3">
      <c r="P4224" s="349"/>
      <c r="Q4224" s="349"/>
    </row>
    <row r="4225" spans="16:17" x14ac:dyDescent="0.3">
      <c r="P4225" s="349"/>
      <c r="Q4225" s="349"/>
    </row>
    <row r="4226" spans="16:17" x14ac:dyDescent="0.3">
      <c r="P4226" s="349"/>
      <c r="Q4226" s="349"/>
    </row>
    <row r="4227" spans="16:17" x14ac:dyDescent="0.3">
      <c r="P4227" s="349"/>
      <c r="Q4227" s="349"/>
    </row>
    <row r="4228" spans="16:17" x14ac:dyDescent="0.3">
      <c r="P4228" s="349"/>
      <c r="Q4228" s="349"/>
    </row>
    <row r="4229" spans="16:17" x14ac:dyDescent="0.3">
      <c r="P4229" s="349"/>
      <c r="Q4229" s="349"/>
    </row>
    <row r="4230" spans="16:17" x14ac:dyDescent="0.3">
      <c r="P4230" s="349"/>
      <c r="Q4230" s="349"/>
    </row>
    <row r="4231" spans="16:17" x14ac:dyDescent="0.3">
      <c r="P4231" s="349"/>
      <c r="Q4231" s="349"/>
    </row>
    <row r="4232" spans="16:17" x14ac:dyDescent="0.3">
      <c r="P4232" s="349"/>
      <c r="Q4232" s="349"/>
    </row>
    <row r="4233" spans="16:17" x14ac:dyDescent="0.3">
      <c r="P4233" s="349"/>
      <c r="Q4233" s="349"/>
    </row>
    <row r="4234" spans="16:17" x14ac:dyDescent="0.3">
      <c r="P4234" s="349"/>
      <c r="Q4234" s="349"/>
    </row>
    <row r="4235" spans="16:17" x14ac:dyDescent="0.3">
      <c r="P4235" s="349"/>
      <c r="Q4235" s="349"/>
    </row>
    <row r="4236" spans="16:17" x14ac:dyDescent="0.3">
      <c r="P4236" s="349"/>
      <c r="Q4236" s="349"/>
    </row>
    <row r="4237" spans="16:17" x14ac:dyDescent="0.3">
      <c r="P4237" s="349"/>
      <c r="Q4237" s="349"/>
    </row>
    <row r="4238" spans="16:17" x14ac:dyDescent="0.3">
      <c r="P4238" s="349"/>
      <c r="Q4238" s="349"/>
    </row>
    <row r="4239" spans="16:17" x14ac:dyDescent="0.3">
      <c r="P4239" s="349"/>
      <c r="Q4239" s="349"/>
    </row>
    <row r="4240" spans="16:17" x14ac:dyDescent="0.3">
      <c r="P4240" s="349"/>
      <c r="Q4240" s="349"/>
    </row>
    <row r="4241" spans="16:17" x14ac:dyDescent="0.3">
      <c r="P4241" s="349"/>
      <c r="Q4241" s="349"/>
    </row>
    <row r="4242" spans="16:17" x14ac:dyDescent="0.3">
      <c r="P4242" s="349"/>
      <c r="Q4242" s="349"/>
    </row>
    <row r="4243" spans="16:17" x14ac:dyDescent="0.3">
      <c r="P4243" s="349"/>
      <c r="Q4243" s="349"/>
    </row>
    <row r="4244" spans="16:17" x14ac:dyDescent="0.3">
      <c r="P4244" s="349"/>
      <c r="Q4244" s="349"/>
    </row>
    <row r="4245" spans="16:17" x14ac:dyDescent="0.3">
      <c r="P4245" s="349"/>
      <c r="Q4245" s="349"/>
    </row>
    <row r="4246" spans="16:17" x14ac:dyDescent="0.3">
      <c r="P4246" s="349"/>
      <c r="Q4246" s="349"/>
    </row>
    <row r="4247" spans="16:17" x14ac:dyDescent="0.3">
      <c r="P4247" s="349"/>
      <c r="Q4247" s="349"/>
    </row>
    <row r="4248" spans="16:17" x14ac:dyDescent="0.3">
      <c r="P4248" s="349"/>
      <c r="Q4248" s="349"/>
    </row>
    <row r="4249" spans="16:17" x14ac:dyDescent="0.3">
      <c r="P4249" s="349"/>
      <c r="Q4249" s="349"/>
    </row>
    <row r="4250" spans="16:17" x14ac:dyDescent="0.3">
      <c r="P4250" s="349"/>
      <c r="Q4250" s="349"/>
    </row>
    <row r="4251" spans="16:17" x14ac:dyDescent="0.3">
      <c r="P4251" s="349"/>
      <c r="Q4251" s="349"/>
    </row>
    <row r="4252" spans="16:17" x14ac:dyDescent="0.3">
      <c r="P4252" s="349"/>
      <c r="Q4252" s="349"/>
    </row>
    <row r="4253" spans="16:17" x14ac:dyDescent="0.3">
      <c r="P4253" s="349"/>
      <c r="Q4253" s="349"/>
    </row>
    <row r="4254" spans="16:17" x14ac:dyDescent="0.3">
      <c r="P4254" s="349"/>
      <c r="Q4254" s="349"/>
    </row>
    <row r="4255" spans="16:17" x14ac:dyDescent="0.3">
      <c r="P4255" s="349"/>
      <c r="Q4255" s="349"/>
    </row>
    <row r="4256" spans="16:17" x14ac:dyDescent="0.3">
      <c r="P4256" s="349"/>
      <c r="Q4256" s="349"/>
    </row>
    <row r="4257" spans="16:17" x14ac:dyDescent="0.3">
      <c r="P4257" s="349"/>
      <c r="Q4257" s="349"/>
    </row>
    <row r="4258" spans="16:17" x14ac:dyDescent="0.3">
      <c r="P4258" s="349"/>
      <c r="Q4258" s="349"/>
    </row>
    <row r="4259" spans="16:17" x14ac:dyDescent="0.3">
      <c r="P4259" s="349"/>
      <c r="Q4259" s="349"/>
    </row>
    <row r="4260" spans="16:17" x14ac:dyDescent="0.3">
      <c r="P4260" s="349"/>
      <c r="Q4260" s="349"/>
    </row>
    <row r="4261" spans="16:17" x14ac:dyDescent="0.3">
      <c r="P4261" s="349"/>
      <c r="Q4261" s="349"/>
    </row>
    <row r="4262" spans="16:17" x14ac:dyDescent="0.3">
      <c r="P4262" s="349"/>
      <c r="Q4262" s="349"/>
    </row>
    <row r="4263" spans="16:17" x14ac:dyDescent="0.3">
      <c r="P4263" s="349"/>
      <c r="Q4263" s="349"/>
    </row>
    <row r="4264" spans="16:17" x14ac:dyDescent="0.3">
      <c r="P4264" s="349"/>
      <c r="Q4264" s="349"/>
    </row>
    <row r="4265" spans="16:17" x14ac:dyDescent="0.3">
      <c r="P4265" s="349"/>
      <c r="Q4265" s="349"/>
    </row>
    <row r="4266" spans="16:17" x14ac:dyDescent="0.3">
      <c r="P4266" s="349"/>
      <c r="Q4266" s="349"/>
    </row>
    <row r="4267" spans="16:17" x14ac:dyDescent="0.3">
      <c r="P4267" s="349"/>
      <c r="Q4267" s="349"/>
    </row>
    <row r="4268" spans="16:17" x14ac:dyDescent="0.3">
      <c r="P4268" s="349"/>
      <c r="Q4268" s="349"/>
    </row>
    <row r="4269" spans="16:17" x14ac:dyDescent="0.3">
      <c r="P4269" s="349"/>
      <c r="Q4269" s="349"/>
    </row>
    <row r="4270" spans="16:17" x14ac:dyDescent="0.3">
      <c r="P4270" s="349"/>
      <c r="Q4270" s="349"/>
    </row>
    <row r="4271" spans="16:17" x14ac:dyDescent="0.3">
      <c r="P4271" s="349"/>
      <c r="Q4271" s="349"/>
    </row>
    <row r="4272" spans="16:17" x14ac:dyDescent="0.3">
      <c r="P4272" s="349"/>
      <c r="Q4272" s="349"/>
    </row>
    <row r="4273" spans="16:17" x14ac:dyDescent="0.3">
      <c r="P4273" s="349"/>
      <c r="Q4273" s="349"/>
    </row>
    <row r="4274" spans="16:17" x14ac:dyDescent="0.3">
      <c r="P4274" s="349"/>
      <c r="Q4274" s="349"/>
    </row>
    <row r="4275" spans="16:17" x14ac:dyDescent="0.3">
      <c r="P4275" s="349"/>
      <c r="Q4275" s="349"/>
    </row>
    <row r="4276" spans="16:17" x14ac:dyDescent="0.3">
      <c r="P4276" s="349"/>
      <c r="Q4276" s="349"/>
    </row>
    <row r="4277" spans="16:17" x14ac:dyDescent="0.3">
      <c r="P4277" s="349"/>
      <c r="Q4277" s="349"/>
    </row>
    <row r="4278" spans="16:17" x14ac:dyDescent="0.3">
      <c r="P4278" s="349"/>
      <c r="Q4278" s="349"/>
    </row>
    <row r="4279" spans="16:17" x14ac:dyDescent="0.3">
      <c r="P4279" s="349"/>
      <c r="Q4279" s="349"/>
    </row>
    <row r="4280" spans="16:17" x14ac:dyDescent="0.3">
      <c r="P4280" s="349"/>
      <c r="Q4280" s="349"/>
    </row>
    <row r="4281" spans="16:17" x14ac:dyDescent="0.3">
      <c r="P4281" s="349"/>
      <c r="Q4281" s="349"/>
    </row>
    <row r="4282" spans="16:17" x14ac:dyDescent="0.3">
      <c r="P4282" s="349"/>
      <c r="Q4282" s="349"/>
    </row>
    <row r="4283" spans="16:17" x14ac:dyDescent="0.3">
      <c r="P4283" s="349"/>
      <c r="Q4283" s="349"/>
    </row>
    <row r="4284" spans="16:17" x14ac:dyDescent="0.3">
      <c r="P4284" s="349"/>
      <c r="Q4284" s="349"/>
    </row>
    <row r="4285" spans="16:17" x14ac:dyDescent="0.3">
      <c r="P4285" s="349"/>
      <c r="Q4285" s="349"/>
    </row>
    <row r="4286" spans="16:17" x14ac:dyDescent="0.3">
      <c r="P4286" s="349"/>
      <c r="Q4286" s="349"/>
    </row>
    <row r="4287" spans="16:17" x14ac:dyDescent="0.3">
      <c r="P4287" s="349"/>
      <c r="Q4287" s="349"/>
    </row>
    <row r="4288" spans="16:17" x14ac:dyDescent="0.3">
      <c r="P4288" s="349"/>
      <c r="Q4288" s="349"/>
    </row>
    <row r="4289" spans="16:17" x14ac:dyDescent="0.3">
      <c r="P4289" s="349"/>
      <c r="Q4289" s="349"/>
    </row>
    <row r="4290" spans="16:17" x14ac:dyDescent="0.3">
      <c r="P4290" s="349"/>
      <c r="Q4290" s="349"/>
    </row>
    <row r="4291" spans="16:17" x14ac:dyDescent="0.3">
      <c r="P4291" s="349"/>
      <c r="Q4291" s="349"/>
    </row>
    <row r="4292" spans="16:17" x14ac:dyDescent="0.3">
      <c r="P4292" s="349"/>
      <c r="Q4292" s="349"/>
    </row>
    <row r="4293" spans="16:17" x14ac:dyDescent="0.3">
      <c r="P4293" s="349"/>
      <c r="Q4293" s="349"/>
    </row>
    <row r="4294" spans="16:17" x14ac:dyDescent="0.3">
      <c r="P4294" s="349"/>
      <c r="Q4294" s="349"/>
    </row>
    <row r="4295" spans="16:17" x14ac:dyDescent="0.3">
      <c r="P4295" s="349"/>
      <c r="Q4295" s="349"/>
    </row>
    <row r="4296" spans="16:17" x14ac:dyDescent="0.3">
      <c r="P4296" s="349"/>
      <c r="Q4296" s="349"/>
    </row>
    <row r="4297" spans="16:17" x14ac:dyDescent="0.3">
      <c r="P4297" s="349"/>
      <c r="Q4297" s="349"/>
    </row>
    <row r="4298" spans="16:17" x14ac:dyDescent="0.3">
      <c r="P4298" s="349"/>
      <c r="Q4298" s="349"/>
    </row>
    <row r="4299" spans="16:17" x14ac:dyDescent="0.3">
      <c r="P4299" s="349"/>
      <c r="Q4299" s="349"/>
    </row>
    <row r="4300" spans="16:17" x14ac:dyDescent="0.3">
      <c r="P4300" s="349"/>
      <c r="Q4300" s="349"/>
    </row>
    <row r="4301" spans="16:17" x14ac:dyDescent="0.3">
      <c r="P4301" s="349"/>
      <c r="Q4301" s="349"/>
    </row>
    <row r="4302" spans="16:17" x14ac:dyDescent="0.3">
      <c r="P4302" s="349"/>
      <c r="Q4302" s="349"/>
    </row>
    <row r="4303" spans="16:17" x14ac:dyDescent="0.3">
      <c r="P4303" s="349"/>
      <c r="Q4303" s="349"/>
    </row>
    <row r="4304" spans="16:17" x14ac:dyDescent="0.3">
      <c r="P4304" s="349"/>
      <c r="Q4304" s="349"/>
    </row>
    <row r="4305" spans="16:17" x14ac:dyDescent="0.3">
      <c r="P4305" s="349"/>
      <c r="Q4305" s="349"/>
    </row>
    <row r="4306" spans="16:17" x14ac:dyDescent="0.3">
      <c r="P4306" s="349"/>
      <c r="Q4306" s="349"/>
    </row>
    <row r="4307" spans="16:17" x14ac:dyDescent="0.3">
      <c r="P4307" s="349"/>
      <c r="Q4307" s="349"/>
    </row>
    <row r="4308" spans="16:17" x14ac:dyDescent="0.3">
      <c r="P4308" s="349"/>
      <c r="Q4308" s="349"/>
    </row>
    <row r="4309" spans="16:17" x14ac:dyDescent="0.3">
      <c r="P4309" s="349"/>
      <c r="Q4309" s="349"/>
    </row>
    <row r="4310" spans="16:17" x14ac:dyDescent="0.3">
      <c r="P4310" s="349"/>
      <c r="Q4310" s="349"/>
    </row>
    <row r="4311" spans="16:17" x14ac:dyDescent="0.3">
      <c r="P4311" s="349"/>
      <c r="Q4311" s="349"/>
    </row>
    <row r="4312" spans="16:17" x14ac:dyDescent="0.3">
      <c r="P4312" s="349"/>
      <c r="Q4312" s="349"/>
    </row>
    <row r="4313" spans="16:17" x14ac:dyDescent="0.3">
      <c r="P4313" s="349"/>
      <c r="Q4313" s="349"/>
    </row>
    <row r="4314" spans="16:17" x14ac:dyDescent="0.3">
      <c r="P4314" s="349"/>
      <c r="Q4314" s="349"/>
    </row>
    <row r="4315" spans="16:17" x14ac:dyDescent="0.3">
      <c r="P4315" s="349"/>
      <c r="Q4315" s="349"/>
    </row>
    <row r="4316" spans="16:17" x14ac:dyDescent="0.3">
      <c r="P4316" s="349"/>
      <c r="Q4316" s="349"/>
    </row>
    <row r="4317" spans="16:17" x14ac:dyDescent="0.3">
      <c r="P4317" s="349"/>
      <c r="Q4317" s="349"/>
    </row>
    <row r="4318" spans="16:17" x14ac:dyDescent="0.3">
      <c r="P4318" s="349"/>
      <c r="Q4318" s="349"/>
    </row>
    <row r="4319" spans="16:17" x14ac:dyDescent="0.3">
      <c r="P4319" s="349"/>
      <c r="Q4319" s="349"/>
    </row>
    <row r="4320" spans="16:17" x14ac:dyDescent="0.3">
      <c r="P4320" s="349"/>
      <c r="Q4320" s="349"/>
    </row>
    <row r="4321" spans="16:17" x14ac:dyDescent="0.3">
      <c r="P4321" s="349"/>
      <c r="Q4321" s="349"/>
    </row>
    <row r="4322" spans="16:17" x14ac:dyDescent="0.3">
      <c r="P4322" s="349"/>
      <c r="Q4322" s="349"/>
    </row>
    <row r="4323" spans="16:17" x14ac:dyDescent="0.3">
      <c r="P4323" s="349"/>
      <c r="Q4323" s="349"/>
    </row>
    <row r="4324" spans="16:17" x14ac:dyDescent="0.3">
      <c r="P4324" s="349"/>
      <c r="Q4324" s="349"/>
    </row>
    <row r="4325" spans="16:17" x14ac:dyDescent="0.3">
      <c r="P4325" s="349"/>
      <c r="Q4325" s="349"/>
    </row>
    <row r="4326" spans="16:17" x14ac:dyDescent="0.3">
      <c r="P4326" s="349"/>
      <c r="Q4326" s="349"/>
    </row>
    <row r="4327" spans="16:17" x14ac:dyDescent="0.3">
      <c r="P4327" s="349"/>
      <c r="Q4327" s="349"/>
    </row>
    <row r="4328" spans="16:17" x14ac:dyDescent="0.3">
      <c r="P4328" s="349"/>
      <c r="Q4328" s="349"/>
    </row>
    <row r="4329" spans="16:17" x14ac:dyDescent="0.3">
      <c r="P4329" s="349"/>
      <c r="Q4329" s="349"/>
    </row>
    <row r="4330" spans="16:17" x14ac:dyDescent="0.3">
      <c r="P4330" s="349"/>
      <c r="Q4330" s="349"/>
    </row>
    <row r="4331" spans="16:17" x14ac:dyDescent="0.3">
      <c r="P4331" s="349"/>
      <c r="Q4331" s="349"/>
    </row>
    <row r="4332" spans="16:17" x14ac:dyDescent="0.3">
      <c r="P4332" s="349"/>
      <c r="Q4332" s="349"/>
    </row>
    <row r="4333" spans="16:17" x14ac:dyDescent="0.3">
      <c r="P4333" s="349"/>
      <c r="Q4333" s="349"/>
    </row>
    <row r="4334" spans="16:17" x14ac:dyDescent="0.3">
      <c r="P4334" s="349"/>
      <c r="Q4334" s="349"/>
    </row>
    <row r="4335" spans="16:17" x14ac:dyDescent="0.3">
      <c r="P4335" s="349"/>
      <c r="Q4335" s="349"/>
    </row>
    <row r="4336" spans="16:17" x14ac:dyDescent="0.3">
      <c r="P4336" s="349"/>
      <c r="Q4336" s="349"/>
    </row>
    <row r="4337" spans="16:17" x14ac:dyDescent="0.3">
      <c r="P4337" s="349"/>
      <c r="Q4337" s="349"/>
    </row>
    <row r="4338" spans="16:17" x14ac:dyDescent="0.3">
      <c r="P4338" s="349"/>
      <c r="Q4338" s="349"/>
    </row>
    <row r="4339" spans="16:17" x14ac:dyDescent="0.3">
      <c r="P4339" s="349"/>
      <c r="Q4339" s="349"/>
    </row>
    <row r="4340" spans="16:17" x14ac:dyDescent="0.3">
      <c r="P4340" s="349"/>
      <c r="Q4340" s="349"/>
    </row>
    <row r="4341" spans="16:17" x14ac:dyDescent="0.3">
      <c r="P4341" s="349"/>
      <c r="Q4341" s="349"/>
    </row>
    <row r="4342" spans="16:17" x14ac:dyDescent="0.3">
      <c r="P4342" s="349"/>
      <c r="Q4342" s="349"/>
    </row>
    <row r="4343" spans="16:17" x14ac:dyDescent="0.3">
      <c r="P4343" s="349"/>
      <c r="Q4343" s="349"/>
    </row>
    <row r="4344" spans="16:17" x14ac:dyDescent="0.3">
      <c r="P4344" s="349"/>
      <c r="Q4344" s="349"/>
    </row>
    <row r="4345" spans="16:17" x14ac:dyDescent="0.3">
      <c r="P4345" s="349"/>
      <c r="Q4345" s="349"/>
    </row>
    <row r="4346" spans="16:17" x14ac:dyDescent="0.3">
      <c r="P4346" s="349"/>
      <c r="Q4346" s="349"/>
    </row>
    <row r="4347" spans="16:17" x14ac:dyDescent="0.3">
      <c r="P4347" s="349"/>
      <c r="Q4347" s="349"/>
    </row>
    <row r="4348" spans="16:17" x14ac:dyDescent="0.3">
      <c r="P4348" s="349"/>
      <c r="Q4348" s="349"/>
    </row>
    <row r="4349" spans="16:17" x14ac:dyDescent="0.3">
      <c r="P4349" s="349"/>
      <c r="Q4349" s="349"/>
    </row>
    <row r="4350" spans="16:17" x14ac:dyDescent="0.3">
      <c r="P4350" s="349"/>
      <c r="Q4350" s="349"/>
    </row>
    <row r="4351" spans="16:17" x14ac:dyDescent="0.3">
      <c r="P4351" s="349"/>
      <c r="Q4351" s="349"/>
    </row>
    <row r="4352" spans="16:17" x14ac:dyDescent="0.3">
      <c r="P4352" s="349"/>
      <c r="Q4352" s="349"/>
    </row>
    <row r="4353" spans="16:17" x14ac:dyDescent="0.3">
      <c r="P4353" s="349"/>
      <c r="Q4353" s="349"/>
    </row>
    <row r="4354" spans="16:17" x14ac:dyDescent="0.3">
      <c r="P4354" s="349"/>
      <c r="Q4354" s="349"/>
    </row>
    <row r="4355" spans="16:17" x14ac:dyDescent="0.3">
      <c r="P4355" s="349"/>
      <c r="Q4355" s="349"/>
    </row>
    <row r="4356" spans="16:17" x14ac:dyDescent="0.3">
      <c r="P4356" s="349"/>
      <c r="Q4356" s="349"/>
    </row>
    <row r="4357" spans="16:17" x14ac:dyDescent="0.3">
      <c r="P4357" s="349"/>
      <c r="Q4357" s="349"/>
    </row>
    <row r="4358" spans="16:17" x14ac:dyDescent="0.3">
      <c r="P4358" s="349"/>
      <c r="Q4358" s="349"/>
    </row>
    <row r="4359" spans="16:17" x14ac:dyDescent="0.3">
      <c r="P4359" s="349"/>
      <c r="Q4359" s="349"/>
    </row>
    <row r="4360" spans="16:17" x14ac:dyDescent="0.3">
      <c r="P4360" s="349"/>
      <c r="Q4360" s="349"/>
    </row>
    <row r="4361" spans="16:17" x14ac:dyDescent="0.3">
      <c r="P4361" s="349"/>
      <c r="Q4361" s="349"/>
    </row>
    <row r="4362" spans="16:17" x14ac:dyDescent="0.3">
      <c r="P4362" s="349"/>
      <c r="Q4362" s="349"/>
    </row>
    <row r="4363" spans="16:17" x14ac:dyDescent="0.3">
      <c r="P4363" s="349"/>
      <c r="Q4363" s="349"/>
    </row>
    <row r="4364" spans="16:17" x14ac:dyDescent="0.3">
      <c r="P4364" s="349"/>
      <c r="Q4364" s="349"/>
    </row>
    <row r="4365" spans="16:17" x14ac:dyDescent="0.3">
      <c r="P4365" s="349"/>
      <c r="Q4365" s="349"/>
    </row>
    <row r="4366" spans="16:17" x14ac:dyDescent="0.3">
      <c r="P4366" s="349"/>
      <c r="Q4366" s="349"/>
    </row>
    <row r="4367" spans="16:17" x14ac:dyDescent="0.3">
      <c r="P4367" s="349"/>
      <c r="Q4367" s="349"/>
    </row>
    <row r="4368" spans="16:17" x14ac:dyDescent="0.3">
      <c r="P4368" s="349"/>
      <c r="Q4368" s="349"/>
    </row>
    <row r="4369" spans="16:17" x14ac:dyDescent="0.3">
      <c r="P4369" s="349"/>
      <c r="Q4369" s="349"/>
    </row>
    <row r="4370" spans="16:17" x14ac:dyDescent="0.3">
      <c r="P4370" s="349"/>
      <c r="Q4370" s="349"/>
    </row>
    <row r="4371" spans="16:17" x14ac:dyDescent="0.3">
      <c r="P4371" s="349"/>
      <c r="Q4371" s="349"/>
    </row>
    <row r="4372" spans="16:17" x14ac:dyDescent="0.3">
      <c r="P4372" s="349"/>
      <c r="Q4372" s="349"/>
    </row>
    <row r="4373" spans="16:17" x14ac:dyDescent="0.3">
      <c r="P4373" s="349"/>
      <c r="Q4373" s="349"/>
    </row>
    <row r="4374" spans="16:17" x14ac:dyDescent="0.3">
      <c r="P4374" s="349"/>
      <c r="Q4374" s="349"/>
    </row>
    <row r="4375" spans="16:17" x14ac:dyDescent="0.3">
      <c r="P4375" s="349"/>
      <c r="Q4375" s="349"/>
    </row>
    <row r="4376" spans="16:17" x14ac:dyDescent="0.3">
      <c r="P4376" s="349"/>
      <c r="Q4376" s="349"/>
    </row>
    <row r="4377" spans="16:17" x14ac:dyDescent="0.3">
      <c r="P4377" s="349"/>
      <c r="Q4377" s="349"/>
    </row>
    <row r="4378" spans="16:17" x14ac:dyDescent="0.3">
      <c r="P4378" s="349"/>
      <c r="Q4378" s="349"/>
    </row>
    <row r="4379" spans="16:17" x14ac:dyDescent="0.3">
      <c r="P4379" s="349"/>
      <c r="Q4379" s="349"/>
    </row>
    <row r="4380" spans="16:17" x14ac:dyDescent="0.3">
      <c r="P4380" s="349"/>
      <c r="Q4380" s="349"/>
    </row>
    <row r="4381" spans="16:17" x14ac:dyDescent="0.3">
      <c r="P4381" s="349"/>
      <c r="Q4381" s="349"/>
    </row>
    <row r="4382" spans="16:17" x14ac:dyDescent="0.3">
      <c r="P4382" s="349"/>
      <c r="Q4382" s="349"/>
    </row>
    <row r="4383" spans="16:17" x14ac:dyDescent="0.3">
      <c r="P4383" s="349"/>
      <c r="Q4383" s="349"/>
    </row>
    <row r="4384" spans="16:17" x14ac:dyDescent="0.3">
      <c r="P4384" s="349"/>
      <c r="Q4384" s="349"/>
    </row>
    <row r="4385" spans="16:17" x14ac:dyDescent="0.3">
      <c r="P4385" s="349"/>
      <c r="Q4385" s="349"/>
    </row>
    <row r="4386" spans="16:17" x14ac:dyDescent="0.3">
      <c r="P4386" s="349"/>
      <c r="Q4386" s="349"/>
    </row>
    <row r="4387" spans="16:17" x14ac:dyDescent="0.3">
      <c r="P4387" s="349"/>
      <c r="Q4387" s="349"/>
    </row>
    <row r="4388" spans="16:17" x14ac:dyDescent="0.3">
      <c r="P4388" s="349"/>
      <c r="Q4388" s="349"/>
    </row>
    <row r="4389" spans="16:17" x14ac:dyDescent="0.3">
      <c r="P4389" s="349"/>
      <c r="Q4389" s="349"/>
    </row>
    <row r="4390" spans="16:17" x14ac:dyDescent="0.3">
      <c r="P4390" s="349"/>
      <c r="Q4390" s="349"/>
    </row>
    <row r="4391" spans="16:17" x14ac:dyDescent="0.3">
      <c r="P4391" s="349"/>
      <c r="Q4391" s="349"/>
    </row>
    <row r="4392" spans="16:17" x14ac:dyDescent="0.3">
      <c r="P4392" s="349"/>
      <c r="Q4392" s="349"/>
    </row>
    <row r="4393" spans="16:17" x14ac:dyDescent="0.3">
      <c r="P4393" s="349"/>
      <c r="Q4393" s="349"/>
    </row>
    <row r="4394" spans="16:17" x14ac:dyDescent="0.3">
      <c r="P4394" s="349"/>
      <c r="Q4394" s="349"/>
    </row>
    <row r="4395" spans="16:17" x14ac:dyDescent="0.3">
      <c r="P4395" s="349"/>
      <c r="Q4395" s="349"/>
    </row>
    <row r="4396" spans="16:17" x14ac:dyDescent="0.3">
      <c r="P4396" s="349"/>
      <c r="Q4396" s="349"/>
    </row>
    <row r="4397" spans="16:17" x14ac:dyDescent="0.3">
      <c r="P4397" s="349"/>
      <c r="Q4397" s="349"/>
    </row>
    <row r="4398" spans="16:17" x14ac:dyDescent="0.3">
      <c r="P4398" s="349"/>
      <c r="Q4398" s="349"/>
    </row>
    <row r="4399" spans="16:17" x14ac:dyDescent="0.3">
      <c r="P4399" s="349"/>
      <c r="Q4399" s="349"/>
    </row>
    <row r="4400" spans="16:17" x14ac:dyDescent="0.3">
      <c r="P4400" s="349"/>
      <c r="Q4400" s="349"/>
    </row>
    <row r="4401" spans="16:17" x14ac:dyDescent="0.3">
      <c r="P4401" s="349"/>
      <c r="Q4401" s="349"/>
    </row>
    <row r="4402" spans="16:17" x14ac:dyDescent="0.3">
      <c r="P4402" s="349"/>
      <c r="Q4402" s="349"/>
    </row>
    <row r="4403" spans="16:17" x14ac:dyDescent="0.3">
      <c r="P4403" s="349"/>
      <c r="Q4403" s="349"/>
    </row>
    <row r="4404" spans="16:17" x14ac:dyDescent="0.3">
      <c r="P4404" s="349"/>
      <c r="Q4404" s="349"/>
    </row>
    <row r="4405" spans="16:17" x14ac:dyDescent="0.3">
      <c r="P4405" s="349"/>
      <c r="Q4405" s="349"/>
    </row>
    <row r="4406" spans="16:17" x14ac:dyDescent="0.3">
      <c r="P4406" s="349"/>
      <c r="Q4406" s="349"/>
    </row>
    <row r="4407" spans="16:17" x14ac:dyDescent="0.3">
      <c r="P4407" s="349"/>
      <c r="Q4407" s="349"/>
    </row>
    <row r="4408" spans="16:17" x14ac:dyDescent="0.3">
      <c r="P4408" s="349"/>
      <c r="Q4408" s="349"/>
    </row>
    <row r="4409" spans="16:17" x14ac:dyDescent="0.3">
      <c r="P4409" s="349"/>
      <c r="Q4409" s="349"/>
    </row>
    <row r="4410" spans="16:17" x14ac:dyDescent="0.3">
      <c r="P4410" s="349"/>
      <c r="Q4410" s="349"/>
    </row>
    <row r="4411" spans="16:17" x14ac:dyDescent="0.3">
      <c r="P4411" s="349"/>
      <c r="Q4411" s="349"/>
    </row>
    <row r="4412" spans="16:17" x14ac:dyDescent="0.3">
      <c r="P4412" s="349"/>
      <c r="Q4412" s="349"/>
    </row>
    <row r="4413" spans="16:17" x14ac:dyDescent="0.3">
      <c r="P4413" s="349"/>
      <c r="Q4413" s="349"/>
    </row>
    <row r="4414" spans="16:17" x14ac:dyDescent="0.3">
      <c r="P4414" s="349"/>
      <c r="Q4414" s="349"/>
    </row>
    <row r="4415" spans="16:17" x14ac:dyDescent="0.3">
      <c r="P4415" s="349"/>
      <c r="Q4415" s="349"/>
    </row>
    <row r="4416" spans="16:17" x14ac:dyDescent="0.3">
      <c r="P4416" s="349"/>
      <c r="Q4416" s="349"/>
    </row>
    <row r="4417" spans="16:17" x14ac:dyDescent="0.3">
      <c r="P4417" s="349"/>
      <c r="Q4417" s="349"/>
    </row>
    <row r="4418" spans="16:17" x14ac:dyDescent="0.3">
      <c r="P4418" s="349"/>
      <c r="Q4418" s="349"/>
    </row>
    <row r="4419" spans="16:17" x14ac:dyDescent="0.3">
      <c r="P4419" s="349"/>
      <c r="Q4419" s="349"/>
    </row>
    <row r="4420" spans="16:17" x14ac:dyDescent="0.3">
      <c r="P4420" s="349"/>
      <c r="Q4420" s="349"/>
    </row>
    <row r="4421" spans="16:17" x14ac:dyDescent="0.3">
      <c r="P4421" s="349"/>
      <c r="Q4421" s="349"/>
    </row>
    <row r="4422" spans="16:17" x14ac:dyDescent="0.3">
      <c r="P4422" s="349"/>
      <c r="Q4422" s="349"/>
    </row>
    <row r="4423" spans="16:17" x14ac:dyDescent="0.3">
      <c r="P4423" s="349"/>
      <c r="Q4423" s="349"/>
    </row>
    <row r="4424" spans="16:17" x14ac:dyDescent="0.3">
      <c r="P4424" s="349"/>
      <c r="Q4424" s="349"/>
    </row>
    <row r="4425" spans="16:17" x14ac:dyDescent="0.3">
      <c r="P4425" s="349"/>
      <c r="Q4425" s="349"/>
    </row>
    <row r="4426" spans="16:17" x14ac:dyDescent="0.3">
      <c r="P4426" s="349"/>
      <c r="Q4426" s="349"/>
    </row>
    <row r="4427" spans="16:17" x14ac:dyDescent="0.3">
      <c r="P4427" s="349"/>
      <c r="Q4427" s="349"/>
    </row>
    <row r="4428" spans="16:17" x14ac:dyDescent="0.3">
      <c r="P4428" s="349"/>
      <c r="Q4428" s="349"/>
    </row>
    <row r="4429" spans="16:17" x14ac:dyDescent="0.3">
      <c r="P4429" s="349"/>
      <c r="Q4429" s="349"/>
    </row>
    <row r="4430" spans="16:17" x14ac:dyDescent="0.3">
      <c r="P4430" s="349"/>
      <c r="Q4430" s="349"/>
    </row>
    <row r="4431" spans="16:17" x14ac:dyDescent="0.3">
      <c r="P4431" s="349"/>
      <c r="Q4431" s="349"/>
    </row>
    <row r="4432" spans="16:17" x14ac:dyDescent="0.3">
      <c r="P4432" s="349"/>
      <c r="Q4432" s="349"/>
    </row>
    <row r="4433" spans="16:17" x14ac:dyDescent="0.3">
      <c r="P4433" s="349"/>
      <c r="Q4433" s="349"/>
    </row>
    <row r="4434" spans="16:17" x14ac:dyDescent="0.3">
      <c r="P4434" s="349"/>
      <c r="Q4434" s="349"/>
    </row>
    <row r="4435" spans="16:17" x14ac:dyDescent="0.3">
      <c r="P4435" s="349"/>
      <c r="Q4435" s="349"/>
    </row>
    <row r="4436" spans="16:17" x14ac:dyDescent="0.3">
      <c r="P4436" s="349"/>
      <c r="Q4436" s="349"/>
    </row>
    <row r="4437" spans="16:17" x14ac:dyDescent="0.3">
      <c r="P4437" s="349"/>
      <c r="Q4437" s="349"/>
    </row>
    <row r="4438" spans="16:17" x14ac:dyDescent="0.3">
      <c r="P4438" s="349"/>
      <c r="Q4438" s="349"/>
    </row>
    <row r="4439" spans="16:17" x14ac:dyDescent="0.3">
      <c r="P4439" s="349"/>
      <c r="Q4439" s="349"/>
    </row>
    <row r="4440" spans="16:17" x14ac:dyDescent="0.3">
      <c r="P4440" s="349"/>
      <c r="Q4440" s="349"/>
    </row>
    <row r="4441" spans="16:17" x14ac:dyDescent="0.3">
      <c r="P4441" s="349"/>
      <c r="Q4441" s="349"/>
    </row>
    <row r="4442" spans="16:17" x14ac:dyDescent="0.3">
      <c r="P4442" s="349"/>
      <c r="Q4442" s="349"/>
    </row>
    <row r="4443" spans="16:17" x14ac:dyDescent="0.3">
      <c r="P4443" s="349"/>
      <c r="Q4443" s="349"/>
    </row>
    <row r="4444" spans="16:17" x14ac:dyDescent="0.3">
      <c r="P4444" s="349"/>
      <c r="Q4444" s="349"/>
    </row>
    <row r="4445" spans="16:17" x14ac:dyDescent="0.3">
      <c r="P4445" s="349"/>
      <c r="Q4445" s="349"/>
    </row>
    <row r="4446" spans="16:17" x14ac:dyDescent="0.3">
      <c r="P4446" s="349"/>
      <c r="Q4446" s="349"/>
    </row>
    <row r="4447" spans="16:17" x14ac:dyDescent="0.3">
      <c r="P4447" s="349"/>
      <c r="Q4447" s="349"/>
    </row>
    <row r="4448" spans="16:17" x14ac:dyDescent="0.3">
      <c r="P4448" s="349"/>
      <c r="Q4448" s="349"/>
    </row>
    <row r="4449" spans="16:17" x14ac:dyDescent="0.3">
      <c r="P4449" s="349"/>
      <c r="Q4449" s="349"/>
    </row>
    <row r="4450" spans="16:17" x14ac:dyDescent="0.3">
      <c r="P4450" s="349"/>
      <c r="Q4450" s="349"/>
    </row>
    <row r="4451" spans="16:17" x14ac:dyDescent="0.3">
      <c r="P4451" s="349"/>
      <c r="Q4451" s="349"/>
    </row>
    <row r="4452" spans="16:17" x14ac:dyDescent="0.3">
      <c r="P4452" s="349"/>
      <c r="Q4452" s="349"/>
    </row>
    <row r="4453" spans="16:17" x14ac:dyDescent="0.3">
      <c r="P4453" s="349"/>
      <c r="Q4453" s="349"/>
    </row>
    <row r="4454" spans="16:17" x14ac:dyDescent="0.3">
      <c r="P4454" s="349"/>
      <c r="Q4454" s="349"/>
    </row>
    <row r="4455" spans="16:17" x14ac:dyDescent="0.3">
      <c r="P4455" s="349"/>
      <c r="Q4455" s="349"/>
    </row>
    <row r="4456" spans="16:17" x14ac:dyDescent="0.3">
      <c r="P4456" s="349"/>
      <c r="Q4456" s="349"/>
    </row>
    <row r="4457" spans="16:17" x14ac:dyDescent="0.3">
      <c r="P4457" s="349"/>
      <c r="Q4457" s="349"/>
    </row>
    <row r="4458" spans="16:17" x14ac:dyDescent="0.3">
      <c r="P4458" s="349"/>
      <c r="Q4458" s="349"/>
    </row>
    <row r="4459" spans="16:17" x14ac:dyDescent="0.3">
      <c r="P4459" s="349"/>
      <c r="Q4459" s="349"/>
    </row>
    <row r="4460" spans="16:17" x14ac:dyDescent="0.3">
      <c r="P4460" s="349"/>
      <c r="Q4460" s="349"/>
    </row>
    <row r="4461" spans="16:17" x14ac:dyDescent="0.3">
      <c r="P4461" s="349"/>
      <c r="Q4461" s="349"/>
    </row>
    <row r="4462" spans="16:17" x14ac:dyDescent="0.3">
      <c r="P4462" s="349"/>
      <c r="Q4462" s="349"/>
    </row>
    <row r="4463" spans="16:17" x14ac:dyDescent="0.3">
      <c r="P4463" s="349"/>
      <c r="Q4463" s="349"/>
    </row>
    <row r="4464" spans="16:17" x14ac:dyDescent="0.3">
      <c r="P4464" s="349"/>
      <c r="Q4464" s="349"/>
    </row>
    <row r="4465" spans="16:17" x14ac:dyDescent="0.3">
      <c r="P4465" s="349"/>
      <c r="Q4465" s="349"/>
    </row>
    <row r="4466" spans="16:17" x14ac:dyDescent="0.3">
      <c r="P4466" s="349"/>
      <c r="Q4466" s="349"/>
    </row>
    <row r="4467" spans="16:17" x14ac:dyDescent="0.3">
      <c r="P4467" s="349"/>
      <c r="Q4467" s="349"/>
    </row>
    <row r="4468" spans="16:17" x14ac:dyDescent="0.3">
      <c r="P4468" s="349"/>
      <c r="Q4468" s="349"/>
    </row>
    <row r="4469" spans="16:17" x14ac:dyDescent="0.3">
      <c r="P4469" s="349"/>
      <c r="Q4469" s="349"/>
    </row>
    <row r="4470" spans="16:17" x14ac:dyDescent="0.3">
      <c r="P4470" s="349"/>
      <c r="Q4470" s="349"/>
    </row>
    <row r="4471" spans="16:17" x14ac:dyDescent="0.3">
      <c r="P4471" s="349"/>
      <c r="Q4471" s="349"/>
    </row>
    <row r="4472" spans="16:17" x14ac:dyDescent="0.3">
      <c r="P4472" s="349"/>
      <c r="Q4472" s="349"/>
    </row>
    <row r="4473" spans="16:17" x14ac:dyDescent="0.3">
      <c r="P4473" s="349"/>
      <c r="Q4473" s="349"/>
    </row>
    <row r="4474" spans="16:17" x14ac:dyDescent="0.3">
      <c r="P4474" s="349"/>
      <c r="Q4474" s="349"/>
    </row>
    <row r="4475" spans="16:17" x14ac:dyDescent="0.3">
      <c r="P4475" s="349"/>
      <c r="Q4475" s="349"/>
    </row>
    <row r="4476" spans="16:17" x14ac:dyDescent="0.3">
      <c r="P4476" s="349"/>
      <c r="Q4476" s="349"/>
    </row>
    <row r="4477" spans="16:17" x14ac:dyDescent="0.3">
      <c r="P4477" s="349"/>
      <c r="Q4477" s="349"/>
    </row>
    <row r="4478" spans="16:17" x14ac:dyDescent="0.3">
      <c r="P4478" s="349"/>
      <c r="Q4478" s="349"/>
    </row>
    <row r="4479" spans="16:17" x14ac:dyDescent="0.3">
      <c r="P4479" s="349"/>
      <c r="Q4479" s="349"/>
    </row>
    <row r="4480" spans="16:17" x14ac:dyDescent="0.3">
      <c r="P4480" s="349"/>
      <c r="Q4480" s="349"/>
    </row>
    <row r="4481" spans="16:17" x14ac:dyDescent="0.3">
      <c r="P4481" s="349"/>
      <c r="Q4481" s="349"/>
    </row>
    <row r="4482" spans="16:17" x14ac:dyDescent="0.3">
      <c r="P4482" s="349"/>
      <c r="Q4482" s="349"/>
    </row>
    <row r="4483" spans="16:17" x14ac:dyDescent="0.3">
      <c r="P4483" s="349"/>
      <c r="Q4483" s="349"/>
    </row>
    <row r="4484" spans="16:17" x14ac:dyDescent="0.3">
      <c r="P4484" s="349"/>
      <c r="Q4484" s="349"/>
    </row>
    <row r="4485" spans="16:17" x14ac:dyDescent="0.3">
      <c r="P4485" s="349"/>
      <c r="Q4485" s="349"/>
    </row>
    <row r="4486" spans="16:17" x14ac:dyDescent="0.3">
      <c r="P4486" s="349"/>
      <c r="Q4486" s="349"/>
    </row>
    <row r="4487" spans="16:17" x14ac:dyDescent="0.3">
      <c r="P4487" s="349"/>
      <c r="Q4487" s="349"/>
    </row>
    <row r="4488" spans="16:17" x14ac:dyDescent="0.3">
      <c r="P4488" s="349"/>
      <c r="Q4488" s="349"/>
    </row>
    <row r="4489" spans="16:17" x14ac:dyDescent="0.3">
      <c r="P4489" s="349"/>
      <c r="Q4489" s="349"/>
    </row>
    <row r="4490" spans="16:17" x14ac:dyDescent="0.3">
      <c r="P4490" s="349"/>
      <c r="Q4490" s="349"/>
    </row>
    <row r="4491" spans="16:17" x14ac:dyDescent="0.3">
      <c r="P4491" s="349"/>
      <c r="Q4491" s="349"/>
    </row>
    <row r="4492" spans="16:17" x14ac:dyDescent="0.3">
      <c r="P4492" s="349"/>
      <c r="Q4492" s="349"/>
    </row>
    <row r="4493" spans="16:17" x14ac:dyDescent="0.3">
      <c r="P4493" s="349"/>
      <c r="Q4493" s="349"/>
    </row>
    <row r="4494" spans="16:17" x14ac:dyDescent="0.3">
      <c r="P4494" s="349"/>
      <c r="Q4494" s="349"/>
    </row>
    <row r="4495" spans="16:17" x14ac:dyDescent="0.3">
      <c r="P4495" s="349"/>
      <c r="Q4495" s="349"/>
    </row>
    <row r="4496" spans="16:17" x14ac:dyDescent="0.3">
      <c r="P4496" s="349"/>
      <c r="Q4496" s="349"/>
    </row>
    <row r="4497" spans="16:17" x14ac:dyDescent="0.3">
      <c r="P4497" s="349"/>
      <c r="Q4497" s="349"/>
    </row>
    <row r="4498" spans="16:17" x14ac:dyDescent="0.3">
      <c r="P4498" s="349"/>
      <c r="Q4498" s="349"/>
    </row>
    <row r="4499" spans="16:17" x14ac:dyDescent="0.3">
      <c r="P4499" s="349"/>
      <c r="Q4499" s="349"/>
    </row>
    <row r="4500" spans="16:17" x14ac:dyDescent="0.3">
      <c r="P4500" s="349"/>
      <c r="Q4500" s="349"/>
    </row>
    <row r="4501" spans="16:17" x14ac:dyDescent="0.3">
      <c r="P4501" s="349"/>
      <c r="Q4501" s="349"/>
    </row>
    <row r="4502" spans="16:17" x14ac:dyDescent="0.3">
      <c r="P4502" s="349"/>
      <c r="Q4502" s="349"/>
    </row>
    <row r="4503" spans="16:17" x14ac:dyDescent="0.3">
      <c r="P4503" s="349"/>
      <c r="Q4503" s="349"/>
    </row>
    <row r="4504" spans="16:17" x14ac:dyDescent="0.3">
      <c r="P4504" s="349"/>
      <c r="Q4504" s="349"/>
    </row>
    <row r="4505" spans="16:17" x14ac:dyDescent="0.3">
      <c r="P4505" s="349"/>
      <c r="Q4505" s="349"/>
    </row>
    <row r="4506" spans="16:17" x14ac:dyDescent="0.3">
      <c r="P4506" s="349"/>
      <c r="Q4506" s="349"/>
    </row>
    <row r="4507" spans="16:17" x14ac:dyDescent="0.3">
      <c r="P4507" s="349"/>
      <c r="Q4507" s="349"/>
    </row>
    <row r="4508" spans="16:17" x14ac:dyDescent="0.3">
      <c r="P4508" s="349"/>
      <c r="Q4508" s="349"/>
    </row>
    <row r="4509" spans="16:17" x14ac:dyDescent="0.3">
      <c r="P4509" s="349"/>
      <c r="Q4509" s="349"/>
    </row>
    <row r="4510" spans="16:17" x14ac:dyDescent="0.3">
      <c r="P4510" s="349"/>
      <c r="Q4510" s="349"/>
    </row>
    <row r="4511" spans="16:17" x14ac:dyDescent="0.3">
      <c r="P4511" s="349"/>
      <c r="Q4511" s="349"/>
    </row>
    <row r="4512" spans="16:17" x14ac:dyDescent="0.3">
      <c r="P4512" s="349"/>
      <c r="Q4512" s="349"/>
    </row>
    <row r="4513" spans="16:17" x14ac:dyDescent="0.3">
      <c r="P4513" s="349"/>
      <c r="Q4513" s="349"/>
    </row>
    <row r="4514" spans="16:17" x14ac:dyDescent="0.3">
      <c r="P4514" s="349"/>
      <c r="Q4514" s="349"/>
    </row>
    <row r="4515" spans="16:17" x14ac:dyDescent="0.3">
      <c r="P4515" s="349"/>
      <c r="Q4515" s="349"/>
    </row>
    <row r="4516" spans="16:17" x14ac:dyDescent="0.3">
      <c r="P4516" s="349"/>
      <c r="Q4516" s="349"/>
    </row>
    <row r="4517" spans="16:17" x14ac:dyDescent="0.3">
      <c r="P4517" s="349"/>
      <c r="Q4517" s="349"/>
    </row>
    <row r="4518" spans="16:17" x14ac:dyDescent="0.3">
      <c r="P4518" s="349"/>
      <c r="Q4518" s="349"/>
    </row>
    <row r="4519" spans="16:17" x14ac:dyDescent="0.3">
      <c r="P4519" s="349"/>
      <c r="Q4519" s="349"/>
    </row>
    <row r="4520" spans="16:17" x14ac:dyDescent="0.3">
      <c r="P4520" s="349"/>
      <c r="Q4520" s="349"/>
    </row>
    <row r="4521" spans="16:17" x14ac:dyDescent="0.3">
      <c r="P4521" s="349"/>
      <c r="Q4521" s="349"/>
    </row>
    <row r="4522" spans="16:17" x14ac:dyDescent="0.3">
      <c r="P4522" s="349"/>
      <c r="Q4522" s="349"/>
    </row>
    <row r="4523" spans="16:17" x14ac:dyDescent="0.3">
      <c r="P4523" s="349"/>
      <c r="Q4523" s="349"/>
    </row>
    <row r="4524" spans="16:17" x14ac:dyDescent="0.3">
      <c r="P4524" s="349"/>
      <c r="Q4524" s="349"/>
    </row>
    <row r="4525" spans="16:17" x14ac:dyDescent="0.3">
      <c r="P4525" s="349"/>
      <c r="Q4525" s="349"/>
    </row>
    <row r="4526" spans="16:17" x14ac:dyDescent="0.3">
      <c r="P4526" s="349"/>
      <c r="Q4526" s="349"/>
    </row>
    <row r="4527" spans="16:17" x14ac:dyDescent="0.3">
      <c r="P4527" s="349"/>
      <c r="Q4527" s="349"/>
    </row>
    <row r="4528" spans="16:17" x14ac:dyDescent="0.3">
      <c r="P4528" s="349"/>
      <c r="Q4528" s="349"/>
    </row>
    <row r="4529" spans="16:17" x14ac:dyDescent="0.3">
      <c r="P4529" s="349"/>
      <c r="Q4529" s="349"/>
    </row>
    <row r="4530" spans="16:17" x14ac:dyDescent="0.3">
      <c r="P4530" s="349"/>
      <c r="Q4530" s="349"/>
    </row>
    <row r="4531" spans="16:17" x14ac:dyDescent="0.3">
      <c r="P4531" s="349"/>
      <c r="Q4531" s="349"/>
    </row>
    <row r="4532" spans="16:17" x14ac:dyDescent="0.3">
      <c r="P4532" s="349"/>
      <c r="Q4532" s="349"/>
    </row>
    <row r="4533" spans="16:17" x14ac:dyDescent="0.3">
      <c r="P4533" s="349"/>
      <c r="Q4533" s="349"/>
    </row>
    <row r="4534" spans="16:17" x14ac:dyDescent="0.3">
      <c r="P4534" s="349"/>
      <c r="Q4534" s="349"/>
    </row>
    <row r="4535" spans="16:17" x14ac:dyDescent="0.3">
      <c r="P4535" s="349"/>
      <c r="Q4535" s="349"/>
    </row>
    <row r="4536" spans="16:17" x14ac:dyDescent="0.3">
      <c r="P4536" s="349"/>
      <c r="Q4536" s="349"/>
    </row>
    <row r="4537" spans="16:17" x14ac:dyDescent="0.3">
      <c r="P4537" s="349"/>
      <c r="Q4537" s="349"/>
    </row>
    <row r="4538" spans="16:17" x14ac:dyDescent="0.3">
      <c r="P4538" s="349"/>
      <c r="Q4538" s="349"/>
    </row>
    <row r="4539" spans="16:17" x14ac:dyDescent="0.3">
      <c r="P4539" s="349"/>
      <c r="Q4539" s="349"/>
    </row>
    <row r="4540" spans="16:17" x14ac:dyDescent="0.3">
      <c r="P4540" s="349"/>
      <c r="Q4540" s="349"/>
    </row>
    <row r="4541" spans="16:17" x14ac:dyDescent="0.3">
      <c r="P4541" s="349"/>
      <c r="Q4541" s="349"/>
    </row>
    <row r="4542" spans="16:17" x14ac:dyDescent="0.3">
      <c r="P4542" s="349"/>
      <c r="Q4542" s="349"/>
    </row>
    <row r="4543" spans="16:17" x14ac:dyDescent="0.3">
      <c r="P4543" s="349"/>
      <c r="Q4543" s="349"/>
    </row>
    <row r="4544" spans="16:17" x14ac:dyDescent="0.3">
      <c r="P4544" s="349"/>
      <c r="Q4544" s="349"/>
    </row>
    <row r="4545" spans="16:17" x14ac:dyDescent="0.3">
      <c r="P4545" s="349"/>
      <c r="Q4545" s="349"/>
    </row>
    <row r="4546" spans="16:17" x14ac:dyDescent="0.3">
      <c r="P4546" s="349"/>
      <c r="Q4546" s="349"/>
    </row>
    <row r="4547" spans="16:17" x14ac:dyDescent="0.3">
      <c r="P4547" s="349"/>
      <c r="Q4547" s="349"/>
    </row>
    <row r="4548" spans="16:17" x14ac:dyDescent="0.3">
      <c r="P4548" s="349"/>
      <c r="Q4548" s="349"/>
    </row>
    <row r="4549" spans="16:17" x14ac:dyDescent="0.3">
      <c r="P4549" s="349"/>
      <c r="Q4549" s="349"/>
    </row>
    <row r="4550" spans="16:17" x14ac:dyDescent="0.3">
      <c r="P4550" s="349"/>
      <c r="Q4550" s="349"/>
    </row>
    <row r="4551" spans="16:17" x14ac:dyDescent="0.3">
      <c r="P4551" s="349"/>
      <c r="Q4551" s="349"/>
    </row>
    <row r="4552" spans="16:17" x14ac:dyDescent="0.3">
      <c r="P4552" s="349"/>
      <c r="Q4552" s="349"/>
    </row>
    <row r="4553" spans="16:17" x14ac:dyDescent="0.3">
      <c r="P4553" s="349"/>
      <c r="Q4553" s="349"/>
    </row>
    <row r="4554" spans="16:17" x14ac:dyDescent="0.3">
      <c r="P4554" s="349"/>
      <c r="Q4554" s="349"/>
    </row>
    <row r="4555" spans="16:17" x14ac:dyDescent="0.3">
      <c r="P4555" s="349"/>
      <c r="Q4555" s="349"/>
    </row>
    <row r="4556" spans="16:17" x14ac:dyDescent="0.3">
      <c r="P4556" s="349"/>
      <c r="Q4556" s="349"/>
    </row>
    <row r="4557" spans="16:17" x14ac:dyDescent="0.3">
      <c r="P4557" s="349"/>
      <c r="Q4557" s="349"/>
    </row>
    <row r="4558" spans="16:17" x14ac:dyDescent="0.3">
      <c r="P4558" s="349"/>
      <c r="Q4558" s="349"/>
    </row>
    <row r="4559" spans="16:17" x14ac:dyDescent="0.3">
      <c r="P4559" s="349"/>
      <c r="Q4559" s="349"/>
    </row>
    <row r="4560" spans="16:17" x14ac:dyDescent="0.3">
      <c r="P4560" s="349"/>
      <c r="Q4560" s="349"/>
    </row>
    <row r="4561" spans="16:17" x14ac:dyDescent="0.3">
      <c r="P4561" s="349"/>
      <c r="Q4561" s="349"/>
    </row>
    <row r="4562" spans="16:17" x14ac:dyDescent="0.3">
      <c r="P4562" s="349"/>
      <c r="Q4562" s="349"/>
    </row>
    <row r="4563" spans="16:17" x14ac:dyDescent="0.3">
      <c r="P4563" s="349"/>
      <c r="Q4563" s="349"/>
    </row>
    <row r="4564" spans="16:17" x14ac:dyDescent="0.3">
      <c r="P4564" s="349"/>
      <c r="Q4564" s="349"/>
    </row>
    <row r="4565" spans="16:17" x14ac:dyDescent="0.3">
      <c r="P4565" s="349"/>
      <c r="Q4565" s="349"/>
    </row>
    <row r="4566" spans="16:17" x14ac:dyDescent="0.3">
      <c r="P4566" s="349"/>
      <c r="Q4566" s="349"/>
    </row>
    <row r="4567" spans="16:17" x14ac:dyDescent="0.3">
      <c r="P4567" s="349"/>
      <c r="Q4567" s="349"/>
    </row>
    <row r="4568" spans="16:17" x14ac:dyDescent="0.3">
      <c r="P4568" s="349"/>
      <c r="Q4568" s="349"/>
    </row>
    <row r="4569" spans="16:17" x14ac:dyDescent="0.3">
      <c r="P4569" s="349"/>
      <c r="Q4569" s="349"/>
    </row>
    <row r="4570" spans="16:17" x14ac:dyDescent="0.3">
      <c r="P4570" s="349"/>
      <c r="Q4570" s="349"/>
    </row>
    <row r="4571" spans="16:17" x14ac:dyDescent="0.3">
      <c r="P4571" s="349"/>
      <c r="Q4571" s="349"/>
    </row>
    <row r="4572" spans="16:17" x14ac:dyDescent="0.3">
      <c r="P4572" s="349"/>
      <c r="Q4572" s="349"/>
    </row>
    <row r="4573" spans="16:17" x14ac:dyDescent="0.3">
      <c r="P4573" s="349"/>
      <c r="Q4573" s="349"/>
    </row>
    <row r="4574" spans="16:17" x14ac:dyDescent="0.3">
      <c r="P4574" s="349"/>
      <c r="Q4574" s="349"/>
    </row>
    <row r="4575" spans="16:17" x14ac:dyDescent="0.3">
      <c r="P4575" s="349"/>
      <c r="Q4575" s="349"/>
    </row>
    <row r="4576" spans="16:17" x14ac:dyDescent="0.3">
      <c r="P4576" s="349"/>
      <c r="Q4576" s="349"/>
    </row>
    <row r="4577" spans="16:17" x14ac:dyDescent="0.3">
      <c r="P4577" s="349"/>
      <c r="Q4577" s="349"/>
    </row>
    <row r="4578" spans="16:17" x14ac:dyDescent="0.3">
      <c r="P4578" s="349"/>
      <c r="Q4578" s="349"/>
    </row>
    <row r="4579" spans="16:17" x14ac:dyDescent="0.3">
      <c r="P4579" s="349"/>
      <c r="Q4579" s="349"/>
    </row>
    <row r="4580" spans="16:17" x14ac:dyDescent="0.3">
      <c r="P4580" s="349"/>
      <c r="Q4580" s="349"/>
    </row>
    <row r="4581" spans="16:17" x14ac:dyDescent="0.3">
      <c r="P4581" s="349"/>
      <c r="Q4581" s="349"/>
    </row>
    <row r="4582" spans="16:17" x14ac:dyDescent="0.3">
      <c r="P4582" s="349"/>
      <c r="Q4582" s="349"/>
    </row>
    <row r="4583" spans="16:17" x14ac:dyDescent="0.3">
      <c r="P4583" s="349"/>
      <c r="Q4583" s="349"/>
    </row>
    <row r="4584" spans="16:17" x14ac:dyDescent="0.3">
      <c r="P4584" s="349"/>
      <c r="Q4584" s="349"/>
    </row>
    <row r="4585" spans="16:17" x14ac:dyDescent="0.3">
      <c r="P4585" s="349"/>
      <c r="Q4585" s="349"/>
    </row>
    <row r="4586" spans="16:17" x14ac:dyDescent="0.3">
      <c r="P4586" s="349"/>
      <c r="Q4586" s="349"/>
    </row>
    <row r="4587" spans="16:17" x14ac:dyDescent="0.3">
      <c r="P4587" s="349"/>
      <c r="Q4587" s="349"/>
    </row>
    <row r="4588" spans="16:17" x14ac:dyDescent="0.3">
      <c r="P4588" s="349"/>
      <c r="Q4588" s="349"/>
    </row>
    <row r="4589" spans="16:17" x14ac:dyDescent="0.3">
      <c r="P4589" s="349"/>
      <c r="Q4589" s="349"/>
    </row>
    <row r="4590" spans="16:17" x14ac:dyDescent="0.3">
      <c r="P4590" s="349"/>
      <c r="Q4590" s="349"/>
    </row>
    <row r="4591" spans="16:17" x14ac:dyDescent="0.3">
      <c r="P4591" s="349"/>
      <c r="Q4591" s="349"/>
    </row>
    <row r="4592" spans="16:17" x14ac:dyDescent="0.3">
      <c r="P4592" s="349"/>
      <c r="Q4592" s="349"/>
    </row>
    <row r="4593" spans="16:17" x14ac:dyDescent="0.3">
      <c r="P4593" s="349"/>
      <c r="Q4593" s="349"/>
    </row>
    <row r="4594" spans="16:17" x14ac:dyDescent="0.3">
      <c r="P4594" s="349"/>
      <c r="Q4594" s="349"/>
    </row>
    <row r="4595" spans="16:17" x14ac:dyDescent="0.3">
      <c r="P4595" s="349"/>
      <c r="Q4595" s="349"/>
    </row>
    <row r="4596" spans="16:17" x14ac:dyDescent="0.3">
      <c r="P4596" s="349"/>
      <c r="Q4596" s="349"/>
    </row>
    <row r="4597" spans="16:17" x14ac:dyDescent="0.3">
      <c r="P4597" s="349"/>
      <c r="Q4597" s="349"/>
    </row>
    <row r="4598" spans="16:17" x14ac:dyDescent="0.3">
      <c r="P4598" s="349"/>
      <c r="Q4598" s="349"/>
    </row>
    <row r="4599" spans="16:17" x14ac:dyDescent="0.3">
      <c r="P4599" s="349"/>
      <c r="Q4599" s="349"/>
    </row>
    <row r="4600" spans="16:17" x14ac:dyDescent="0.3">
      <c r="P4600" s="349"/>
      <c r="Q4600" s="349"/>
    </row>
    <row r="4601" spans="16:17" x14ac:dyDescent="0.3">
      <c r="P4601" s="349"/>
      <c r="Q4601" s="349"/>
    </row>
    <row r="4602" spans="16:17" x14ac:dyDescent="0.3">
      <c r="P4602" s="349"/>
      <c r="Q4602" s="349"/>
    </row>
    <row r="4603" spans="16:17" x14ac:dyDescent="0.3">
      <c r="P4603" s="349"/>
      <c r="Q4603" s="349"/>
    </row>
    <row r="4604" spans="16:17" x14ac:dyDescent="0.3">
      <c r="P4604" s="349"/>
      <c r="Q4604" s="349"/>
    </row>
    <row r="4605" spans="16:17" x14ac:dyDescent="0.3">
      <c r="P4605" s="349"/>
      <c r="Q4605" s="349"/>
    </row>
    <row r="4606" spans="16:17" x14ac:dyDescent="0.3">
      <c r="P4606" s="349"/>
      <c r="Q4606" s="349"/>
    </row>
    <row r="4607" spans="16:17" x14ac:dyDescent="0.3">
      <c r="P4607" s="349"/>
      <c r="Q4607" s="349"/>
    </row>
    <row r="4608" spans="16:17" x14ac:dyDescent="0.3">
      <c r="P4608" s="349"/>
      <c r="Q4608" s="349"/>
    </row>
    <row r="4609" spans="16:17" x14ac:dyDescent="0.3">
      <c r="P4609" s="349"/>
      <c r="Q4609" s="349"/>
    </row>
    <row r="4610" spans="16:17" x14ac:dyDescent="0.3">
      <c r="P4610" s="349"/>
      <c r="Q4610" s="349"/>
    </row>
    <row r="4611" spans="16:17" x14ac:dyDescent="0.3">
      <c r="P4611" s="349"/>
      <c r="Q4611" s="349"/>
    </row>
    <row r="4612" spans="16:17" x14ac:dyDescent="0.3">
      <c r="P4612" s="349"/>
      <c r="Q4612" s="349"/>
    </row>
    <row r="4613" spans="16:17" x14ac:dyDescent="0.3">
      <c r="P4613" s="349"/>
      <c r="Q4613" s="349"/>
    </row>
    <row r="4614" spans="16:17" x14ac:dyDescent="0.3">
      <c r="P4614" s="349"/>
      <c r="Q4614" s="349"/>
    </row>
    <row r="4615" spans="16:17" x14ac:dyDescent="0.3">
      <c r="P4615" s="349"/>
      <c r="Q4615" s="349"/>
    </row>
    <row r="4616" spans="16:17" x14ac:dyDescent="0.3">
      <c r="P4616" s="349"/>
      <c r="Q4616" s="349"/>
    </row>
    <row r="4617" spans="16:17" x14ac:dyDescent="0.3">
      <c r="P4617" s="349"/>
      <c r="Q4617" s="349"/>
    </row>
    <row r="4618" spans="16:17" x14ac:dyDescent="0.3">
      <c r="P4618" s="349"/>
      <c r="Q4618" s="349"/>
    </row>
    <row r="4619" spans="16:17" x14ac:dyDescent="0.3">
      <c r="P4619" s="349"/>
      <c r="Q4619" s="349"/>
    </row>
    <row r="4620" spans="16:17" x14ac:dyDescent="0.3">
      <c r="P4620" s="349"/>
      <c r="Q4620" s="349"/>
    </row>
    <row r="4621" spans="16:17" x14ac:dyDescent="0.3">
      <c r="P4621" s="349"/>
      <c r="Q4621" s="349"/>
    </row>
    <row r="4622" spans="16:17" x14ac:dyDescent="0.3">
      <c r="P4622" s="349"/>
      <c r="Q4622" s="349"/>
    </row>
    <row r="4623" spans="16:17" x14ac:dyDescent="0.3">
      <c r="P4623" s="349"/>
      <c r="Q4623" s="349"/>
    </row>
    <row r="4624" spans="16:17" x14ac:dyDescent="0.3">
      <c r="P4624" s="349"/>
      <c r="Q4624" s="349"/>
    </row>
    <row r="4625" spans="16:17" x14ac:dyDescent="0.3">
      <c r="P4625" s="349"/>
      <c r="Q4625" s="349"/>
    </row>
    <row r="4626" spans="16:17" x14ac:dyDescent="0.3">
      <c r="P4626" s="349"/>
      <c r="Q4626" s="349"/>
    </row>
    <row r="4627" spans="16:17" x14ac:dyDescent="0.3">
      <c r="P4627" s="349"/>
      <c r="Q4627" s="349"/>
    </row>
    <row r="4628" spans="16:17" x14ac:dyDescent="0.3">
      <c r="P4628" s="349"/>
      <c r="Q4628" s="349"/>
    </row>
    <row r="4629" spans="16:17" x14ac:dyDescent="0.3">
      <c r="P4629" s="349"/>
      <c r="Q4629" s="349"/>
    </row>
    <row r="4630" spans="16:17" x14ac:dyDescent="0.3">
      <c r="P4630" s="349"/>
      <c r="Q4630" s="349"/>
    </row>
    <row r="4631" spans="16:17" x14ac:dyDescent="0.3">
      <c r="P4631" s="349"/>
      <c r="Q4631" s="349"/>
    </row>
    <row r="4632" spans="16:17" x14ac:dyDescent="0.3">
      <c r="P4632" s="349"/>
      <c r="Q4632" s="349"/>
    </row>
    <row r="4633" spans="16:17" x14ac:dyDescent="0.3">
      <c r="P4633" s="349"/>
      <c r="Q4633" s="349"/>
    </row>
    <row r="4634" spans="16:17" x14ac:dyDescent="0.3">
      <c r="P4634" s="349"/>
      <c r="Q4634" s="349"/>
    </row>
    <row r="4635" spans="16:17" x14ac:dyDescent="0.3">
      <c r="P4635" s="349"/>
      <c r="Q4635" s="349"/>
    </row>
    <row r="4636" spans="16:17" x14ac:dyDescent="0.3">
      <c r="P4636" s="349"/>
      <c r="Q4636" s="349"/>
    </row>
    <row r="4637" spans="16:17" x14ac:dyDescent="0.3">
      <c r="P4637" s="349"/>
      <c r="Q4637" s="349"/>
    </row>
    <row r="4638" spans="16:17" x14ac:dyDescent="0.3">
      <c r="P4638" s="349"/>
      <c r="Q4638" s="349"/>
    </row>
    <row r="4639" spans="16:17" x14ac:dyDescent="0.3">
      <c r="P4639" s="349"/>
      <c r="Q4639" s="349"/>
    </row>
    <row r="4640" spans="16:17" x14ac:dyDescent="0.3">
      <c r="P4640" s="349"/>
      <c r="Q4640" s="349"/>
    </row>
    <row r="4641" spans="16:17" x14ac:dyDescent="0.3">
      <c r="P4641" s="349"/>
      <c r="Q4641" s="349"/>
    </row>
    <row r="4642" spans="16:17" x14ac:dyDescent="0.3">
      <c r="P4642" s="349"/>
      <c r="Q4642" s="349"/>
    </row>
    <row r="4643" spans="16:17" x14ac:dyDescent="0.3">
      <c r="P4643" s="349"/>
      <c r="Q4643" s="349"/>
    </row>
    <row r="4644" spans="16:17" x14ac:dyDescent="0.3">
      <c r="P4644" s="349"/>
      <c r="Q4644" s="349"/>
    </row>
    <row r="4645" spans="16:17" x14ac:dyDescent="0.3">
      <c r="P4645" s="349"/>
      <c r="Q4645" s="349"/>
    </row>
    <row r="4646" spans="16:17" x14ac:dyDescent="0.3">
      <c r="P4646" s="349"/>
      <c r="Q4646" s="349"/>
    </row>
    <row r="4647" spans="16:17" x14ac:dyDescent="0.3">
      <c r="P4647" s="349"/>
      <c r="Q4647" s="349"/>
    </row>
    <row r="4648" spans="16:17" x14ac:dyDescent="0.3">
      <c r="P4648" s="349"/>
      <c r="Q4648" s="349"/>
    </row>
    <row r="4649" spans="16:17" x14ac:dyDescent="0.3">
      <c r="P4649" s="349"/>
      <c r="Q4649" s="349"/>
    </row>
    <row r="4650" spans="16:17" x14ac:dyDescent="0.3">
      <c r="P4650" s="349"/>
      <c r="Q4650" s="349"/>
    </row>
    <row r="4651" spans="16:17" x14ac:dyDescent="0.3">
      <c r="P4651" s="349"/>
      <c r="Q4651" s="349"/>
    </row>
    <row r="4652" spans="16:17" x14ac:dyDescent="0.3">
      <c r="P4652" s="349"/>
      <c r="Q4652" s="349"/>
    </row>
    <row r="4653" spans="16:17" x14ac:dyDescent="0.3">
      <c r="P4653" s="349"/>
      <c r="Q4653" s="349"/>
    </row>
    <row r="4654" spans="16:17" x14ac:dyDescent="0.3">
      <c r="P4654" s="349"/>
      <c r="Q4654" s="349"/>
    </row>
    <row r="4655" spans="16:17" x14ac:dyDescent="0.3">
      <c r="P4655" s="349"/>
      <c r="Q4655" s="349"/>
    </row>
    <row r="4656" spans="16:17" x14ac:dyDescent="0.3">
      <c r="P4656" s="349"/>
      <c r="Q4656" s="349"/>
    </row>
    <row r="4657" spans="16:17" x14ac:dyDescent="0.3">
      <c r="P4657" s="349"/>
      <c r="Q4657" s="349"/>
    </row>
    <row r="4658" spans="16:17" x14ac:dyDescent="0.3">
      <c r="P4658" s="349"/>
      <c r="Q4658" s="349"/>
    </row>
    <row r="4659" spans="16:17" x14ac:dyDescent="0.3">
      <c r="P4659" s="349"/>
      <c r="Q4659" s="349"/>
    </row>
    <row r="4660" spans="16:17" x14ac:dyDescent="0.3">
      <c r="P4660" s="349"/>
      <c r="Q4660" s="349"/>
    </row>
    <row r="4661" spans="16:17" x14ac:dyDescent="0.3">
      <c r="P4661" s="349"/>
      <c r="Q4661" s="349"/>
    </row>
    <row r="4662" spans="16:17" x14ac:dyDescent="0.3">
      <c r="P4662" s="349"/>
      <c r="Q4662" s="349"/>
    </row>
    <row r="4663" spans="16:17" x14ac:dyDescent="0.3">
      <c r="P4663" s="349"/>
      <c r="Q4663" s="349"/>
    </row>
    <row r="4664" spans="16:17" x14ac:dyDescent="0.3">
      <c r="P4664" s="349"/>
      <c r="Q4664" s="349"/>
    </row>
    <row r="4665" spans="16:17" x14ac:dyDescent="0.3">
      <c r="P4665" s="349"/>
      <c r="Q4665" s="349"/>
    </row>
    <row r="4666" spans="16:17" x14ac:dyDescent="0.3">
      <c r="P4666" s="349"/>
      <c r="Q4666" s="349"/>
    </row>
    <row r="4667" spans="16:17" x14ac:dyDescent="0.3">
      <c r="P4667" s="349"/>
      <c r="Q4667" s="349"/>
    </row>
    <row r="4668" spans="16:17" x14ac:dyDescent="0.3">
      <c r="P4668" s="349"/>
      <c r="Q4668" s="349"/>
    </row>
    <row r="4669" spans="16:17" x14ac:dyDescent="0.3">
      <c r="P4669" s="349"/>
      <c r="Q4669" s="349"/>
    </row>
    <row r="4670" spans="16:17" x14ac:dyDescent="0.3">
      <c r="P4670" s="349"/>
      <c r="Q4670" s="349"/>
    </row>
    <row r="4671" spans="16:17" x14ac:dyDescent="0.3">
      <c r="P4671" s="349"/>
      <c r="Q4671" s="349"/>
    </row>
    <row r="4672" spans="16:17" x14ac:dyDescent="0.3">
      <c r="P4672" s="349"/>
      <c r="Q4672" s="349"/>
    </row>
    <row r="4673" spans="16:17" x14ac:dyDescent="0.3">
      <c r="P4673" s="349"/>
      <c r="Q4673" s="349"/>
    </row>
    <row r="4674" spans="16:17" x14ac:dyDescent="0.3">
      <c r="P4674" s="349"/>
      <c r="Q4674" s="349"/>
    </row>
    <row r="4675" spans="16:17" x14ac:dyDescent="0.3">
      <c r="P4675" s="349"/>
      <c r="Q4675" s="349"/>
    </row>
    <row r="4676" spans="16:17" x14ac:dyDescent="0.3">
      <c r="P4676" s="349"/>
      <c r="Q4676" s="349"/>
    </row>
    <row r="4677" spans="16:17" x14ac:dyDescent="0.3">
      <c r="P4677" s="349"/>
      <c r="Q4677" s="349"/>
    </row>
    <row r="4678" spans="16:17" x14ac:dyDescent="0.3">
      <c r="P4678" s="349"/>
      <c r="Q4678" s="349"/>
    </row>
    <row r="4679" spans="16:17" x14ac:dyDescent="0.3">
      <c r="P4679" s="349"/>
      <c r="Q4679" s="349"/>
    </row>
    <row r="4680" spans="16:17" x14ac:dyDescent="0.3">
      <c r="P4680" s="349"/>
      <c r="Q4680" s="349"/>
    </row>
    <row r="4681" spans="16:17" x14ac:dyDescent="0.3">
      <c r="P4681" s="349"/>
      <c r="Q4681" s="349"/>
    </row>
    <row r="4682" spans="16:17" x14ac:dyDescent="0.3">
      <c r="P4682" s="349"/>
      <c r="Q4682" s="349"/>
    </row>
    <row r="4683" spans="16:17" x14ac:dyDescent="0.3">
      <c r="P4683" s="349"/>
      <c r="Q4683" s="349"/>
    </row>
    <row r="4684" spans="16:17" x14ac:dyDescent="0.3">
      <c r="P4684" s="349"/>
      <c r="Q4684" s="349"/>
    </row>
    <row r="4685" spans="16:17" x14ac:dyDescent="0.3">
      <c r="P4685" s="349"/>
      <c r="Q4685" s="349"/>
    </row>
    <row r="4686" spans="16:17" x14ac:dyDescent="0.3">
      <c r="P4686" s="349"/>
      <c r="Q4686" s="349"/>
    </row>
    <row r="4687" spans="16:17" x14ac:dyDescent="0.3">
      <c r="P4687" s="349"/>
      <c r="Q4687" s="349"/>
    </row>
    <row r="4688" spans="16:17" x14ac:dyDescent="0.3">
      <c r="P4688" s="349"/>
      <c r="Q4688" s="349"/>
    </row>
    <row r="4689" spans="16:17" x14ac:dyDescent="0.3">
      <c r="P4689" s="349"/>
      <c r="Q4689" s="349"/>
    </row>
    <row r="4690" spans="16:17" x14ac:dyDescent="0.3">
      <c r="P4690" s="349"/>
      <c r="Q4690" s="349"/>
    </row>
    <row r="4691" spans="16:17" x14ac:dyDescent="0.3">
      <c r="P4691" s="349"/>
      <c r="Q4691" s="349"/>
    </row>
    <row r="4692" spans="16:17" x14ac:dyDescent="0.3">
      <c r="P4692" s="349"/>
      <c r="Q4692" s="349"/>
    </row>
    <row r="4693" spans="16:17" x14ac:dyDescent="0.3">
      <c r="P4693" s="349"/>
      <c r="Q4693" s="349"/>
    </row>
    <row r="4694" spans="16:17" x14ac:dyDescent="0.3">
      <c r="P4694" s="349"/>
      <c r="Q4694" s="349"/>
    </row>
    <row r="4695" spans="16:17" x14ac:dyDescent="0.3">
      <c r="P4695" s="349"/>
      <c r="Q4695" s="349"/>
    </row>
    <row r="4696" spans="16:17" x14ac:dyDescent="0.3">
      <c r="P4696" s="349"/>
      <c r="Q4696" s="349"/>
    </row>
    <row r="4697" spans="16:17" x14ac:dyDescent="0.3">
      <c r="P4697" s="349"/>
      <c r="Q4697" s="349"/>
    </row>
    <row r="4698" spans="16:17" x14ac:dyDescent="0.3">
      <c r="P4698" s="349"/>
      <c r="Q4698" s="349"/>
    </row>
    <row r="4699" spans="16:17" x14ac:dyDescent="0.3">
      <c r="P4699" s="349"/>
      <c r="Q4699" s="349"/>
    </row>
    <row r="4700" spans="16:17" x14ac:dyDescent="0.3">
      <c r="P4700" s="349"/>
      <c r="Q4700" s="349"/>
    </row>
    <row r="4701" spans="16:17" x14ac:dyDescent="0.3">
      <c r="P4701" s="349"/>
      <c r="Q4701" s="349"/>
    </row>
    <row r="4702" spans="16:17" x14ac:dyDescent="0.3">
      <c r="P4702" s="349"/>
      <c r="Q4702" s="349"/>
    </row>
    <row r="4703" spans="16:17" x14ac:dyDescent="0.3">
      <c r="P4703" s="349"/>
      <c r="Q4703" s="349"/>
    </row>
    <row r="4704" spans="16:17" x14ac:dyDescent="0.3">
      <c r="P4704" s="349"/>
      <c r="Q4704" s="349"/>
    </row>
    <row r="4705" spans="16:17" x14ac:dyDescent="0.3">
      <c r="P4705" s="349"/>
      <c r="Q4705" s="349"/>
    </row>
    <row r="4706" spans="16:17" x14ac:dyDescent="0.3">
      <c r="P4706" s="349"/>
      <c r="Q4706" s="349"/>
    </row>
    <row r="4707" spans="16:17" x14ac:dyDescent="0.3">
      <c r="P4707" s="349"/>
      <c r="Q4707" s="349"/>
    </row>
    <row r="4708" spans="16:17" x14ac:dyDescent="0.3">
      <c r="P4708" s="349"/>
      <c r="Q4708" s="349"/>
    </row>
    <row r="4709" spans="16:17" x14ac:dyDescent="0.3">
      <c r="P4709" s="349"/>
      <c r="Q4709" s="349"/>
    </row>
    <row r="4710" spans="16:17" x14ac:dyDescent="0.3">
      <c r="P4710" s="349"/>
      <c r="Q4710" s="349"/>
    </row>
    <row r="4711" spans="16:17" x14ac:dyDescent="0.3">
      <c r="P4711" s="349"/>
      <c r="Q4711" s="349"/>
    </row>
    <row r="4712" spans="16:17" x14ac:dyDescent="0.3">
      <c r="P4712" s="349"/>
      <c r="Q4712" s="349"/>
    </row>
    <row r="4713" spans="16:17" x14ac:dyDescent="0.3">
      <c r="P4713" s="349"/>
      <c r="Q4713" s="349"/>
    </row>
    <row r="4714" spans="16:17" x14ac:dyDescent="0.3">
      <c r="P4714" s="349"/>
      <c r="Q4714" s="349"/>
    </row>
    <row r="4715" spans="16:17" x14ac:dyDescent="0.3">
      <c r="P4715" s="349"/>
      <c r="Q4715" s="349"/>
    </row>
    <row r="4716" spans="16:17" x14ac:dyDescent="0.3">
      <c r="P4716" s="349"/>
      <c r="Q4716" s="349"/>
    </row>
    <row r="4717" spans="16:17" x14ac:dyDescent="0.3">
      <c r="P4717" s="349"/>
      <c r="Q4717" s="349"/>
    </row>
    <row r="4718" spans="16:17" x14ac:dyDescent="0.3">
      <c r="P4718" s="349"/>
      <c r="Q4718" s="349"/>
    </row>
    <row r="4719" spans="16:17" x14ac:dyDescent="0.3">
      <c r="P4719" s="349"/>
      <c r="Q4719" s="349"/>
    </row>
    <row r="4720" spans="16:17" x14ac:dyDescent="0.3">
      <c r="P4720" s="349"/>
      <c r="Q4720" s="349"/>
    </row>
    <row r="4721" spans="16:17" x14ac:dyDescent="0.3">
      <c r="P4721" s="349"/>
      <c r="Q4721" s="349"/>
    </row>
    <row r="4722" spans="16:17" x14ac:dyDescent="0.3">
      <c r="P4722" s="349"/>
      <c r="Q4722" s="349"/>
    </row>
    <row r="4723" spans="16:17" x14ac:dyDescent="0.3">
      <c r="P4723" s="349"/>
      <c r="Q4723" s="349"/>
    </row>
    <row r="4724" spans="16:17" x14ac:dyDescent="0.3">
      <c r="P4724" s="349"/>
      <c r="Q4724" s="349"/>
    </row>
    <row r="4725" spans="16:17" x14ac:dyDescent="0.3">
      <c r="P4725" s="349"/>
      <c r="Q4725" s="349"/>
    </row>
    <row r="4726" spans="16:17" x14ac:dyDescent="0.3">
      <c r="P4726" s="349"/>
      <c r="Q4726" s="349"/>
    </row>
    <row r="4727" spans="16:17" x14ac:dyDescent="0.3">
      <c r="P4727" s="349"/>
      <c r="Q4727" s="349"/>
    </row>
    <row r="4728" spans="16:17" x14ac:dyDescent="0.3">
      <c r="P4728" s="349"/>
      <c r="Q4728" s="349"/>
    </row>
    <row r="4729" spans="16:17" x14ac:dyDescent="0.3">
      <c r="P4729" s="349"/>
      <c r="Q4729" s="349"/>
    </row>
    <row r="4730" spans="16:17" x14ac:dyDescent="0.3">
      <c r="P4730" s="349"/>
      <c r="Q4730" s="349"/>
    </row>
    <row r="4731" spans="16:17" x14ac:dyDescent="0.3">
      <c r="P4731" s="349"/>
      <c r="Q4731" s="349"/>
    </row>
    <row r="4732" spans="16:17" x14ac:dyDescent="0.3">
      <c r="P4732" s="349"/>
      <c r="Q4732" s="349"/>
    </row>
    <row r="4733" spans="16:17" x14ac:dyDescent="0.3">
      <c r="P4733" s="349"/>
      <c r="Q4733" s="349"/>
    </row>
    <row r="4734" spans="16:17" x14ac:dyDescent="0.3">
      <c r="P4734" s="349"/>
      <c r="Q4734" s="349"/>
    </row>
    <row r="4735" spans="16:17" x14ac:dyDescent="0.3">
      <c r="P4735" s="349"/>
      <c r="Q4735" s="349"/>
    </row>
    <row r="4736" spans="16:17" x14ac:dyDescent="0.3">
      <c r="P4736" s="349"/>
      <c r="Q4736" s="349"/>
    </row>
    <row r="4737" spans="16:17" x14ac:dyDescent="0.3">
      <c r="P4737" s="349"/>
      <c r="Q4737" s="349"/>
    </row>
    <row r="4738" spans="16:17" x14ac:dyDescent="0.3">
      <c r="P4738" s="349"/>
      <c r="Q4738" s="349"/>
    </row>
    <row r="4739" spans="16:17" x14ac:dyDescent="0.3">
      <c r="P4739" s="349"/>
      <c r="Q4739" s="349"/>
    </row>
    <row r="4740" spans="16:17" x14ac:dyDescent="0.3">
      <c r="P4740" s="349"/>
      <c r="Q4740" s="349"/>
    </row>
    <row r="4741" spans="16:17" x14ac:dyDescent="0.3">
      <c r="P4741" s="349"/>
      <c r="Q4741" s="349"/>
    </row>
    <row r="4742" spans="16:17" x14ac:dyDescent="0.3">
      <c r="P4742" s="349"/>
      <c r="Q4742" s="349"/>
    </row>
    <row r="4743" spans="16:17" x14ac:dyDescent="0.3">
      <c r="P4743" s="349"/>
      <c r="Q4743" s="349"/>
    </row>
    <row r="4744" spans="16:17" x14ac:dyDescent="0.3">
      <c r="P4744" s="349"/>
      <c r="Q4744" s="349"/>
    </row>
    <row r="4745" spans="16:17" x14ac:dyDescent="0.3">
      <c r="P4745" s="349"/>
      <c r="Q4745" s="349"/>
    </row>
    <row r="4746" spans="16:17" x14ac:dyDescent="0.3">
      <c r="P4746" s="349"/>
      <c r="Q4746" s="349"/>
    </row>
    <row r="4747" spans="16:17" x14ac:dyDescent="0.3">
      <c r="P4747" s="349"/>
      <c r="Q4747" s="349"/>
    </row>
    <row r="4748" spans="16:17" x14ac:dyDescent="0.3">
      <c r="P4748" s="349"/>
      <c r="Q4748" s="349"/>
    </row>
    <row r="4749" spans="16:17" x14ac:dyDescent="0.3">
      <c r="P4749" s="349"/>
      <c r="Q4749" s="349"/>
    </row>
    <row r="4750" spans="16:17" x14ac:dyDescent="0.3">
      <c r="P4750" s="349"/>
      <c r="Q4750" s="349"/>
    </row>
    <row r="4751" spans="16:17" x14ac:dyDescent="0.3">
      <c r="P4751" s="349"/>
      <c r="Q4751" s="349"/>
    </row>
    <row r="4752" spans="16:17" x14ac:dyDescent="0.3">
      <c r="P4752" s="349"/>
      <c r="Q4752" s="349"/>
    </row>
    <row r="4753" spans="16:17" x14ac:dyDescent="0.3">
      <c r="P4753" s="349"/>
      <c r="Q4753" s="349"/>
    </row>
    <row r="4754" spans="16:17" x14ac:dyDescent="0.3">
      <c r="P4754" s="349"/>
      <c r="Q4754" s="349"/>
    </row>
    <row r="4755" spans="16:17" x14ac:dyDescent="0.3">
      <c r="P4755" s="349"/>
      <c r="Q4755" s="349"/>
    </row>
    <row r="4756" spans="16:17" x14ac:dyDescent="0.3">
      <c r="P4756" s="349"/>
      <c r="Q4756" s="349"/>
    </row>
    <row r="4757" spans="16:17" x14ac:dyDescent="0.3">
      <c r="P4757" s="349"/>
      <c r="Q4757" s="349"/>
    </row>
    <row r="4758" spans="16:17" x14ac:dyDescent="0.3">
      <c r="P4758" s="349"/>
      <c r="Q4758" s="349"/>
    </row>
    <row r="4759" spans="16:17" x14ac:dyDescent="0.3">
      <c r="P4759" s="349"/>
      <c r="Q4759" s="349"/>
    </row>
    <row r="4760" spans="16:17" x14ac:dyDescent="0.3">
      <c r="P4760" s="349"/>
      <c r="Q4760" s="349"/>
    </row>
    <row r="4761" spans="16:17" x14ac:dyDescent="0.3">
      <c r="P4761" s="349"/>
      <c r="Q4761" s="349"/>
    </row>
    <row r="4762" spans="16:17" x14ac:dyDescent="0.3">
      <c r="P4762" s="349"/>
      <c r="Q4762" s="349"/>
    </row>
    <row r="4763" spans="16:17" x14ac:dyDescent="0.3">
      <c r="P4763" s="349"/>
      <c r="Q4763" s="349"/>
    </row>
    <row r="4764" spans="16:17" x14ac:dyDescent="0.3">
      <c r="P4764" s="349"/>
      <c r="Q4764" s="349"/>
    </row>
    <row r="4765" spans="16:17" x14ac:dyDescent="0.3">
      <c r="P4765" s="349"/>
      <c r="Q4765" s="349"/>
    </row>
    <row r="4766" spans="16:17" x14ac:dyDescent="0.3">
      <c r="P4766" s="349"/>
      <c r="Q4766" s="349"/>
    </row>
    <row r="4767" spans="16:17" x14ac:dyDescent="0.3">
      <c r="P4767" s="349"/>
      <c r="Q4767" s="349"/>
    </row>
    <row r="4768" spans="16:17" x14ac:dyDescent="0.3">
      <c r="P4768" s="349"/>
      <c r="Q4768" s="349"/>
    </row>
    <row r="4769" spans="16:17" x14ac:dyDescent="0.3">
      <c r="P4769" s="349"/>
      <c r="Q4769" s="349"/>
    </row>
    <row r="4770" spans="16:17" x14ac:dyDescent="0.3">
      <c r="P4770" s="349"/>
      <c r="Q4770" s="349"/>
    </row>
    <row r="4771" spans="16:17" x14ac:dyDescent="0.3">
      <c r="P4771" s="349"/>
      <c r="Q4771" s="349"/>
    </row>
    <row r="4772" spans="16:17" x14ac:dyDescent="0.3">
      <c r="P4772" s="349"/>
      <c r="Q4772" s="349"/>
    </row>
    <row r="4773" spans="16:17" x14ac:dyDescent="0.3">
      <c r="P4773" s="349"/>
      <c r="Q4773" s="349"/>
    </row>
    <row r="4774" spans="16:17" x14ac:dyDescent="0.3">
      <c r="P4774" s="349"/>
      <c r="Q4774" s="349"/>
    </row>
    <row r="4775" spans="16:17" x14ac:dyDescent="0.3">
      <c r="P4775" s="349"/>
      <c r="Q4775" s="349"/>
    </row>
    <row r="4776" spans="16:17" x14ac:dyDescent="0.3">
      <c r="P4776" s="349"/>
      <c r="Q4776" s="349"/>
    </row>
    <row r="4777" spans="16:17" x14ac:dyDescent="0.3">
      <c r="P4777" s="349"/>
      <c r="Q4777" s="349"/>
    </row>
    <row r="4778" spans="16:17" x14ac:dyDescent="0.3">
      <c r="P4778" s="349"/>
      <c r="Q4778" s="349"/>
    </row>
    <row r="4779" spans="16:17" x14ac:dyDescent="0.3">
      <c r="P4779" s="349"/>
      <c r="Q4779" s="349"/>
    </row>
    <row r="4780" spans="16:17" x14ac:dyDescent="0.3">
      <c r="P4780" s="349"/>
      <c r="Q4780" s="349"/>
    </row>
    <row r="4781" spans="16:17" x14ac:dyDescent="0.3">
      <c r="P4781" s="349"/>
      <c r="Q4781" s="349"/>
    </row>
    <row r="4782" spans="16:17" x14ac:dyDescent="0.3">
      <c r="P4782" s="349"/>
      <c r="Q4782" s="349"/>
    </row>
    <row r="4783" spans="16:17" x14ac:dyDescent="0.3">
      <c r="P4783" s="349"/>
      <c r="Q4783" s="349"/>
    </row>
    <row r="4784" spans="16:17" x14ac:dyDescent="0.3">
      <c r="P4784" s="349"/>
      <c r="Q4784" s="349"/>
    </row>
    <row r="4785" spans="16:17" x14ac:dyDescent="0.3">
      <c r="P4785" s="349"/>
      <c r="Q4785" s="349"/>
    </row>
    <row r="4786" spans="16:17" x14ac:dyDescent="0.3">
      <c r="P4786" s="349"/>
      <c r="Q4786" s="349"/>
    </row>
    <row r="4787" spans="16:17" x14ac:dyDescent="0.3">
      <c r="P4787" s="349"/>
      <c r="Q4787" s="349"/>
    </row>
    <row r="4788" spans="16:17" x14ac:dyDescent="0.3">
      <c r="P4788" s="349"/>
      <c r="Q4788" s="349"/>
    </row>
    <row r="4789" spans="16:17" x14ac:dyDescent="0.3">
      <c r="P4789" s="349"/>
      <c r="Q4789" s="349"/>
    </row>
    <row r="4790" spans="16:17" x14ac:dyDescent="0.3">
      <c r="P4790" s="349"/>
      <c r="Q4790" s="349"/>
    </row>
    <row r="4791" spans="16:17" x14ac:dyDescent="0.3">
      <c r="P4791" s="349"/>
      <c r="Q4791" s="349"/>
    </row>
    <row r="4792" spans="16:17" x14ac:dyDescent="0.3">
      <c r="P4792" s="349"/>
      <c r="Q4792" s="349"/>
    </row>
    <row r="4793" spans="16:17" x14ac:dyDescent="0.3">
      <c r="P4793" s="349"/>
      <c r="Q4793" s="349"/>
    </row>
    <row r="4794" spans="16:17" x14ac:dyDescent="0.3">
      <c r="P4794" s="349"/>
      <c r="Q4794" s="349"/>
    </row>
    <row r="4795" spans="16:17" x14ac:dyDescent="0.3">
      <c r="P4795" s="349"/>
      <c r="Q4795" s="349"/>
    </row>
    <row r="4796" spans="16:17" x14ac:dyDescent="0.3">
      <c r="P4796" s="349"/>
      <c r="Q4796" s="349"/>
    </row>
    <row r="4797" spans="16:17" x14ac:dyDescent="0.3">
      <c r="P4797" s="349"/>
      <c r="Q4797" s="349"/>
    </row>
    <row r="4798" spans="16:17" x14ac:dyDescent="0.3">
      <c r="P4798" s="349"/>
      <c r="Q4798" s="349"/>
    </row>
    <row r="4799" spans="16:17" x14ac:dyDescent="0.3">
      <c r="P4799" s="349"/>
      <c r="Q4799" s="349"/>
    </row>
    <row r="4800" spans="16:17" x14ac:dyDescent="0.3">
      <c r="P4800" s="349"/>
      <c r="Q4800" s="349"/>
    </row>
    <row r="4801" spans="16:17" x14ac:dyDescent="0.3">
      <c r="P4801" s="349"/>
      <c r="Q4801" s="349"/>
    </row>
    <row r="4802" spans="16:17" x14ac:dyDescent="0.3">
      <c r="P4802" s="349"/>
      <c r="Q4802" s="349"/>
    </row>
    <row r="4803" spans="16:17" x14ac:dyDescent="0.3">
      <c r="P4803" s="349"/>
      <c r="Q4803" s="349"/>
    </row>
    <row r="4804" spans="16:17" x14ac:dyDescent="0.3">
      <c r="P4804" s="349"/>
      <c r="Q4804" s="349"/>
    </row>
    <row r="4805" spans="16:17" x14ac:dyDescent="0.3">
      <c r="P4805" s="349"/>
      <c r="Q4805" s="349"/>
    </row>
    <row r="4806" spans="16:17" x14ac:dyDescent="0.3">
      <c r="P4806" s="349"/>
      <c r="Q4806" s="349"/>
    </row>
    <row r="4807" spans="16:17" x14ac:dyDescent="0.3">
      <c r="P4807" s="349"/>
      <c r="Q4807" s="349"/>
    </row>
    <row r="4808" spans="16:17" x14ac:dyDescent="0.3">
      <c r="P4808" s="349"/>
      <c r="Q4808" s="349"/>
    </row>
    <row r="4809" spans="16:17" x14ac:dyDescent="0.3">
      <c r="P4809" s="349"/>
      <c r="Q4809" s="349"/>
    </row>
    <row r="4810" spans="16:17" x14ac:dyDescent="0.3">
      <c r="P4810" s="349"/>
      <c r="Q4810" s="349"/>
    </row>
    <row r="4811" spans="16:17" x14ac:dyDescent="0.3">
      <c r="P4811" s="349"/>
      <c r="Q4811" s="349"/>
    </row>
    <row r="4812" spans="16:17" x14ac:dyDescent="0.3">
      <c r="P4812" s="349"/>
      <c r="Q4812" s="349"/>
    </row>
    <row r="4813" spans="16:17" x14ac:dyDescent="0.3">
      <c r="P4813" s="349"/>
      <c r="Q4813" s="349"/>
    </row>
    <row r="4814" spans="16:17" x14ac:dyDescent="0.3">
      <c r="P4814" s="349"/>
      <c r="Q4814" s="349"/>
    </row>
    <row r="4815" spans="16:17" x14ac:dyDescent="0.3">
      <c r="P4815" s="349"/>
      <c r="Q4815" s="349"/>
    </row>
    <row r="4816" spans="16:17" x14ac:dyDescent="0.3">
      <c r="P4816" s="349"/>
      <c r="Q4816" s="349"/>
    </row>
    <row r="4817" spans="16:17" x14ac:dyDescent="0.3">
      <c r="P4817" s="349"/>
      <c r="Q4817" s="349"/>
    </row>
    <row r="4818" spans="16:17" x14ac:dyDescent="0.3">
      <c r="P4818" s="349"/>
      <c r="Q4818" s="349"/>
    </row>
    <row r="4819" spans="16:17" x14ac:dyDescent="0.3">
      <c r="P4819" s="349"/>
      <c r="Q4819" s="349"/>
    </row>
    <row r="4820" spans="16:17" x14ac:dyDescent="0.3">
      <c r="P4820" s="349"/>
      <c r="Q4820" s="349"/>
    </row>
    <row r="4821" spans="16:17" x14ac:dyDescent="0.3">
      <c r="P4821" s="349"/>
      <c r="Q4821" s="349"/>
    </row>
    <row r="4822" spans="16:17" x14ac:dyDescent="0.3">
      <c r="P4822" s="349"/>
      <c r="Q4822" s="349"/>
    </row>
    <row r="4823" spans="16:17" x14ac:dyDescent="0.3">
      <c r="P4823" s="349"/>
      <c r="Q4823" s="349"/>
    </row>
    <row r="4824" spans="16:17" x14ac:dyDescent="0.3">
      <c r="P4824" s="349"/>
      <c r="Q4824" s="349"/>
    </row>
    <row r="4825" spans="16:17" x14ac:dyDescent="0.3">
      <c r="P4825" s="349"/>
      <c r="Q4825" s="349"/>
    </row>
    <row r="4826" spans="16:17" x14ac:dyDescent="0.3">
      <c r="P4826" s="349"/>
      <c r="Q4826" s="349"/>
    </row>
    <row r="4827" spans="16:17" x14ac:dyDescent="0.3">
      <c r="P4827" s="349"/>
      <c r="Q4827" s="349"/>
    </row>
    <row r="4828" spans="16:17" x14ac:dyDescent="0.3">
      <c r="P4828" s="349"/>
      <c r="Q4828" s="349"/>
    </row>
    <row r="4829" spans="16:17" x14ac:dyDescent="0.3">
      <c r="P4829" s="349"/>
      <c r="Q4829" s="349"/>
    </row>
    <row r="4830" spans="16:17" x14ac:dyDescent="0.3">
      <c r="P4830" s="349"/>
      <c r="Q4830" s="349"/>
    </row>
    <row r="4831" spans="16:17" x14ac:dyDescent="0.3">
      <c r="P4831" s="349"/>
      <c r="Q4831" s="349"/>
    </row>
    <row r="4832" spans="16:17" x14ac:dyDescent="0.3">
      <c r="P4832" s="349"/>
      <c r="Q4832" s="349"/>
    </row>
    <row r="4833" spans="16:17" x14ac:dyDescent="0.3">
      <c r="P4833" s="349"/>
      <c r="Q4833" s="349"/>
    </row>
    <row r="4834" spans="16:17" x14ac:dyDescent="0.3">
      <c r="P4834" s="349"/>
      <c r="Q4834" s="349"/>
    </row>
    <row r="4835" spans="16:17" x14ac:dyDescent="0.3">
      <c r="P4835" s="349"/>
      <c r="Q4835" s="349"/>
    </row>
    <row r="4836" spans="16:17" x14ac:dyDescent="0.3">
      <c r="P4836" s="349"/>
      <c r="Q4836" s="349"/>
    </row>
    <row r="4837" spans="16:17" x14ac:dyDescent="0.3">
      <c r="P4837" s="349"/>
      <c r="Q4837" s="349"/>
    </row>
    <row r="4838" spans="16:17" x14ac:dyDescent="0.3">
      <c r="P4838" s="349"/>
      <c r="Q4838" s="349"/>
    </row>
    <row r="4839" spans="16:17" x14ac:dyDescent="0.3">
      <c r="P4839" s="349"/>
      <c r="Q4839" s="349"/>
    </row>
    <row r="4840" spans="16:17" x14ac:dyDescent="0.3">
      <c r="P4840" s="349"/>
      <c r="Q4840" s="349"/>
    </row>
    <row r="4841" spans="16:17" x14ac:dyDescent="0.3">
      <c r="P4841" s="349"/>
      <c r="Q4841" s="349"/>
    </row>
    <row r="4842" spans="16:17" x14ac:dyDescent="0.3">
      <c r="P4842" s="349"/>
      <c r="Q4842" s="349"/>
    </row>
    <row r="4843" spans="16:17" x14ac:dyDescent="0.3">
      <c r="P4843" s="349"/>
      <c r="Q4843" s="349"/>
    </row>
    <row r="4844" spans="16:17" x14ac:dyDescent="0.3">
      <c r="P4844" s="349"/>
      <c r="Q4844" s="349"/>
    </row>
    <row r="4845" spans="16:17" x14ac:dyDescent="0.3">
      <c r="P4845" s="349"/>
      <c r="Q4845" s="349"/>
    </row>
    <row r="4846" spans="16:17" x14ac:dyDescent="0.3">
      <c r="P4846" s="349"/>
      <c r="Q4846" s="349"/>
    </row>
    <row r="4847" spans="16:17" x14ac:dyDescent="0.3">
      <c r="P4847" s="349"/>
      <c r="Q4847" s="349"/>
    </row>
    <row r="4848" spans="16:17" x14ac:dyDescent="0.3">
      <c r="P4848" s="349"/>
      <c r="Q4848" s="349"/>
    </row>
    <row r="4849" spans="16:17" x14ac:dyDescent="0.3">
      <c r="P4849" s="349"/>
      <c r="Q4849" s="349"/>
    </row>
    <row r="4850" spans="16:17" x14ac:dyDescent="0.3">
      <c r="P4850" s="349"/>
      <c r="Q4850" s="349"/>
    </row>
    <row r="4851" spans="16:17" x14ac:dyDescent="0.3">
      <c r="P4851" s="349"/>
      <c r="Q4851" s="349"/>
    </row>
    <row r="4852" spans="16:17" x14ac:dyDescent="0.3">
      <c r="P4852" s="349"/>
      <c r="Q4852" s="349"/>
    </row>
    <row r="4853" spans="16:17" x14ac:dyDescent="0.3">
      <c r="P4853" s="349"/>
      <c r="Q4853" s="349"/>
    </row>
    <row r="4854" spans="16:17" x14ac:dyDescent="0.3">
      <c r="P4854" s="349"/>
      <c r="Q4854" s="349"/>
    </row>
    <row r="4855" spans="16:17" x14ac:dyDescent="0.3">
      <c r="P4855" s="349"/>
      <c r="Q4855" s="349"/>
    </row>
    <row r="4856" spans="16:17" x14ac:dyDescent="0.3">
      <c r="P4856" s="349"/>
      <c r="Q4856" s="349"/>
    </row>
    <row r="4857" spans="16:17" x14ac:dyDescent="0.3">
      <c r="P4857" s="349"/>
      <c r="Q4857" s="349"/>
    </row>
    <row r="4858" spans="16:17" x14ac:dyDescent="0.3">
      <c r="P4858" s="349"/>
      <c r="Q4858" s="349"/>
    </row>
    <row r="4859" spans="16:17" x14ac:dyDescent="0.3">
      <c r="P4859" s="349"/>
      <c r="Q4859" s="349"/>
    </row>
    <row r="4860" spans="16:17" x14ac:dyDescent="0.3">
      <c r="P4860" s="349"/>
      <c r="Q4860" s="349"/>
    </row>
    <row r="4861" spans="16:17" x14ac:dyDescent="0.3">
      <c r="P4861" s="349"/>
      <c r="Q4861" s="349"/>
    </row>
    <row r="4862" spans="16:17" x14ac:dyDescent="0.3">
      <c r="P4862" s="349"/>
      <c r="Q4862" s="349"/>
    </row>
    <row r="4863" spans="16:17" x14ac:dyDescent="0.3">
      <c r="P4863" s="349"/>
      <c r="Q4863" s="349"/>
    </row>
    <row r="4864" spans="16:17" x14ac:dyDescent="0.3">
      <c r="P4864" s="349"/>
      <c r="Q4864" s="349"/>
    </row>
    <row r="4865" spans="16:17" x14ac:dyDescent="0.3">
      <c r="P4865" s="349"/>
      <c r="Q4865" s="349"/>
    </row>
    <row r="4866" spans="16:17" x14ac:dyDescent="0.3">
      <c r="P4866" s="349"/>
      <c r="Q4866" s="349"/>
    </row>
    <row r="4867" spans="16:17" x14ac:dyDescent="0.3">
      <c r="P4867" s="349"/>
      <c r="Q4867" s="349"/>
    </row>
    <row r="4868" spans="16:17" x14ac:dyDescent="0.3">
      <c r="P4868" s="349"/>
      <c r="Q4868" s="349"/>
    </row>
    <row r="4869" spans="16:17" x14ac:dyDescent="0.3">
      <c r="P4869" s="349"/>
      <c r="Q4869" s="349"/>
    </row>
    <row r="4870" spans="16:17" x14ac:dyDescent="0.3">
      <c r="P4870" s="349"/>
      <c r="Q4870" s="349"/>
    </row>
    <row r="4871" spans="16:17" x14ac:dyDescent="0.3">
      <c r="P4871" s="349"/>
      <c r="Q4871" s="349"/>
    </row>
    <row r="4872" spans="16:17" x14ac:dyDescent="0.3">
      <c r="P4872" s="349"/>
      <c r="Q4872" s="349"/>
    </row>
    <row r="4873" spans="16:17" x14ac:dyDescent="0.3">
      <c r="P4873" s="349"/>
      <c r="Q4873" s="349"/>
    </row>
    <row r="4874" spans="16:17" x14ac:dyDescent="0.3">
      <c r="P4874" s="349"/>
      <c r="Q4874" s="349"/>
    </row>
    <row r="4875" spans="16:17" x14ac:dyDescent="0.3">
      <c r="P4875" s="349"/>
      <c r="Q4875" s="349"/>
    </row>
    <row r="4876" spans="16:17" x14ac:dyDescent="0.3">
      <c r="P4876" s="349"/>
      <c r="Q4876" s="349"/>
    </row>
    <row r="4877" spans="16:17" x14ac:dyDescent="0.3">
      <c r="P4877" s="349"/>
      <c r="Q4877" s="349"/>
    </row>
    <row r="4878" spans="16:17" x14ac:dyDescent="0.3">
      <c r="P4878" s="349"/>
      <c r="Q4878" s="349"/>
    </row>
    <row r="4879" spans="16:17" x14ac:dyDescent="0.3">
      <c r="P4879" s="349"/>
      <c r="Q4879" s="349"/>
    </row>
    <row r="4880" spans="16:17" x14ac:dyDescent="0.3">
      <c r="P4880" s="349"/>
      <c r="Q4880" s="349"/>
    </row>
    <row r="4881" spans="16:17" x14ac:dyDescent="0.3">
      <c r="P4881" s="349"/>
      <c r="Q4881" s="349"/>
    </row>
    <row r="4882" spans="16:17" x14ac:dyDescent="0.3">
      <c r="P4882" s="349"/>
      <c r="Q4882" s="349"/>
    </row>
    <row r="4883" spans="16:17" x14ac:dyDescent="0.3">
      <c r="P4883" s="349"/>
      <c r="Q4883" s="349"/>
    </row>
    <row r="4884" spans="16:17" x14ac:dyDescent="0.3">
      <c r="P4884" s="349"/>
      <c r="Q4884" s="349"/>
    </row>
    <row r="4885" spans="16:17" x14ac:dyDescent="0.3">
      <c r="P4885" s="349"/>
      <c r="Q4885" s="349"/>
    </row>
    <row r="4886" spans="16:17" x14ac:dyDescent="0.3">
      <c r="P4886" s="349"/>
      <c r="Q4886" s="349"/>
    </row>
    <row r="4887" spans="16:17" x14ac:dyDescent="0.3">
      <c r="P4887" s="349"/>
      <c r="Q4887" s="349"/>
    </row>
    <row r="4888" spans="16:17" x14ac:dyDescent="0.3">
      <c r="P4888" s="349"/>
      <c r="Q4888" s="349"/>
    </row>
    <row r="4889" spans="16:17" x14ac:dyDescent="0.3">
      <c r="P4889" s="349"/>
      <c r="Q4889" s="349"/>
    </row>
    <row r="4890" spans="16:17" x14ac:dyDescent="0.3">
      <c r="P4890" s="349"/>
      <c r="Q4890" s="349"/>
    </row>
    <row r="4891" spans="16:17" x14ac:dyDescent="0.3">
      <c r="P4891" s="349"/>
      <c r="Q4891" s="349"/>
    </row>
    <row r="4892" spans="16:17" x14ac:dyDescent="0.3">
      <c r="P4892" s="349"/>
      <c r="Q4892" s="349"/>
    </row>
    <row r="4893" spans="16:17" x14ac:dyDescent="0.3">
      <c r="P4893" s="349"/>
      <c r="Q4893" s="349"/>
    </row>
    <row r="4894" spans="16:17" x14ac:dyDescent="0.3">
      <c r="P4894" s="349"/>
      <c r="Q4894" s="349"/>
    </row>
    <row r="4895" spans="16:17" x14ac:dyDescent="0.3">
      <c r="P4895" s="349"/>
      <c r="Q4895" s="349"/>
    </row>
    <row r="4896" spans="16:17" x14ac:dyDescent="0.3">
      <c r="P4896" s="349"/>
      <c r="Q4896" s="349"/>
    </row>
    <row r="4897" spans="16:17" x14ac:dyDescent="0.3">
      <c r="P4897" s="349"/>
      <c r="Q4897" s="349"/>
    </row>
    <row r="4898" spans="16:17" x14ac:dyDescent="0.3">
      <c r="P4898" s="349"/>
      <c r="Q4898" s="349"/>
    </row>
    <row r="4899" spans="16:17" x14ac:dyDescent="0.3">
      <c r="P4899" s="349"/>
      <c r="Q4899" s="349"/>
    </row>
    <row r="4900" spans="16:17" x14ac:dyDescent="0.3">
      <c r="P4900" s="349"/>
      <c r="Q4900" s="349"/>
    </row>
    <row r="4901" spans="16:17" x14ac:dyDescent="0.3">
      <c r="P4901" s="349"/>
      <c r="Q4901" s="349"/>
    </row>
    <row r="4902" spans="16:17" x14ac:dyDescent="0.3">
      <c r="P4902" s="349"/>
      <c r="Q4902" s="349"/>
    </row>
    <row r="4903" spans="16:17" x14ac:dyDescent="0.3">
      <c r="P4903" s="349"/>
      <c r="Q4903" s="349"/>
    </row>
    <row r="4904" spans="16:17" x14ac:dyDescent="0.3">
      <c r="P4904" s="349"/>
      <c r="Q4904" s="349"/>
    </row>
    <row r="4905" spans="16:17" x14ac:dyDescent="0.3">
      <c r="P4905" s="349"/>
      <c r="Q4905" s="349"/>
    </row>
    <row r="4906" spans="16:17" x14ac:dyDescent="0.3">
      <c r="P4906" s="349"/>
      <c r="Q4906" s="349"/>
    </row>
    <row r="4907" spans="16:17" x14ac:dyDescent="0.3">
      <c r="P4907" s="349"/>
      <c r="Q4907" s="349"/>
    </row>
    <row r="4908" spans="16:17" x14ac:dyDescent="0.3">
      <c r="P4908" s="349"/>
      <c r="Q4908" s="349"/>
    </row>
    <row r="4909" spans="16:17" x14ac:dyDescent="0.3">
      <c r="P4909" s="349"/>
      <c r="Q4909" s="349"/>
    </row>
    <row r="4910" spans="16:17" x14ac:dyDescent="0.3">
      <c r="P4910" s="349"/>
      <c r="Q4910" s="349"/>
    </row>
    <row r="4911" spans="16:17" x14ac:dyDescent="0.3">
      <c r="P4911" s="349"/>
      <c r="Q4911" s="349"/>
    </row>
    <row r="4912" spans="16:17" x14ac:dyDescent="0.3">
      <c r="P4912" s="349"/>
      <c r="Q4912" s="349"/>
    </row>
    <row r="4913" spans="16:17" x14ac:dyDescent="0.3">
      <c r="P4913" s="349"/>
      <c r="Q4913" s="349"/>
    </row>
    <row r="4914" spans="16:17" x14ac:dyDescent="0.3">
      <c r="P4914" s="349"/>
      <c r="Q4914" s="349"/>
    </row>
    <row r="4915" spans="16:17" x14ac:dyDescent="0.3">
      <c r="P4915" s="349"/>
      <c r="Q4915" s="349"/>
    </row>
    <row r="4916" spans="16:17" x14ac:dyDescent="0.3">
      <c r="P4916" s="349"/>
      <c r="Q4916" s="349"/>
    </row>
    <row r="4917" spans="16:17" x14ac:dyDescent="0.3">
      <c r="P4917" s="349"/>
      <c r="Q4917" s="349"/>
    </row>
    <row r="4918" spans="16:17" x14ac:dyDescent="0.3">
      <c r="P4918" s="349"/>
      <c r="Q4918" s="349"/>
    </row>
    <row r="4919" spans="16:17" x14ac:dyDescent="0.3">
      <c r="P4919" s="349"/>
      <c r="Q4919" s="349"/>
    </row>
    <row r="4920" spans="16:17" x14ac:dyDescent="0.3">
      <c r="P4920" s="349"/>
      <c r="Q4920" s="349"/>
    </row>
    <row r="4921" spans="16:17" x14ac:dyDescent="0.3">
      <c r="P4921" s="349"/>
      <c r="Q4921" s="349"/>
    </row>
    <row r="4922" spans="16:17" x14ac:dyDescent="0.3">
      <c r="P4922" s="349"/>
      <c r="Q4922" s="349"/>
    </row>
    <row r="4923" spans="16:17" x14ac:dyDescent="0.3">
      <c r="P4923" s="349"/>
      <c r="Q4923" s="349"/>
    </row>
    <row r="4924" spans="16:17" x14ac:dyDescent="0.3">
      <c r="P4924" s="349"/>
      <c r="Q4924" s="349"/>
    </row>
    <row r="4925" spans="16:17" x14ac:dyDescent="0.3">
      <c r="P4925" s="349"/>
      <c r="Q4925" s="349"/>
    </row>
    <row r="4926" spans="16:17" x14ac:dyDescent="0.3">
      <c r="P4926" s="349"/>
      <c r="Q4926" s="349"/>
    </row>
    <row r="4927" spans="16:17" x14ac:dyDescent="0.3">
      <c r="P4927" s="349"/>
      <c r="Q4927" s="349"/>
    </row>
    <row r="4928" spans="16:17" x14ac:dyDescent="0.3">
      <c r="P4928" s="349"/>
      <c r="Q4928" s="349"/>
    </row>
    <row r="4929" spans="16:17" x14ac:dyDescent="0.3">
      <c r="P4929" s="349"/>
      <c r="Q4929" s="349"/>
    </row>
    <row r="4930" spans="16:17" x14ac:dyDescent="0.3">
      <c r="P4930" s="349"/>
      <c r="Q4930" s="349"/>
    </row>
    <row r="4931" spans="16:17" x14ac:dyDescent="0.3">
      <c r="P4931" s="349"/>
      <c r="Q4931" s="349"/>
    </row>
    <row r="4932" spans="16:17" x14ac:dyDescent="0.3">
      <c r="P4932" s="349"/>
      <c r="Q4932" s="349"/>
    </row>
    <row r="4933" spans="16:17" x14ac:dyDescent="0.3">
      <c r="P4933" s="349"/>
      <c r="Q4933" s="349"/>
    </row>
    <row r="4934" spans="16:17" x14ac:dyDescent="0.3">
      <c r="P4934" s="349"/>
      <c r="Q4934" s="349"/>
    </row>
    <row r="4935" spans="16:17" x14ac:dyDescent="0.3">
      <c r="P4935" s="349"/>
      <c r="Q4935" s="349"/>
    </row>
    <row r="4936" spans="16:17" x14ac:dyDescent="0.3">
      <c r="P4936" s="349"/>
      <c r="Q4936" s="349"/>
    </row>
    <row r="4937" spans="16:17" x14ac:dyDescent="0.3">
      <c r="P4937" s="349"/>
      <c r="Q4937" s="349"/>
    </row>
    <row r="4938" spans="16:17" x14ac:dyDescent="0.3">
      <c r="P4938" s="349"/>
      <c r="Q4938" s="349"/>
    </row>
    <row r="4939" spans="16:17" x14ac:dyDescent="0.3">
      <c r="P4939" s="349"/>
      <c r="Q4939" s="349"/>
    </row>
    <row r="4940" spans="16:17" x14ac:dyDescent="0.3">
      <c r="P4940" s="349"/>
      <c r="Q4940" s="349"/>
    </row>
    <row r="4941" spans="16:17" x14ac:dyDescent="0.3">
      <c r="P4941" s="349"/>
      <c r="Q4941" s="349"/>
    </row>
    <row r="4942" spans="16:17" x14ac:dyDescent="0.3">
      <c r="P4942" s="349"/>
      <c r="Q4942" s="349"/>
    </row>
    <row r="4943" spans="16:17" x14ac:dyDescent="0.3">
      <c r="P4943" s="349"/>
      <c r="Q4943" s="349"/>
    </row>
    <row r="4944" spans="16:17" x14ac:dyDescent="0.3">
      <c r="P4944" s="349"/>
      <c r="Q4944" s="349"/>
    </row>
    <row r="4945" spans="16:17" x14ac:dyDescent="0.3">
      <c r="P4945" s="349"/>
      <c r="Q4945" s="349"/>
    </row>
    <row r="4946" spans="16:17" x14ac:dyDescent="0.3">
      <c r="P4946" s="349"/>
      <c r="Q4946" s="349"/>
    </row>
    <row r="4947" spans="16:17" x14ac:dyDescent="0.3">
      <c r="P4947" s="349"/>
      <c r="Q4947" s="349"/>
    </row>
    <row r="4948" spans="16:17" x14ac:dyDescent="0.3">
      <c r="P4948" s="349"/>
      <c r="Q4948" s="349"/>
    </row>
    <row r="4949" spans="16:17" x14ac:dyDescent="0.3">
      <c r="P4949" s="349"/>
      <c r="Q4949" s="349"/>
    </row>
    <row r="4950" spans="16:17" x14ac:dyDescent="0.3">
      <c r="P4950" s="349"/>
      <c r="Q4950" s="349"/>
    </row>
    <row r="4951" spans="16:17" x14ac:dyDescent="0.3">
      <c r="P4951" s="349"/>
      <c r="Q4951" s="349"/>
    </row>
    <row r="4952" spans="16:17" x14ac:dyDescent="0.3">
      <c r="P4952" s="349"/>
      <c r="Q4952" s="349"/>
    </row>
    <row r="4953" spans="16:17" x14ac:dyDescent="0.3">
      <c r="P4953" s="349"/>
      <c r="Q4953" s="349"/>
    </row>
    <row r="4954" spans="16:17" x14ac:dyDescent="0.3">
      <c r="P4954" s="349"/>
      <c r="Q4954" s="349"/>
    </row>
    <row r="4955" spans="16:17" x14ac:dyDescent="0.3">
      <c r="P4955" s="349"/>
      <c r="Q4955" s="349"/>
    </row>
    <row r="4956" spans="16:17" x14ac:dyDescent="0.3">
      <c r="P4956" s="349"/>
      <c r="Q4956" s="349"/>
    </row>
    <row r="4957" spans="16:17" x14ac:dyDescent="0.3">
      <c r="P4957" s="349"/>
      <c r="Q4957" s="349"/>
    </row>
    <row r="4958" spans="16:17" x14ac:dyDescent="0.3">
      <c r="P4958" s="349"/>
      <c r="Q4958" s="349"/>
    </row>
    <row r="4959" spans="16:17" x14ac:dyDescent="0.3">
      <c r="P4959" s="349"/>
      <c r="Q4959" s="349"/>
    </row>
    <row r="4960" spans="16:17" x14ac:dyDescent="0.3">
      <c r="P4960" s="349"/>
      <c r="Q4960" s="349"/>
    </row>
    <row r="4961" spans="16:17" x14ac:dyDescent="0.3">
      <c r="P4961" s="349"/>
      <c r="Q4961" s="349"/>
    </row>
    <row r="4962" spans="16:17" x14ac:dyDescent="0.3">
      <c r="P4962" s="349"/>
      <c r="Q4962" s="349"/>
    </row>
    <row r="4963" spans="16:17" x14ac:dyDescent="0.3">
      <c r="P4963" s="349"/>
      <c r="Q4963" s="349"/>
    </row>
    <row r="4964" spans="16:17" x14ac:dyDescent="0.3">
      <c r="P4964" s="349"/>
      <c r="Q4964" s="349"/>
    </row>
    <row r="4965" spans="16:17" x14ac:dyDescent="0.3">
      <c r="P4965" s="349"/>
      <c r="Q4965" s="349"/>
    </row>
    <row r="4966" spans="16:17" x14ac:dyDescent="0.3">
      <c r="P4966" s="349"/>
      <c r="Q4966" s="349"/>
    </row>
    <row r="4967" spans="16:17" x14ac:dyDescent="0.3">
      <c r="P4967" s="349"/>
      <c r="Q4967" s="349"/>
    </row>
    <row r="4968" spans="16:17" x14ac:dyDescent="0.3">
      <c r="P4968" s="349"/>
      <c r="Q4968" s="349"/>
    </row>
    <row r="4969" spans="16:17" x14ac:dyDescent="0.3">
      <c r="P4969" s="349"/>
      <c r="Q4969" s="349"/>
    </row>
    <row r="4970" spans="16:17" x14ac:dyDescent="0.3">
      <c r="P4970" s="349"/>
      <c r="Q4970" s="349"/>
    </row>
    <row r="4971" spans="16:17" x14ac:dyDescent="0.3">
      <c r="P4971" s="349"/>
      <c r="Q4971" s="349"/>
    </row>
    <row r="4972" spans="16:17" x14ac:dyDescent="0.3">
      <c r="P4972" s="349"/>
      <c r="Q4972" s="349"/>
    </row>
    <row r="4973" spans="16:17" x14ac:dyDescent="0.3">
      <c r="P4973" s="349"/>
      <c r="Q4973" s="349"/>
    </row>
    <row r="4974" spans="16:17" x14ac:dyDescent="0.3">
      <c r="P4974" s="349"/>
      <c r="Q4974" s="349"/>
    </row>
    <row r="4975" spans="16:17" x14ac:dyDescent="0.3">
      <c r="P4975" s="349"/>
      <c r="Q4975" s="349"/>
    </row>
    <row r="4976" spans="16:17" x14ac:dyDescent="0.3">
      <c r="P4976" s="349"/>
      <c r="Q4976" s="349"/>
    </row>
    <row r="4977" spans="16:17" x14ac:dyDescent="0.3">
      <c r="P4977" s="349"/>
      <c r="Q4977" s="349"/>
    </row>
    <row r="4978" spans="16:17" x14ac:dyDescent="0.3">
      <c r="P4978" s="349"/>
      <c r="Q4978" s="349"/>
    </row>
    <row r="4979" spans="16:17" x14ac:dyDescent="0.3">
      <c r="P4979" s="349"/>
      <c r="Q4979" s="349"/>
    </row>
    <row r="4980" spans="16:17" x14ac:dyDescent="0.3">
      <c r="P4980" s="349"/>
      <c r="Q4980" s="349"/>
    </row>
    <row r="4981" spans="16:17" x14ac:dyDescent="0.3">
      <c r="P4981" s="349"/>
      <c r="Q4981" s="349"/>
    </row>
    <row r="4982" spans="16:17" x14ac:dyDescent="0.3">
      <c r="P4982" s="349"/>
      <c r="Q4982" s="349"/>
    </row>
    <row r="4983" spans="16:17" x14ac:dyDescent="0.3">
      <c r="P4983" s="349"/>
      <c r="Q4983" s="349"/>
    </row>
    <row r="4984" spans="16:17" x14ac:dyDescent="0.3">
      <c r="P4984" s="349"/>
      <c r="Q4984" s="349"/>
    </row>
    <row r="4985" spans="16:17" x14ac:dyDescent="0.3">
      <c r="P4985" s="349"/>
      <c r="Q4985" s="349"/>
    </row>
    <row r="4986" spans="16:17" x14ac:dyDescent="0.3">
      <c r="P4986" s="349"/>
      <c r="Q4986" s="349"/>
    </row>
    <row r="4987" spans="16:17" x14ac:dyDescent="0.3">
      <c r="P4987" s="349"/>
      <c r="Q4987" s="349"/>
    </row>
    <row r="4988" spans="16:17" x14ac:dyDescent="0.3">
      <c r="P4988" s="349"/>
      <c r="Q4988" s="349"/>
    </row>
    <row r="4989" spans="16:17" x14ac:dyDescent="0.3">
      <c r="P4989" s="349"/>
      <c r="Q4989" s="349"/>
    </row>
    <row r="4990" spans="16:17" x14ac:dyDescent="0.3">
      <c r="P4990" s="349"/>
      <c r="Q4990" s="349"/>
    </row>
    <row r="4991" spans="16:17" x14ac:dyDescent="0.3">
      <c r="P4991" s="349"/>
      <c r="Q4991" s="349"/>
    </row>
    <row r="4992" spans="16:17" x14ac:dyDescent="0.3">
      <c r="P4992" s="349"/>
      <c r="Q4992" s="349"/>
    </row>
    <row r="4993" spans="16:17" x14ac:dyDescent="0.3">
      <c r="P4993" s="349"/>
      <c r="Q4993" s="349"/>
    </row>
    <row r="4994" spans="16:17" x14ac:dyDescent="0.3">
      <c r="P4994" s="349"/>
      <c r="Q4994" s="349"/>
    </row>
    <row r="4995" spans="16:17" x14ac:dyDescent="0.3">
      <c r="P4995" s="349"/>
      <c r="Q4995" s="349"/>
    </row>
    <row r="4996" spans="16:17" x14ac:dyDescent="0.3">
      <c r="P4996" s="349"/>
      <c r="Q4996" s="349"/>
    </row>
    <row r="4997" spans="16:17" x14ac:dyDescent="0.3">
      <c r="P4997" s="349"/>
      <c r="Q4997" s="349"/>
    </row>
    <row r="4998" spans="16:17" x14ac:dyDescent="0.3">
      <c r="P4998" s="349"/>
      <c r="Q4998" s="349"/>
    </row>
    <row r="4999" spans="16:17" x14ac:dyDescent="0.3">
      <c r="P4999" s="349"/>
      <c r="Q4999" s="349"/>
    </row>
    <row r="5000" spans="16:17" x14ac:dyDescent="0.3">
      <c r="P5000" s="349"/>
      <c r="Q5000" s="349"/>
    </row>
    <row r="5001" spans="16:17" x14ac:dyDescent="0.3">
      <c r="P5001" s="349"/>
      <c r="Q5001" s="349"/>
    </row>
    <row r="5002" spans="16:17" x14ac:dyDescent="0.3">
      <c r="P5002" s="349"/>
      <c r="Q5002" s="349"/>
    </row>
    <row r="5003" spans="16:17" x14ac:dyDescent="0.3">
      <c r="P5003" s="349"/>
      <c r="Q5003" s="349"/>
    </row>
    <row r="5004" spans="16:17" x14ac:dyDescent="0.3">
      <c r="P5004" s="349"/>
      <c r="Q5004" s="349"/>
    </row>
    <row r="5005" spans="16:17" x14ac:dyDescent="0.3">
      <c r="P5005" s="349"/>
      <c r="Q5005" s="349"/>
    </row>
    <row r="5006" spans="16:17" x14ac:dyDescent="0.3">
      <c r="P5006" s="349"/>
      <c r="Q5006" s="349"/>
    </row>
    <row r="5007" spans="16:17" x14ac:dyDescent="0.3">
      <c r="P5007" s="349"/>
      <c r="Q5007" s="349"/>
    </row>
    <row r="5008" spans="16:17" x14ac:dyDescent="0.3">
      <c r="P5008" s="349"/>
      <c r="Q5008" s="349"/>
    </row>
    <row r="5009" spans="16:17" x14ac:dyDescent="0.3">
      <c r="P5009" s="349"/>
      <c r="Q5009" s="349"/>
    </row>
    <row r="5010" spans="16:17" x14ac:dyDescent="0.3">
      <c r="P5010" s="349"/>
      <c r="Q5010" s="349"/>
    </row>
    <row r="5011" spans="16:17" x14ac:dyDescent="0.3">
      <c r="P5011" s="349"/>
      <c r="Q5011" s="349"/>
    </row>
    <row r="5012" spans="16:17" x14ac:dyDescent="0.3">
      <c r="P5012" s="349"/>
      <c r="Q5012" s="349"/>
    </row>
    <row r="5013" spans="16:17" x14ac:dyDescent="0.3">
      <c r="P5013" s="349"/>
      <c r="Q5013" s="349"/>
    </row>
    <row r="5014" spans="16:17" x14ac:dyDescent="0.3">
      <c r="P5014" s="349"/>
      <c r="Q5014" s="349"/>
    </row>
    <row r="5015" spans="16:17" x14ac:dyDescent="0.3">
      <c r="P5015" s="349"/>
      <c r="Q5015" s="349"/>
    </row>
    <row r="5016" spans="16:17" x14ac:dyDescent="0.3">
      <c r="P5016" s="349"/>
      <c r="Q5016" s="349"/>
    </row>
    <row r="5017" spans="16:17" x14ac:dyDescent="0.3">
      <c r="P5017" s="349"/>
      <c r="Q5017" s="349"/>
    </row>
    <row r="5018" spans="16:17" x14ac:dyDescent="0.3">
      <c r="P5018" s="349"/>
      <c r="Q5018" s="349"/>
    </row>
    <row r="5019" spans="16:17" x14ac:dyDescent="0.3">
      <c r="P5019" s="349"/>
      <c r="Q5019" s="349"/>
    </row>
    <row r="5020" spans="16:17" x14ac:dyDescent="0.3">
      <c r="P5020" s="349"/>
      <c r="Q5020" s="349"/>
    </row>
    <row r="5021" spans="16:17" x14ac:dyDescent="0.3">
      <c r="P5021" s="349"/>
      <c r="Q5021" s="349"/>
    </row>
    <row r="5022" spans="16:17" x14ac:dyDescent="0.3">
      <c r="P5022" s="349"/>
      <c r="Q5022" s="349"/>
    </row>
    <row r="5023" spans="16:17" x14ac:dyDescent="0.3">
      <c r="P5023" s="349"/>
      <c r="Q5023" s="349"/>
    </row>
    <row r="5024" spans="16:17" x14ac:dyDescent="0.3">
      <c r="P5024" s="349"/>
      <c r="Q5024" s="349"/>
    </row>
    <row r="5025" spans="16:17" x14ac:dyDescent="0.3">
      <c r="P5025" s="349"/>
      <c r="Q5025" s="349"/>
    </row>
    <row r="5026" spans="16:17" x14ac:dyDescent="0.3">
      <c r="P5026" s="349"/>
      <c r="Q5026" s="349"/>
    </row>
    <row r="5027" spans="16:17" x14ac:dyDescent="0.3">
      <c r="P5027" s="349"/>
      <c r="Q5027" s="349"/>
    </row>
    <row r="5028" spans="16:17" x14ac:dyDescent="0.3">
      <c r="P5028" s="349"/>
      <c r="Q5028" s="349"/>
    </row>
    <row r="5029" spans="16:17" x14ac:dyDescent="0.3">
      <c r="P5029" s="349"/>
      <c r="Q5029" s="349"/>
    </row>
    <row r="5030" spans="16:17" x14ac:dyDescent="0.3">
      <c r="P5030" s="349"/>
      <c r="Q5030" s="349"/>
    </row>
    <row r="5031" spans="16:17" x14ac:dyDescent="0.3">
      <c r="P5031" s="349"/>
      <c r="Q5031" s="349"/>
    </row>
    <row r="5032" spans="16:17" x14ac:dyDescent="0.3">
      <c r="P5032" s="349"/>
      <c r="Q5032" s="349"/>
    </row>
    <row r="5033" spans="16:17" x14ac:dyDescent="0.3">
      <c r="P5033" s="349"/>
      <c r="Q5033" s="349"/>
    </row>
    <row r="5034" spans="16:17" x14ac:dyDescent="0.3">
      <c r="P5034" s="349"/>
      <c r="Q5034" s="349"/>
    </row>
    <row r="5035" spans="16:17" x14ac:dyDescent="0.3">
      <c r="P5035" s="349"/>
      <c r="Q5035" s="349"/>
    </row>
    <row r="5036" spans="16:17" x14ac:dyDescent="0.3">
      <c r="P5036" s="349"/>
      <c r="Q5036" s="349"/>
    </row>
    <row r="5037" spans="16:17" x14ac:dyDescent="0.3">
      <c r="P5037" s="349"/>
      <c r="Q5037" s="349"/>
    </row>
    <row r="5038" spans="16:17" x14ac:dyDescent="0.3">
      <c r="P5038" s="349"/>
      <c r="Q5038" s="349"/>
    </row>
    <row r="5039" spans="16:17" x14ac:dyDescent="0.3">
      <c r="P5039" s="349"/>
      <c r="Q5039" s="349"/>
    </row>
    <row r="5040" spans="16:17" x14ac:dyDescent="0.3">
      <c r="P5040" s="349"/>
      <c r="Q5040" s="349"/>
    </row>
    <row r="5041" spans="16:17" x14ac:dyDescent="0.3">
      <c r="P5041" s="349"/>
      <c r="Q5041" s="349"/>
    </row>
    <row r="5042" spans="16:17" x14ac:dyDescent="0.3">
      <c r="P5042" s="349"/>
      <c r="Q5042" s="349"/>
    </row>
    <row r="5043" spans="16:17" x14ac:dyDescent="0.3">
      <c r="P5043" s="349"/>
      <c r="Q5043" s="349"/>
    </row>
    <row r="5044" spans="16:17" x14ac:dyDescent="0.3">
      <c r="P5044" s="349"/>
      <c r="Q5044" s="349"/>
    </row>
    <row r="5045" spans="16:17" x14ac:dyDescent="0.3">
      <c r="P5045" s="349"/>
      <c r="Q5045" s="349"/>
    </row>
    <row r="5046" spans="16:17" x14ac:dyDescent="0.3">
      <c r="P5046" s="349"/>
      <c r="Q5046" s="349"/>
    </row>
    <row r="5047" spans="16:17" x14ac:dyDescent="0.3">
      <c r="P5047" s="349"/>
      <c r="Q5047" s="349"/>
    </row>
    <row r="5048" spans="16:17" x14ac:dyDescent="0.3">
      <c r="P5048" s="349"/>
      <c r="Q5048" s="349"/>
    </row>
    <row r="5049" spans="16:17" x14ac:dyDescent="0.3">
      <c r="P5049" s="349"/>
      <c r="Q5049" s="349"/>
    </row>
    <row r="5050" spans="16:17" x14ac:dyDescent="0.3">
      <c r="P5050" s="349"/>
      <c r="Q5050" s="349"/>
    </row>
    <row r="5051" spans="16:17" x14ac:dyDescent="0.3">
      <c r="P5051" s="349"/>
      <c r="Q5051" s="349"/>
    </row>
    <row r="5052" spans="16:17" x14ac:dyDescent="0.3">
      <c r="P5052" s="349"/>
      <c r="Q5052" s="349"/>
    </row>
    <row r="5053" spans="16:17" x14ac:dyDescent="0.3">
      <c r="P5053" s="349"/>
      <c r="Q5053" s="349"/>
    </row>
    <row r="5054" spans="16:17" x14ac:dyDescent="0.3">
      <c r="P5054" s="349"/>
      <c r="Q5054" s="349"/>
    </row>
    <row r="5055" spans="16:17" x14ac:dyDescent="0.3">
      <c r="P5055" s="349"/>
      <c r="Q5055" s="349"/>
    </row>
    <row r="5056" spans="16:17" x14ac:dyDescent="0.3">
      <c r="P5056" s="349"/>
      <c r="Q5056" s="349"/>
    </row>
    <row r="5057" spans="16:17" x14ac:dyDescent="0.3">
      <c r="P5057" s="349"/>
      <c r="Q5057" s="349"/>
    </row>
    <row r="5058" spans="16:17" x14ac:dyDescent="0.3">
      <c r="P5058" s="349"/>
      <c r="Q5058" s="349"/>
    </row>
    <row r="5059" spans="16:17" x14ac:dyDescent="0.3">
      <c r="P5059" s="349"/>
      <c r="Q5059" s="349"/>
    </row>
    <row r="5060" spans="16:17" x14ac:dyDescent="0.3">
      <c r="P5060" s="349"/>
      <c r="Q5060" s="349"/>
    </row>
    <row r="5061" spans="16:17" x14ac:dyDescent="0.3">
      <c r="P5061" s="349"/>
      <c r="Q5061" s="349"/>
    </row>
    <row r="5062" spans="16:17" x14ac:dyDescent="0.3">
      <c r="P5062" s="349"/>
      <c r="Q5062" s="349"/>
    </row>
    <row r="5063" spans="16:17" x14ac:dyDescent="0.3">
      <c r="P5063" s="349"/>
      <c r="Q5063" s="349"/>
    </row>
    <row r="5064" spans="16:17" x14ac:dyDescent="0.3">
      <c r="P5064" s="349"/>
      <c r="Q5064" s="349"/>
    </row>
    <row r="5065" spans="16:17" x14ac:dyDescent="0.3">
      <c r="P5065" s="349"/>
      <c r="Q5065" s="349"/>
    </row>
    <row r="5066" spans="16:17" x14ac:dyDescent="0.3">
      <c r="P5066" s="349"/>
      <c r="Q5066" s="349"/>
    </row>
    <row r="5067" spans="16:17" x14ac:dyDescent="0.3">
      <c r="P5067" s="349"/>
      <c r="Q5067" s="349"/>
    </row>
    <row r="5068" spans="16:17" x14ac:dyDescent="0.3">
      <c r="P5068" s="349"/>
      <c r="Q5068" s="349"/>
    </row>
    <row r="5069" spans="16:17" x14ac:dyDescent="0.3">
      <c r="P5069" s="349"/>
      <c r="Q5069" s="349"/>
    </row>
    <row r="5070" spans="16:17" x14ac:dyDescent="0.3">
      <c r="P5070" s="349"/>
      <c r="Q5070" s="349"/>
    </row>
    <row r="5071" spans="16:17" x14ac:dyDescent="0.3">
      <c r="P5071" s="349"/>
      <c r="Q5071" s="349"/>
    </row>
    <row r="5072" spans="16:17" x14ac:dyDescent="0.3">
      <c r="P5072" s="349"/>
      <c r="Q5072" s="349"/>
    </row>
    <row r="5073" spans="16:17" x14ac:dyDescent="0.3">
      <c r="P5073" s="349"/>
      <c r="Q5073" s="349"/>
    </row>
    <row r="5074" spans="16:17" x14ac:dyDescent="0.3">
      <c r="P5074" s="349"/>
      <c r="Q5074" s="349"/>
    </row>
    <row r="5075" spans="16:17" x14ac:dyDescent="0.3">
      <c r="P5075" s="349"/>
      <c r="Q5075" s="349"/>
    </row>
    <row r="5076" spans="16:17" x14ac:dyDescent="0.3">
      <c r="P5076" s="349"/>
      <c r="Q5076" s="349"/>
    </row>
    <row r="5077" spans="16:17" x14ac:dyDescent="0.3">
      <c r="P5077" s="349"/>
      <c r="Q5077" s="349"/>
    </row>
    <row r="5078" spans="16:17" x14ac:dyDescent="0.3">
      <c r="P5078" s="349"/>
      <c r="Q5078" s="349"/>
    </row>
    <row r="5079" spans="16:17" x14ac:dyDescent="0.3">
      <c r="P5079" s="349"/>
      <c r="Q5079" s="349"/>
    </row>
    <row r="5080" spans="16:17" x14ac:dyDescent="0.3">
      <c r="P5080" s="349"/>
      <c r="Q5080" s="349"/>
    </row>
    <row r="5081" spans="16:17" x14ac:dyDescent="0.3">
      <c r="P5081" s="349"/>
      <c r="Q5081" s="349"/>
    </row>
    <row r="5082" spans="16:17" x14ac:dyDescent="0.3">
      <c r="P5082" s="349"/>
      <c r="Q5082" s="349"/>
    </row>
    <row r="5083" spans="16:17" x14ac:dyDescent="0.3">
      <c r="P5083" s="349"/>
      <c r="Q5083" s="349"/>
    </row>
    <row r="5084" spans="16:17" x14ac:dyDescent="0.3">
      <c r="P5084" s="349"/>
      <c r="Q5084" s="349"/>
    </row>
    <row r="5085" spans="16:17" x14ac:dyDescent="0.3">
      <c r="P5085" s="349"/>
      <c r="Q5085" s="349"/>
    </row>
    <row r="5086" spans="16:17" x14ac:dyDescent="0.3">
      <c r="P5086" s="349"/>
      <c r="Q5086" s="349"/>
    </row>
    <row r="5087" spans="16:17" x14ac:dyDescent="0.3">
      <c r="P5087" s="349"/>
      <c r="Q5087" s="349"/>
    </row>
    <row r="5088" spans="16:17" x14ac:dyDescent="0.3">
      <c r="P5088" s="349"/>
      <c r="Q5088" s="349"/>
    </row>
    <row r="5089" spans="16:17" x14ac:dyDescent="0.3">
      <c r="P5089" s="349"/>
      <c r="Q5089" s="349"/>
    </row>
    <row r="5090" spans="16:17" x14ac:dyDescent="0.3">
      <c r="P5090" s="349"/>
      <c r="Q5090" s="349"/>
    </row>
    <row r="5091" spans="16:17" x14ac:dyDescent="0.3">
      <c r="P5091" s="349"/>
      <c r="Q5091" s="349"/>
    </row>
    <row r="5092" spans="16:17" x14ac:dyDescent="0.3">
      <c r="P5092" s="349"/>
      <c r="Q5092" s="349"/>
    </row>
    <row r="5093" spans="16:17" x14ac:dyDescent="0.3">
      <c r="P5093" s="349"/>
      <c r="Q5093" s="349"/>
    </row>
    <row r="5094" spans="16:17" x14ac:dyDescent="0.3">
      <c r="P5094" s="349"/>
      <c r="Q5094" s="349"/>
    </row>
    <row r="5095" spans="16:17" x14ac:dyDescent="0.3">
      <c r="P5095" s="349"/>
      <c r="Q5095" s="349"/>
    </row>
    <row r="5096" spans="16:17" x14ac:dyDescent="0.3">
      <c r="P5096" s="349"/>
      <c r="Q5096" s="349"/>
    </row>
    <row r="5097" spans="16:17" x14ac:dyDescent="0.3">
      <c r="P5097" s="349"/>
      <c r="Q5097" s="349"/>
    </row>
    <row r="5098" spans="16:17" x14ac:dyDescent="0.3">
      <c r="P5098" s="349"/>
      <c r="Q5098" s="349"/>
    </row>
    <row r="5099" spans="16:17" x14ac:dyDescent="0.3">
      <c r="P5099" s="349"/>
      <c r="Q5099" s="349"/>
    </row>
    <row r="5100" spans="16:17" x14ac:dyDescent="0.3">
      <c r="P5100" s="349"/>
      <c r="Q5100" s="349"/>
    </row>
    <row r="5101" spans="16:17" x14ac:dyDescent="0.3">
      <c r="P5101" s="349"/>
      <c r="Q5101" s="349"/>
    </row>
    <row r="5102" spans="16:17" x14ac:dyDescent="0.3">
      <c r="P5102" s="349"/>
      <c r="Q5102" s="349"/>
    </row>
    <row r="5103" spans="16:17" x14ac:dyDescent="0.3">
      <c r="P5103" s="349"/>
      <c r="Q5103" s="349"/>
    </row>
    <row r="5104" spans="16:17" x14ac:dyDescent="0.3">
      <c r="P5104" s="349"/>
      <c r="Q5104" s="349"/>
    </row>
    <row r="5105" spans="16:17" x14ac:dyDescent="0.3">
      <c r="P5105" s="349"/>
      <c r="Q5105" s="349"/>
    </row>
    <row r="5106" spans="16:17" x14ac:dyDescent="0.3">
      <c r="P5106" s="349"/>
      <c r="Q5106" s="349"/>
    </row>
    <row r="5107" spans="16:17" x14ac:dyDescent="0.3">
      <c r="P5107" s="349"/>
      <c r="Q5107" s="349"/>
    </row>
    <row r="5108" spans="16:17" x14ac:dyDescent="0.3">
      <c r="P5108" s="349"/>
      <c r="Q5108" s="349"/>
    </row>
    <row r="5109" spans="16:17" x14ac:dyDescent="0.3">
      <c r="P5109" s="349"/>
      <c r="Q5109" s="349"/>
    </row>
    <row r="5110" spans="16:17" x14ac:dyDescent="0.3">
      <c r="P5110" s="349"/>
      <c r="Q5110" s="349"/>
    </row>
    <row r="5111" spans="16:17" x14ac:dyDescent="0.3">
      <c r="P5111" s="349"/>
      <c r="Q5111" s="349"/>
    </row>
    <row r="5112" spans="16:17" x14ac:dyDescent="0.3">
      <c r="P5112" s="349"/>
      <c r="Q5112" s="349"/>
    </row>
    <row r="5113" spans="16:17" x14ac:dyDescent="0.3">
      <c r="P5113" s="349"/>
      <c r="Q5113" s="349"/>
    </row>
    <row r="5114" spans="16:17" x14ac:dyDescent="0.3">
      <c r="P5114" s="349"/>
      <c r="Q5114" s="349"/>
    </row>
    <row r="5115" spans="16:17" x14ac:dyDescent="0.3">
      <c r="P5115" s="349"/>
      <c r="Q5115" s="349"/>
    </row>
    <row r="5116" spans="16:17" x14ac:dyDescent="0.3">
      <c r="P5116" s="349"/>
      <c r="Q5116" s="349"/>
    </row>
    <row r="5117" spans="16:17" x14ac:dyDescent="0.3">
      <c r="P5117" s="349"/>
      <c r="Q5117" s="349"/>
    </row>
    <row r="5118" spans="16:17" x14ac:dyDescent="0.3">
      <c r="P5118" s="349"/>
      <c r="Q5118" s="349"/>
    </row>
    <row r="5119" spans="16:17" x14ac:dyDescent="0.3">
      <c r="P5119" s="349"/>
      <c r="Q5119" s="349"/>
    </row>
    <row r="5120" spans="16:17" x14ac:dyDescent="0.3">
      <c r="P5120" s="349"/>
      <c r="Q5120" s="349"/>
    </row>
    <row r="5121" spans="16:17" x14ac:dyDescent="0.3">
      <c r="P5121" s="349"/>
      <c r="Q5121" s="349"/>
    </row>
    <row r="5122" spans="16:17" x14ac:dyDescent="0.3">
      <c r="P5122" s="349"/>
      <c r="Q5122" s="349"/>
    </row>
    <row r="5123" spans="16:17" x14ac:dyDescent="0.3">
      <c r="P5123" s="349"/>
      <c r="Q5123" s="349"/>
    </row>
    <row r="5124" spans="16:17" x14ac:dyDescent="0.3">
      <c r="P5124" s="349"/>
      <c r="Q5124" s="349"/>
    </row>
    <row r="5125" spans="16:17" x14ac:dyDescent="0.3">
      <c r="P5125" s="349"/>
      <c r="Q5125" s="349"/>
    </row>
    <row r="5126" spans="16:17" x14ac:dyDescent="0.3">
      <c r="P5126" s="349"/>
      <c r="Q5126" s="349"/>
    </row>
    <row r="5127" spans="16:17" x14ac:dyDescent="0.3">
      <c r="P5127" s="349"/>
      <c r="Q5127" s="349"/>
    </row>
    <row r="5128" spans="16:17" x14ac:dyDescent="0.3">
      <c r="P5128" s="349"/>
      <c r="Q5128" s="349"/>
    </row>
    <row r="5129" spans="16:17" x14ac:dyDescent="0.3">
      <c r="P5129" s="349"/>
      <c r="Q5129" s="349"/>
    </row>
    <row r="5130" spans="16:17" x14ac:dyDescent="0.3">
      <c r="P5130" s="349"/>
      <c r="Q5130" s="349"/>
    </row>
    <row r="5131" spans="16:17" x14ac:dyDescent="0.3">
      <c r="P5131" s="349"/>
      <c r="Q5131" s="349"/>
    </row>
    <row r="5132" spans="16:17" x14ac:dyDescent="0.3">
      <c r="P5132" s="349"/>
      <c r="Q5132" s="349"/>
    </row>
    <row r="5133" spans="16:17" x14ac:dyDescent="0.3">
      <c r="P5133" s="349"/>
      <c r="Q5133" s="349"/>
    </row>
    <row r="5134" spans="16:17" x14ac:dyDescent="0.3">
      <c r="P5134" s="349"/>
      <c r="Q5134" s="349"/>
    </row>
    <row r="5135" spans="16:17" x14ac:dyDescent="0.3">
      <c r="P5135" s="349"/>
      <c r="Q5135" s="349"/>
    </row>
    <row r="5136" spans="16:17" x14ac:dyDescent="0.3">
      <c r="P5136" s="349"/>
      <c r="Q5136" s="349"/>
    </row>
    <row r="5137" spans="16:17" x14ac:dyDescent="0.3">
      <c r="P5137" s="349"/>
      <c r="Q5137" s="349"/>
    </row>
    <row r="5138" spans="16:17" x14ac:dyDescent="0.3">
      <c r="P5138" s="349"/>
      <c r="Q5138" s="349"/>
    </row>
    <row r="5139" spans="16:17" x14ac:dyDescent="0.3">
      <c r="P5139" s="349"/>
      <c r="Q5139" s="349"/>
    </row>
    <row r="5140" spans="16:17" x14ac:dyDescent="0.3">
      <c r="P5140" s="349"/>
      <c r="Q5140" s="349"/>
    </row>
    <row r="5141" spans="16:17" x14ac:dyDescent="0.3">
      <c r="P5141" s="349"/>
      <c r="Q5141" s="349"/>
    </row>
    <row r="5142" spans="16:17" x14ac:dyDescent="0.3">
      <c r="P5142" s="349"/>
      <c r="Q5142" s="349"/>
    </row>
    <row r="5143" spans="16:17" x14ac:dyDescent="0.3">
      <c r="P5143" s="349"/>
      <c r="Q5143" s="349"/>
    </row>
    <row r="5144" spans="16:17" x14ac:dyDescent="0.3">
      <c r="P5144" s="349"/>
      <c r="Q5144" s="349"/>
    </row>
    <row r="5145" spans="16:17" x14ac:dyDescent="0.3">
      <c r="P5145" s="349"/>
      <c r="Q5145" s="349"/>
    </row>
    <row r="5146" spans="16:17" x14ac:dyDescent="0.3">
      <c r="P5146" s="349"/>
      <c r="Q5146" s="349"/>
    </row>
    <row r="5147" spans="16:17" x14ac:dyDescent="0.3">
      <c r="P5147" s="349"/>
      <c r="Q5147" s="349"/>
    </row>
    <row r="5148" spans="16:17" x14ac:dyDescent="0.3">
      <c r="P5148" s="349"/>
      <c r="Q5148" s="349"/>
    </row>
    <row r="5149" spans="16:17" x14ac:dyDescent="0.3">
      <c r="P5149" s="349"/>
      <c r="Q5149" s="349"/>
    </row>
    <row r="5150" spans="16:17" x14ac:dyDescent="0.3">
      <c r="P5150" s="349"/>
      <c r="Q5150" s="349"/>
    </row>
    <row r="5151" spans="16:17" x14ac:dyDescent="0.3">
      <c r="P5151" s="349"/>
      <c r="Q5151" s="349"/>
    </row>
    <row r="5152" spans="16:17" x14ac:dyDescent="0.3">
      <c r="P5152" s="349"/>
      <c r="Q5152" s="349"/>
    </row>
    <row r="5153" spans="16:17" x14ac:dyDescent="0.3">
      <c r="P5153" s="349"/>
      <c r="Q5153" s="349"/>
    </row>
    <row r="5154" spans="16:17" x14ac:dyDescent="0.3">
      <c r="P5154" s="349"/>
      <c r="Q5154" s="349"/>
    </row>
    <row r="5155" spans="16:17" x14ac:dyDescent="0.3">
      <c r="P5155" s="349"/>
      <c r="Q5155" s="349"/>
    </row>
    <row r="5156" spans="16:17" x14ac:dyDescent="0.3">
      <c r="P5156" s="349"/>
      <c r="Q5156" s="349"/>
    </row>
    <row r="5157" spans="16:17" x14ac:dyDescent="0.3">
      <c r="P5157" s="349"/>
      <c r="Q5157" s="349"/>
    </row>
    <row r="5158" spans="16:17" x14ac:dyDescent="0.3">
      <c r="P5158" s="349"/>
      <c r="Q5158" s="349"/>
    </row>
    <row r="5159" spans="16:17" x14ac:dyDescent="0.3">
      <c r="P5159" s="349"/>
      <c r="Q5159" s="349"/>
    </row>
    <row r="5160" spans="16:17" x14ac:dyDescent="0.3">
      <c r="P5160" s="349"/>
      <c r="Q5160" s="349"/>
    </row>
    <row r="5161" spans="16:17" x14ac:dyDescent="0.3">
      <c r="P5161" s="349"/>
      <c r="Q5161" s="349"/>
    </row>
    <row r="5162" spans="16:17" x14ac:dyDescent="0.3">
      <c r="P5162" s="349"/>
      <c r="Q5162" s="349"/>
    </row>
    <row r="5163" spans="16:17" x14ac:dyDescent="0.3">
      <c r="P5163" s="349"/>
      <c r="Q5163" s="349"/>
    </row>
    <row r="5164" spans="16:17" x14ac:dyDescent="0.3">
      <c r="P5164" s="349"/>
      <c r="Q5164" s="349"/>
    </row>
    <row r="5165" spans="16:17" x14ac:dyDescent="0.3">
      <c r="P5165" s="349"/>
      <c r="Q5165" s="349"/>
    </row>
    <row r="5166" spans="16:17" x14ac:dyDescent="0.3">
      <c r="P5166" s="349"/>
      <c r="Q5166" s="349"/>
    </row>
    <row r="5167" spans="16:17" x14ac:dyDescent="0.3">
      <c r="P5167" s="349"/>
      <c r="Q5167" s="349"/>
    </row>
    <row r="5168" spans="16:17" x14ac:dyDescent="0.3">
      <c r="P5168" s="349"/>
      <c r="Q5168" s="349"/>
    </row>
    <row r="5169" spans="16:17" x14ac:dyDescent="0.3">
      <c r="P5169" s="349"/>
      <c r="Q5169" s="349"/>
    </row>
    <row r="5170" spans="16:17" x14ac:dyDescent="0.3">
      <c r="P5170" s="349"/>
      <c r="Q5170" s="349"/>
    </row>
    <row r="5171" spans="16:17" x14ac:dyDescent="0.3">
      <c r="P5171" s="349"/>
      <c r="Q5171" s="349"/>
    </row>
    <row r="5172" spans="16:17" x14ac:dyDescent="0.3">
      <c r="P5172" s="349"/>
      <c r="Q5172" s="349"/>
    </row>
    <row r="5173" spans="16:17" x14ac:dyDescent="0.3">
      <c r="P5173" s="349"/>
      <c r="Q5173" s="349"/>
    </row>
    <row r="5174" spans="16:17" x14ac:dyDescent="0.3">
      <c r="P5174" s="349"/>
      <c r="Q5174" s="349"/>
    </row>
    <row r="5175" spans="16:17" x14ac:dyDescent="0.3">
      <c r="P5175" s="349"/>
      <c r="Q5175" s="349"/>
    </row>
    <row r="5176" spans="16:17" x14ac:dyDescent="0.3">
      <c r="P5176" s="349"/>
      <c r="Q5176" s="349"/>
    </row>
    <row r="5177" spans="16:17" x14ac:dyDescent="0.3">
      <c r="P5177" s="349"/>
      <c r="Q5177" s="349"/>
    </row>
    <row r="5178" spans="16:17" x14ac:dyDescent="0.3">
      <c r="P5178" s="349"/>
      <c r="Q5178" s="349"/>
    </row>
    <row r="5179" spans="16:17" x14ac:dyDescent="0.3">
      <c r="P5179" s="349"/>
      <c r="Q5179" s="349"/>
    </row>
    <row r="5180" spans="16:17" x14ac:dyDescent="0.3">
      <c r="P5180" s="349"/>
      <c r="Q5180" s="349"/>
    </row>
    <row r="5181" spans="16:17" x14ac:dyDescent="0.3">
      <c r="P5181" s="349"/>
      <c r="Q5181" s="349"/>
    </row>
    <row r="5182" spans="16:17" x14ac:dyDescent="0.3">
      <c r="P5182" s="349"/>
      <c r="Q5182" s="349"/>
    </row>
    <row r="5183" spans="16:17" x14ac:dyDescent="0.3">
      <c r="P5183" s="349"/>
      <c r="Q5183" s="349"/>
    </row>
    <row r="5184" spans="16:17" x14ac:dyDescent="0.3">
      <c r="P5184" s="349"/>
      <c r="Q5184" s="349"/>
    </row>
    <row r="5185" spans="16:17" x14ac:dyDescent="0.3">
      <c r="P5185" s="349"/>
      <c r="Q5185" s="349"/>
    </row>
    <row r="5186" spans="16:17" x14ac:dyDescent="0.3">
      <c r="P5186" s="349"/>
      <c r="Q5186" s="349"/>
    </row>
    <row r="5187" spans="16:17" x14ac:dyDescent="0.3">
      <c r="P5187" s="349"/>
      <c r="Q5187" s="349"/>
    </row>
    <row r="5188" spans="16:17" x14ac:dyDescent="0.3">
      <c r="P5188" s="349"/>
      <c r="Q5188" s="349"/>
    </row>
    <row r="5189" spans="16:17" x14ac:dyDescent="0.3">
      <c r="P5189" s="349"/>
      <c r="Q5189" s="349"/>
    </row>
    <row r="5190" spans="16:17" x14ac:dyDescent="0.3">
      <c r="P5190" s="349"/>
      <c r="Q5190" s="349"/>
    </row>
    <row r="5191" spans="16:17" x14ac:dyDescent="0.3">
      <c r="P5191" s="349"/>
      <c r="Q5191" s="349"/>
    </row>
    <row r="5192" spans="16:17" x14ac:dyDescent="0.3">
      <c r="P5192" s="349"/>
      <c r="Q5192" s="349"/>
    </row>
    <row r="5193" spans="16:17" x14ac:dyDescent="0.3">
      <c r="P5193" s="349"/>
      <c r="Q5193" s="349"/>
    </row>
    <row r="5194" spans="16:17" x14ac:dyDescent="0.3">
      <c r="P5194" s="349"/>
      <c r="Q5194" s="349"/>
    </row>
    <row r="5195" spans="16:17" x14ac:dyDescent="0.3">
      <c r="P5195" s="349"/>
      <c r="Q5195" s="349"/>
    </row>
    <row r="5196" spans="16:17" x14ac:dyDescent="0.3">
      <c r="P5196" s="349"/>
      <c r="Q5196" s="349"/>
    </row>
    <row r="5197" spans="16:17" x14ac:dyDescent="0.3">
      <c r="P5197" s="349"/>
      <c r="Q5197" s="349"/>
    </row>
    <row r="5198" spans="16:17" x14ac:dyDescent="0.3">
      <c r="P5198" s="349"/>
      <c r="Q5198" s="349"/>
    </row>
    <row r="5199" spans="16:17" x14ac:dyDescent="0.3">
      <c r="P5199" s="349"/>
      <c r="Q5199" s="349"/>
    </row>
    <row r="5200" spans="16:17" x14ac:dyDescent="0.3">
      <c r="P5200" s="349"/>
      <c r="Q5200" s="349"/>
    </row>
    <row r="5201" spans="16:17" x14ac:dyDescent="0.3">
      <c r="P5201" s="349"/>
      <c r="Q5201" s="349"/>
    </row>
    <row r="5202" spans="16:17" x14ac:dyDescent="0.3">
      <c r="P5202" s="349"/>
      <c r="Q5202" s="349"/>
    </row>
    <row r="5203" spans="16:17" x14ac:dyDescent="0.3">
      <c r="P5203" s="349"/>
      <c r="Q5203" s="349"/>
    </row>
    <row r="5204" spans="16:17" x14ac:dyDescent="0.3">
      <c r="P5204" s="349"/>
      <c r="Q5204" s="349"/>
    </row>
    <row r="5205" spans="16:17" x14ac:dyDescent="0.3">
      <c r="P5205" s="349"/>
      <c r="Q5205" s="349"/>
    </row>
    <row r="5206" spans="16:17" x14ac:dyDescent="0.3">
      <c r="P5206" s="349"/>
      <c r="Q5206" s="349"/>
    </row>
    <row r="5207" spans="16:17" x14ac:dyDescent="0.3">
      <c r="P5207" s="349"/>
      <c r="Q5207" s="349"/>
    </row>
    <row r="5208" spans="16:17" x14ac:dyDescent="0.3">
      <c r="P5208" s="349"/>
      <c r="Q5208" s="349"/>
    </row>
    <row r="5209" spans="16:17" x14ac:dyDescent="0.3">
      <c r="P5209" s="349"/>
      <c r="Q5209" s="349"/>
    </row>
    <row r="5210" spans="16:17" x14ac:dyDescent="0.3">
      <c r="P5210" s="349"/>
      <c r="Q5210" s="349"/>
    </row>
    <row r="5211" spans="16:17" x14ac:dyDescent="0.3">
      <c r="P5211" s="349"/>
      <c r="Q5211" s="349"/>
    </row>
    <row r="5212" spans="16:17" x14ac:dyDescent="0.3">
      <c r="P5212" s="349"/>
      <c r="Q5212" s="349"/>
    </row>
    <row r="5213" spans="16:17" x14ac:dyDescent="0.3">
      <c r="P5213" s="349"/>
      <c r="Q5213" s="349"/>
    </row>
    <row r="5214" spans="16:17" x14ac:dyDescent="0.3">
      <c r="P5214" s="349"/>
      <c r="Q5214" s="349"/>
    </row>
    <row r="5215" spans="16:17" x14ac:dyDescent="0.3">
      <c r="P5215" s="349"/>
      <c r="Q5215" s="349"/>
    </row>
    <row r="5216" spans="16:17" x14ac:dyDescent="0.3">
      <c r="P5216" s="349"/>
      <c r="Q5216" s="349"/>
    </row>
    <row r="5217" spans="16:17" x14ac:dyDescent="0.3">
      <c r="P5217" s="349"/>
      <c r="Q5217" s="349"/>
    </row>
    <row r="5218" spans="16:17" x14ac:dyDescent="0.3">
      <c r="P5218" s="349"/>
      <c r="Q5218" s="349"/>
    </row>
    <row r="5219" spans="16:17" x14ac:dyDescent="0.3">
      <c r="P5219" s="349"/>
      <c r="Q5219" s="349"/>
    </row>
    <row r="5220" spans="16:17" x14ac:dyDescent="0.3">
      <c r="P5220" s="349"/>
      <c r="Q5220" s="349"/>
    </row>
    <row r="5221" spans="16:17" x14ac:dyDescent="0.3">
      <c r="P5221" s="349"/>
      <c r="Q5221" s="349"/>
    </row>
    <row r="5222" spans="16:17" x14ac:dyDescent="0.3">
      <c r="P5222" s="349"/>
      <c r="Q5222" s="349"/>
    </row>
    <row r="5223" spans="16:17" x14ac:dyDescent="0.3">
      <c r="P5223" s="349"/>
      <c r="Q5223" s="349"/>
    </row>
    <row r="5224" spans="16:17" x14ac:dyDescent="0.3">
      <c r="P5224" s="349"/>
      <c r="Q5224" s="349"/>
    </row>
    <row r="5225" spans="16:17" x14ac:dyDescent="0.3">
      <c r="P5225" s="349"/>
      <c r="Q5225" s="349"/>
    </row>
    <row r="5226" spans="16:17" x14ac:dyDescent="0.3">
      <c r="P5226" s="349"/>
      <c r="Q5226" s="349"/>
    </row>
    <row r="5227" spans="16:17" x14ac:dyDescent="0.3">
      <c r="P5227" s="349"/>
      <c r="Q5227" s="349"/>
    </row>
    <row r="5228" spans="16:17" x14ac:dyDescent="0.3">
      <c r="P5228" s="349"/>
      <c r="Q5228" s="349"/>
    </row>
    <row r="5229" spans="16:17" x14ac:dyDescent="0.3">
      <c r="P5229" s="349"/>
      <c r="Q5229" s="349"/>
    </row>
    <row r="5230" spans="16:17" x14ac:dyDescent="0.3">
      <c r="P5230" s="349"/>
      <c r="Q5230" s="349"/>
    </row>
    <row r="5231" spans="16:17" x14ac:dyDescent="0.3">
      <c r="P5231" s="349"/>
      <c r="Q5231" s="349"/>
    </row>
    <row r="5232" spans="16:17" x14ac:dyDescent="0.3">
      <c r="P5232" s="349"/>
      <c r="Q5232" s="349"/>
    </row>
    <row r="5233" spans="16:17" x14ac:dyDescent="0.3">
      <c r="P5233" s="349"/>
      <c r="Q5233" s="349"/>
    </row>
    <row r="5234" spans="16:17" x14ac:dyDescent="0.3">
      <c r="P5234" s="349"/>
      <c r="Q5234" s="349"/>
    </row>
    <row r="5235" spans="16:17" x14ac:dyDescent="0.3">
      <c r="P5235" s="349"/>
      <c r="Q5235" s="349"/>
    </row>
    <row r="5236" spans="16:17" x14ac:dyDescent="0.3">
      <c r="P5236" s="349"/>
      <c r="Q5236" s="349"/>
    </row>
    <row r="5237" spans="16:17" x14ac:dyDescent="0.3">
      <c r="P5237" s="349"/>
      <c r="Q5237" s="349"/>
    </row>
    <row r="5238" spans="16:17" x14ac:dyDescent="0.3">
      <c r="P5238" s="349"/>
      <c r="Q5238" s="349"/>
    </row>
    <row r="5239" spans="16:17" x14ac:dyDescent="0.3">
      <c r="P5239" s="349"/>
      <c r="Q5239" s="349"/>
    </row>
    <row r="5240" spans="16:17" x14ac:dyDescent="0.3">
      <c r="P5240" s="349"/>
      <c r="Q5240" s="349"/>
    </row>
    <row r="5241" spans="16:17" x14ac:dyDescent="0.3">
      <c r="P5241" s="349"/>
      <c r="Q5241" s="349"/>
    </row>
    <row r="5242" spans="16:17" x14ac:dyDescent="0.3">
      <c r="P5242" s="349"/>
      <c r="Q5242" s="349"/>
    </row>
    <row r="5243" spans="16:17" x14ac:dyDescent="0.3">
      <c r="P5243" s="349"/>
      <c r="Q5243" s="349"/>
    </row>
    <row r="5244" spans="16:17" x14ac:dyDescent="0.3">
      <c r="P5244" s="349"/>
      <c r="Q5244" s="349"/>
    </row>
    <row r="5245" spans="16:17" x14ac:dyDescent="0.3">
      <c r="P5245" s="349"/>
      <c r="Q5245" s="349"/>
    </row>
    <row r="5246" spans="16:17" x14ac:dyDescent="0.3">
      <c r="P5246" s="349"/>
      <c r="Q5246" s="349"/>
    </row>
    <row r="5247" spans="16:17" x14ac:dyDescent="0.3">
      <c r="P5247" s="349"/>
      <c r="Q5247" s="349"/>
    </row>
    <row r="5248" spans="16:17" x14ac:dyDescent="0.3">
      <c r="P5248" s="349"/>
      <c r="Q5248" s="349"/>
    </row>
    <row r="5249" spans="16:17" x14ac:dyDescent="0.3">
      <c r="P5249" s="349"/>
      <c r="Q5249" s="349"/>
    </row>
    <row r="5250" spans="16:17" x14ac:dyDescent="0.3">
      <c r="P5250" s="349"/>
      <c r="Q5250" s="349"/>
    </row>
    <row r="5251" spans="16:17" x14ac:dyDescent="0.3">
      <c r="P5251" s="349"/>
      <c r="Q5251" s="349"/>
    </row>
    <row r="5252" spans="16:17" x14ac:dyDescent="0.3">
      <c r="P5252" s="349"/>
      <c r="Q5252" s="349"/>
    </row>
    <row r="5253" spans="16:17" x14ac:dyDescent="0.3">
      <c r="P5253" s="349"/>
      <c r="Q5253" s="349"/>
    </row>
    <row r="5254" spans="16:17" x14ac:dyDescent="0.3">
      <c r="P5254" s="349"/>
      <c r="Q5254" s="349"/>
    </row>
    <row r="5255" spans="16:17" x14ac:dyDescent="0.3">
      <c r="P5255" s="349"/>
      <c r="Q5255" s="349"/>
    </row>
    <row r="5256" spans="16:17" x14ac:dyDescent="0.3">
      <c r="P5256" s="349"/>
      <c r="Q5256" s="349"/>
    </row>
    <row r="5257" spans="16:17" x14ac:dyDescent="0.3">
      <c r="P5257" s="349"/>
      <c r="Q5257" s="349"/>
    </row>
    <row r="5258" spans="16:17" x14ac:dyDescent="0.3">
      <c r="P5258" s="349"/>
      <c r="Q5258" s="349"/>
    </row>
    <row r="5259" spans="16:17" x14ac:dyDescent="0.3">
      <c r="P5259" s="349"/>
      <c r="Q5259" s="349"/>
    </row>
    <row r="5260" spans="16:17" x14ac:dyDescent="0.3">
      <c r="P5260" s="349"/>
      <c r="Q5260" s="349"/>
    </row>
    <row r="5261" spans="16:17" x14ac:dyDescent="0.3">
      <c r="P5261" s="349"/>
      <c r="Q5261" s="349"/>
    </row>
    <row r="5262" spans="16:17" x14ac:dyDescent="0.3">
      <c r="P5262" s="349"/>
      <c r="Q5262" s="349"/>
    </row>
    <row r="5263" spans="16:17" x14ac:dyDescent="0.3">
      <c r="P5263" s="349"/>
      <c r="Q5263" s="349"/>
    </row>
    <row r="5264" spans="16:17" x14ac:dyDescent="0.3">
      <c r="P5264" s="349"/>
      <c r="Q5264" s="349"/>
    </row>
    <row r="5265" spans="16:17" x14ac:dyDescent="0.3">
      <c r="P5265" s="349"/>
      <c r="Q5265" s="349"/>
    </row>
    <row r="5266" spans="16:17" x14ac:dyDescent="0.3">
      <c r="P5266" s="349"/>
      <c r="Q5266" s="349"/>
    </row>
    <row r="5267" spans="16:17" x14ac:dyDescent="0.3">
      <c r="P5267" s="349"/>
      <c r="Q5267" s="349"/>
    </row>
    <row r="5268" spans="16:17" x14ac:dyDescent="0.3">
      <c r="P5268" s="349"/>
      <c r="Q5268" s="349"/>
    </row>
    <row r="5269" spans="16:17" x14ac:dyDescent="0.3">
      <c r="P5269" s="349"/>
      <c r="Q5269" s="349"/>
    </row>
    <row r="5270" spans="16:17" x14ac:dyDescent="0.3">
      <c r="P5270" s="349"/>
      <c r="Q5270" s="349"/>
    </row>
    <row r="5271" spans="16:17" x14ac:dyDescent="0.3">
      <c r="P5271" s="349"/>
      <c r="Q5271" s="349"/>
    </row>
    <row r="5272" spans="16:17" x14ac:dyDescent="0.3">
      <c r="P5272" s="349"/>
      <c r="Q5272" s="349"/>
    </row>
    <row r="5273" spans="16:17" x14ac:dyDescent="0.3">
      <c r="P5273" s="349"/>
      <c r="Q5273" s="349"/>
    </row>
    <row r="5274" spans="16:17" x14ac:dyDescent="0.3">
      <c r="P5274" s="349"/>
      <c r="Q5274" s="349"/>
    </row>
    <row r="5275" spans="16:17" x14ac:dyDescent="0.3">
      <c r="P5275" s="349"/>
      <c r="Q5275" s="349"/>
    </row>
    <row r="5276" spans="16:17" x14ac:dyDescent="0.3">
      <c r="P5276" s="349"/>
      <c r="Q5276" s="349"/>
    </row>
    <row r="5277" spans="16:17" x14ac:dyDescent="0.3">
      <c r="P5277" s="349"/>
      <c r="Q5277" s="349"/>
    </row>
    <row r="5278" spans="16:17" x14ac:dyDescent="0.3">
      <c r="P5278" s="349"/>
      <c r="Q5278" s="349"/>
    </row>
    <row r="5279" spans="16:17" x14ac:dyDescent="0.3">
      <c r="P5279" s="349"/>
      <c r="Q5279" s="349"/>
    </row>
    <row r="5280" spans="16:17" x14ac:dyDescent="0.3">
      <c r="P5280" s="349"/>
      <c r="Q5280" s="349"/>
    </row>
    <row r="5281" spans="16:17" x14ac:dyDescent="0.3">
      <c r="P5281" s="349"/>
      <c r="Q5281" s="349"/>
    </row>
    <row r="5282" spans="16:17" x14ac:dyDescent="0.3">
      <c r="P5282" s="349"/>
      <c r="Q5282" s="349"/>
    </row>
    <row r="5283" spans="16:17" x14ac:dyDescent="0.3">
      <c r="P5283" s="349"/>
      <c r="Q5283" s="349"/>
    </row>
    <row r="5284" spans="16:17" x14ac:dyDescent="0.3">
      <c r="P5284" s="349"/>
      <c r="Q5284" s="349"/>
    </row>
    <row r="5285" spans="16:17" x14ac:dyDescent="0.3">
      <c r="P5285" s="349"/>
      <c r="Q5285" s="349"/>
    </row>
    <row r="5286" spans="16:17" x14ac:dyDescent="0.3">
      <c r="P5286" s="349"/>
      <c r="Q5286" s="349"/>
    </row>
    <row r="5287" spans="16:17" x14ac:dyDescent="0.3">
      <c r="P5287" s="349"/>
      <c r="Q5287" s="349"/>
    </row>
    <row r="5288" spans="16:17" x14ac:dyDescent="0.3">
      <c r="P5288" s="349"/>
      <c r="Q5288" s="349"/>
    </row>
    <row r="5289" spans="16:17" x14ac:dyDescent="0.3">
      <c r="P5289" s="349"/>
      <c r="Q5289" s="349"/>
    </row>
    <row r="5290" spans="16:17" x14ac:dyDescent="0.3">
      <c r="P5290" s="349"/>
      <c r="Q5290" s="349"/>
    </row>
    <row r="5291" spans="16:17" x14ac:dyDescent="0.3">
      <c r="P5291" s="349"/>
      <c r="Q5291" s="349"/>
    </row>
    <row r="5292" spans="16:17" x14ac:dyDescent="0.3">
      <c r="P5292" s="349"/>
      <c r="Q5292" s="349"/>
    </row>
    <row r="5293" spans="16:17" x14ac:dyDescent="0.3">
      <c r="P5293" s="349"/>
      <c r="Q5293" s="349"/>
    </row>
    <row r="5294" spans="16:17" x14ac:dyDescent="0.3">
      <c r="P5294" s="349"/>
      <c r="Q5294" s="349"/>
    </row>
    <row r="5295" spans="16:17" x14ac:dyDescent="0.3">
      <c r="P5295" s="349"/>
      <c r="Q5295" s="349"/>
    </row>
    <row r="5296" spans="16:17" x14ac:dyDescent="0.3">
      <c r="P5296" s="349"/>
      <c r="Q5296" s="349"/>
    </row>
    <row r="5297" spans="16:17" x14ac:dyDescent="0.3">
      <c r="P5297" s="349"/>
      <c r="Q5297" s="349"/>
    </row>
    <row r="5298" spans="16:17" x14ac:dyDescent="0.3">
      <c r="P5298" s="349"/>
      <c r="Q5298" s="349"/>
    </row>
    <row r="5299" spans="16:17" x14ac:dyDescent="0.3">
      <c r="P5299" s="349"/>
      <c r="Q5299" s="349"/>
    </row>
    <row r="5300" spans="16:17" x14ac:dyDescent="0.3">
      <c r="P5300" s="349"/>
      <c r="Q5300" s="349"/>
    </row>
    <row r="5301" spans="16:17" x14ac:dyDescent="0.3">
      <c r="P5301" s="349"/>
      <c r="Q5301" s="349"/>
    </row>
    <row r="5302" spans="16:17" x14ac:dyDescent="0.3">
      <c r="P5302" s="349"/>
      <c r="Q5302" s="349"/>
    </row>
    <row r="5303" spans="16:17" x14ac:dyDescent="0.3">
      <c r="P5303" s="349"/>
      <c r="Q5303" s="349"/>
    </row>
    <row r="5304" spans="16:17" x14ac:dyDescent="0.3">
      <c r="P5304" s="349"/>
      <c r="Q5304" s="349"/>
    </row>
    <row r="5305" spans="16:17" x14ac:dyDescent="0.3">
      <c r="P5305" s="349"/>
      <c r="Q5305" s="349"/>
    </row>
    <row r="5306" spans="16:17" x14ac:dyDescent="0.3">
      <c r="P5306" s="349"/>
      <c r="Q5306" s="349"/>
    </row>
    <row r="5307" spans="16:17" x14ac:dyDescent="0.3">
      <c r="P5307" s="349"/>
      <c r="Q5307" s="349"/>
    </row>
    <row r="5308" spans="16:17" x14ac:dyDescent="0.3">
      <c r="P5308" s="349"/>
      <c r="Q5308" s="349"/>
    </row>
    <row r="5309" spans="16:17" x14ac:dyDescent="0.3">
      <c r="P5309" s="349"/>
      <c r="Q5309" s="349"/>
    </row>
    <row r="5310" spans="16:17" x14ac:dyDescent="0.3">
      <c r="P5310" s="349"/>
      <c r="Q5310" s="349"/>
    </row>
    <row r="5311" spans="16:17" x14ac:dyDescent="0.3">
      <c r="P5311" s="349"/>
      <c r="Q5311" s="349"/>
    </row>
    <row r="5312" spans="16:17" x14ac:dyDescent="0.3">
      <c r="P5312" s="349"/>
      <c r="Q5312" s="349"/>
    </row>
    <row r="5313" spans="16:17" x14ac:dyDescent="0.3">
      <c r="P5313" s="349"/>
      <c r="Q5313" s="349"/>
    </row>
    <row r="5314" spans="16:17" x14ac:dyDescent="0.3">
      <c r="P5314" s="349"/>
      <c r="Q5314" s="349"/>
    </row>
    <row r="5315" spans="16:17" x14ac:dyDescent="0.3">
      <c r="P5315" s="349"/>
      <c r="Q5315" s="349"/>
    </row>
    <row r="5316" spans="16:17" x14ac:dyDescent="0.3">
      <c r="P5316" s="349"/>
      <c r="Q5316" s="349"/>
    </row>
    <row r="5317" spans="16:17" x14ac:dyDescent="0.3">
      <c r="P5317" s="349"/>
      <c r="Q5317" s="349"/>
    </row>
    <row r="5318" spans="16:17" x14ac:dyDescent="0.3">
      <c r="P5318" s="349"/>
      <c r="Q5318" s="349"/>
    </row>
    <row r="5319" spans="16:17" x14ac:dyDescent="0.3">
      <c r="P5319" s="349"/>
      <c r="Q5319" s="349"/>
    </row>
    <row r="5320" spans="16:17" x14ac:dyDescent="0.3">
      <c r="P5320" s="349"/>
      <c r="Q5320" s="349"/>
    </row>
    <row r="5321" spans="16:17" x14ac:dyDescent="0.3">
      <c r="P5321" s="349"/>
      <c r="Q5321" s="349"/>
    </row>
    <row r="5322" spans="16:17" x14ac:dyDescent="0.3">
      <c r="P5322" s="349"/>
      <c r="Q5322" s="349"/>
    </row>
    <row r="5323" spans="16:17" x14ac:dyDescent="0.3">
      <c r="P5323" s="349"/>
      <c r="Q5323" s="349"/>
    </row>
    <row r="5324" spans="16:17" x14ac:dyDescent="0.3">
      <c r="P5324" s="349"/>
      <c r="Q5324" s="349"/>
    </row>
    <row r="5325" spans="16:17" x14ac:dyDescent="0.3">
      <c r="P5325" s="349"/>
      <c r="Q5325" s="349"/>
    </row>
    <row r="5326" spans="16:17" x14ac:dyDescent="0.3">
      <c r="P5326" s="349"/>
      <c r="Q5326" s="349"/>
    </row>
    <row r="5327" spans="16:17" x14ac:dyDescent="0.3">
      <c r="P5327" s="349"/>
      <c r="Q5327" s="349"/>
    </row>
    <row r="5328" spans="16:17" x14ac:dyDescent="0.3">
      <c r="P5328" s="349"/>
      <c r="Q5328" s="349"/>
    </row>
    <row r="5329" spans="16:17" x14ac:dyDescent="0.3">
      <c r="P5329" s="349"/>
      <c r="Q5329" s="349"/>
    </row>
    <row r="5330" spans="16:17" x14ac:dyDescent="0.3">
      <c r="P5330" s="349"/>
      <c r="Q5330" s="349"/>
    </row>
    <row r="5331" spans="16:17" x14ac:dyDescent="0.3">
      <c r="P5331" s="349"/>
      <c r="Q5331" s="349"/>
    </row>
    <row r="5332" spans="16:17" x14ac:dyDescent="0.3">
      <c r="P5332" s="349"/>
      <c r="Q5332" s="349"/>
    </row>
    <row r="5333" spans="16:17" x14ac:dyDescent="0.3">
      <c r="P5333" s="349"/>
      <c r="Q5333" s="349"/>
    </row>
    <row r="5334" spans="16:17" x14ac:dyDescent="0.3">
      <c r="P5334" s="349"/>
      <c r="Q5334" s="349"/>
    </row>
    <row r="5335" spans="16:17" x14ac:dyDescent="0.3">
      <c r="P5335" s="349"/>
      <c r="Q5335" s="349"/>
    </row>
    <row r="5336" spans="16:17" x14ac:dyDescent="0.3">
      <c r="P5336" s="349"/>
      <c r="Q5336" s="349"/>
    </row>
    <row r="5337" spans="16:17" x14ac:dyDescent="0.3">
      <c r="P5337" s="349"/>
      <c r="Q5337" s="349"/>
    </row>
    <row r="5338" spans="16:17" x14ac:dyDescent="0.3">
      <c r="P5338" s="349"/>
      <c r="Q5338" s="349"/>
    </row>
    <row r="5339" spans="16:17" x14ac:dyDescent="0.3">
      <c r="P5339" s="349"/>
      <c r="Q5339" s="349"/>
    </row>
    <row r="5340" spans="16:17" x14ac:dyDescent="0.3">
      <c r="P5340" s="349"/>
      <c r="Q5340" s="349"/>
    </row>
    <row r="5341" spans="16:17" x14ac:dyDescent="0.3">
      <c r="P5341" s="349"/>
      <c r="Q5341" s="349"/>
    </row>
    <row r="5342" spans="16:17" x14ac:dyDescent="0.3">
      <c r="P5342" s="349"/>
      <c r="Q5342" s="349"/>
    </row>
    <row r="5343" spans="16:17" x14ac:dyDescent="0.3">
      <c r="P5343" s="349"/>
      <c r="Q5343" s="349"/>
    </row>
    <row r="5344" spans="16:17" x14ac:dyDescent="0.3">
      <c r="P5344" s="349"/>
      <c r="Q5344" s="349"/>
    </row>
    <row r="5345" spans="16:17" x14ac:dyDescent="0.3">
      <c r="P5345" s="349"/>
      <c r="Q5345" s="349"/>
    </row>
    <row r="5346" spans="16:17" x14ac:dyDescent="0.3">
      <c r="P5346" s="349"/>
      <c r="Q5346" s="349"/>
    </row>
    <row r="5347" spans="16:17" x14ac:dyDescent="0.3">
      <c r="P5347" s="349"/>
      <c r="Q5347" s="349"/>
    </row>
    <row r="5348" spans="16:17" x14ac:dyDescent="0.3">
      <c r="P5348" s="349"/>
      <c r="Q5348" s="349"/>
    </row>
    <row r="5349" spans="16:17" x14ac:dyDescent="0.3">
      <c r="P5349" s="349"/>
      <c r="Q5349" s="349"/>
    </row>
    <row r="5350" spans="16:17" x14ac:dyDescent="0.3">
      <c r="P5350" s="349"/>
      <c r="Q5350" s="349"/>
    </row>
    <row r="5351" spans="16:17" x14ac:dyDescent="0.3">
      <c r="P5351" s="349"/>
      <c r="Q5351" s="349"/>
    </row>
    <row r="5352" spans="16:17" x14ac:dyDescent="0.3">
      <c r="P5352" s="349"/>
      <c r="Q5352" s="349"/>
    </row>
    <row r="5353" spans="16:17" x14ac:dyDescent="0.3">
      <c r="P5353" s="349"/>
      <c r="Q5353" s="349"/>
    </row>
    <row r="5354" spans="16:17" x14ac:dyDescent="0.3">
      <c r="P5354" s="349"/>
      <c r="Q5354" s="349"/>
    </row>
    <row r="5355" spans="16:17" x14ac:dyDescent="0.3">
      <c r="P5355" s="349"/>
      <c r="Q5355" s="349"/>
    </row>
    <row r="5356" spans="16:17" x14ac:dyDescent="0.3">
      <c r="P5356" s="349"/>
      <c r="Q5356" s="349"/>
    </row>
    <row r="5357" spans="16:17" x14ac:dyDescent="0.3">
      <c r="P5357" s="349"/>
      <c r="Q5357" s="349"/>
    </row>
    <row r="5358" spans="16:17" x14ac:dyDescent="0.3">
      <c r="P5358" s="349"/>
      <c r="Q5358" s="349"/>
    </row>
    <row r="5359" spans="16:17" x14ac:dyDescent="0.3">
      <c r="P5359" s="349"/>
      <c r="Q5359" s="349"/>
    </row>
    <row r="5360" spans="16:17" x14ac:dyDescent="0.3">
      <c r="P5360" s="349"/>
      <c r="Q5360" s="349"/>
    </row>
    <row r="5361" spans="16:17" x14ac:dyDescent="0.3">
      <c r="P5361" s="349"/>
      <c r="Q5361" s="349"/>
    </row>
    <row r="5362" spans="16:17" x14ac:dyDescent="0.3">
      <c r="P5362" s="349"/>
      <c r="Q5362" s="349"/>
    </row>
    <row r="5363" spans="16:17" x14ac:dyDescent="0.3">
      <c r="P5363" s="349"/>
      <c r="Q5363" s="349"/>
    </row>
    <row r="5364" spans="16:17" x14ac:dyDescent="0.3">
      <c r="P5364" s="349"/>
      <c r="Q5364" s="349"/>
    </row>
    <row r="5365" spans="16:17" x14ac:dyDescent="0.3">
      <c r="P5365" s="349"/>
      <c r="Q5365" s="349"/>
    </row>
    <row r="5366" spans="16:17" x14ac:dyDescent="0.3">
      <c r="P5366" s="349"/>
      <c r="Q5366" s="349"/>
    </row>
    <row r="5367" spans="16:17" x14ac:dyDescent="0.3">
      <c r="P5367" s="349"/>
      <c r="Q5367" s="349"/>
    </row>
    <row r="5368" spans="16:17" x14ac:dyDescent="0.3">
      <c r="P5368" s="349"/>
      <c r="Q5368" s="349"/>
    </row>
    <row r="5369" spans="16:17" x14ac:dyDescent="0.3">
      <c r="P5369" s="349"/>
      <c r="Q5369" s="349"/>
    </row>
    <row r="5370" spans="16:17" x14ac:dyDescent="0.3">
      <c r="P5370" s="349"/>
      <c r="Q5370" s="349"/>
    </row>
    <row r="5371" spans="16:17" x14ac:dyDescent="0.3">
      <c r="P5371" s="349"/>
      <c r="Q5371" s="349"/>
    </row>
    <row r="5372" spans="16:17" x14ac:dyDescent="0.3">
      <c r="P5372" s="349"/>
      <c r="Q5372" s="349"/>
    </row>
    <row r="5373" spans="16:17" x14ac:dyDescent="0.3">
      <c r="P5373" s="349"/>
      <c r="Q5373" s="349"/>
    </row>
    <row r="5374" spans="16:17" x14ac:dyDescent="0.3">
      <c r="P5374" s="349"/>
      <c r="Q5374" s="349"/>
    </row>
    <row r="5375" spans="16:17" x14ac:dyDescent="0.3">
      <c r="P5375" s="349"/>
      <c r="Q5375" s="349"/>
    </row>
    <row r="5376" spans="16:17" x14ac:dyDescent="0.3">
      <c r="P5376" s="349"/>
      <c r="Q5376" s="349"/>
    </row>
    <row r="5377" spans="16:17" x14ac:dyDescent="0.3">
      <c r="P5377" s="349"/>
      <c r="Q5377" s="349"/>
    </row>
    <row r="5378" spans="16:17" x14ac:dyDescent="0.3">
      <c r="P5378" s="349"/>
      <c r="Q5378" s="349"/>
    </row>
    <row r="5379" spans="16:17" x14ac:dyDescent="0.3">
      <c r="P5379" s="349"/>
      <c r="Q5379" s="349"/>
    </row>
    <row r="5380" spans="16:17" x14ac:dyDescent="0.3">
      <c r="P5380" s="349"/>
      <c r="Q5380" s="349"/>
    </row>
    <row r="5381" spans="16:17" x14ac:dyDescent="0.3">
      <c r="P5381" s="349"/>
      <c r="Q5381" s="349"/>
    </row>
    <row r="5382" spans="16:17" x14ac:dyDescent="0.3">
      <c r="P5382" s="349"/>
      <c r="Q5382" s="349"/>
    </row>
    <row r="5383" spans="16:17" x14ac:dyDescent="0.3">
      <c r="P5383" s="349"/>
      <c r="Q5383" s="349"/>
    </row>
    <row r="5384" spans="16:17" x14ac:dyDescent="0.3">
      <c r="P5384" s="349"/>
      <c r="Q5384" s="349"/>
    </row>
    <row r="5385" spans="16:17" x14ac:dyDescent="0.3">
      <c r="P5385" s="349"/>
      <c r="Q5385" s="349"/>
    </row>
    <row r="5386" spans="16:17" x14ac:dyDescent="0.3">
      <c r="P5386" s="349"/>
      <c r="Q5386" s="349"/>
    </row>
    <row r="5387" spans="16:17" x14ac:dyDescent="0.3">
      <c r="P5387" s="349"/>
      <c r="Q5387" s="349"/>
    </row>
    <row r="5388" spans="16:17" x14ac:dyDescent="0.3">
      <c r="P5388" s="349"/>
      <c r="Q5388" s="349"/>
    </row>
    <row r="5389" spans="16:17" x14ac:dyDescent="0.3">
      <c r="P5389" s="349"/>
      <c r="Q5389" s="349"/>
    </row>
    <row r="5390" spans="16:17" x14ac:dyDescent="0.3">
      <c r="P5390" s="349"/>
      <c r="Q5390" s="349"/>
    </row>
    <row r="5391" spans="16:17" x14ac:dyDescent="0.3">
      <c r="P5391" s="349"/>
      <c r="Q5391" s="349"/>
    </row>
    <row r="5392" spans="16:17" x14ac:dyDescent="0.3">
      <c r="P5392" s="349"/>
      <c r="Q5392" s="349"/>
    </row>
    <row r="5393" spans="16:17" x14ac:dyDescent="0.3">
      <c r="P5393" s="349"/>
      <c r="Q5393" s="349"/>
    </row>
    <row r="5394" spans="16:17" x14ac:dyDescent="0.3">
      <c r="P5394" s="349"/>
      <c r="Q5394" s="349"/>
    </row>
    <row r="5395" spans="16:17" x14ac:dyDescent="0.3">
      <c r="P5395" s="349"/>
      <c r="Q5395" s="349"/>
    </row>
    <row r="5396" spans="16:17" x14ac:dyDescent="0.3">
      <c r="P5396" s="349"/>
      <c r="Q5396" s="349"/>
    </row>
    <row r="5397" spans="16:17" x14ac:dyDescent="0.3">
      <c r="P5397" s="349"/>
      <c r="Q5397" s="349"/>
    </row>
    <row r="5398" spans="16:17" x14ac:dyDescent="0.3">
      <c r="P5398" s="349"/>
      <c r="Q5398" s="349"/>
    </row>
    <row r="5399" spans="16:17" x14ac:dyDescent="0.3">
      <c r="P5399" s="349"/>
      <c r="Q5399" s="349"/>
    </row>
    <row r="5400" spans="16:17" x14ac:dyDescent="0.3">
      <c r="P5400" s="349"/>
      <c r="Q5400" s="349"/>
    </row>
    <row r="5401" spans="16:17" x14ac:dyDescent="0.3">
      <c r="P5401" s="349"/>
      <c r="Q5401" s="349"/>
    </row>
    <row r="5402" spans="16:17" x14ac:dyDescent="0.3">
      <c r="P5402" s="349"/>
      <c r="Q5402" s="349"/>
    </row>
    <row r="5403" spans="16:17" x14ac:dyDescent="0.3">
      <c r="P5403" s="349"/>
      <c r="Q5403" s="349"/>
    </row>
    <row r="5404" spans="16:17" x14ac:dyDescent="0.3">
      <c r="P5404" s="349"/>
      <c r="Q5404" s="349"/>
    </row>
    <row r="5405" spans="16:17" x14ac:dyDescent="0.3">
      <c r="P5405" s="349"/>
      <c r="Q5405" s="349"/>
    </row>
    <row r="5406" spans="16:17" x14ac:dyDescent="0.3">
      <c r="P5406" s="349"/>
      <c r="Q5406" s="349"/>
    </row>
    <row r="5407" spans="16:17" x14ac:dyDescent="0.3">
      <c r="P5407" s="349"/>
      <c r="Q5407" s="349"/>
    </row>
    <row r="5408" spans="16:17" x14ac:dyDescent="0.3">
      <c r="P5408" s="349"/>
      <c r="Q5408" s="349"/>
    </row>
    <row r="5409" spans="16:17" x14ac:dyDescent="0.3">
      <c r="P5409" s="349"/>
      <c r="Q5409" s="349"/>
    </row>
    <row r="5410" spans="16:17" x14ac:dyDescent="0.3">
      <c r="P5410" s="349"/>
      <c r="Q5410" s="349"/>
    </row>
    <row r="5411" spans="16:17" x14ac:dyDescent="0.3">
      <c r="P5411" s="349"/>
      <c r="Q5411" s="349"/>
    </row>
    <row r="5412" spans="16:17" x14ac:dyDescent="0.3">
      <c r="P5412" s="349"/>
      <c r="Q5412" s="349"/>
    </row>
    <row r="5413" spans="16:17" x14ac:dyDescent="0.3">
      <c r="P5413" s="349"/>
      <c r="Q5413" s="349"/>
    </row>
    <row r="5414" spans="16:17" x14ac:dyDescent="0.3">
      <c r="P5414" s="349"/>
      <c r="Q5414" s="349"/>
    </row>
    <row r="5415" spans="16:17" x14ac:dyDescent="0.3">
      <c r="P5415" s="349"/>
      <c r="Q5415" s="349"/>
    </row>
    <row r="5416" spans="16:17" x14ac:dyDescent="0.3">
      <c r="P5416" s="349"/>
      <c r="Q5416" s="349"/>
    </row>
    <row r="5417" spans="16:17" x14ac:dyDescent="0.3">
      <c r="P5417" s="349"/>
      <c r="Q5417" s="349"/>
    </row>
    <row r="5418" spans="16:17" x14ac:dyDescent="0.3">
      <c r="P5418" s="349"/>
      <c r="Q5418" s="349"/>
    </row>
    <row r="5419" spans="16:17" x14ac:dyDescent="0.3">
      <c r="P5419" s="349"/>
      <c r="Q5419" s="349"/>
    </row>
    <row r="5420" spans="16:17" x14ac:dyDescent="0.3">
      <c r="P5420" s="349"/>
      <c r="Q5420" s="349"/>
    </row>
    <row r="5421" spans="16:17" x14ac:dyDescent="0.3">
      <c r="P5421" s="349"/>
      <c r="Q5421" s="349"/>
    </row>
    <row r="5422" spans="16:17" x14ac:dyDescent="0.3">
      <c r="P5422" s="349"/>
      <c r="Q5422" s="349"/>
    </row>
    <row r="5423" spans="16:17" x14ac:dyDescent="0.3">
      <c r="P5423" s="349"/>
      <c r="Q5423" s="349"/>
    </row>
    <row r="5424" spans="16:17" x14ac:dyDescent="0.3">
      <c r="P5424" s="349"/>
      <c r="Q5424" s="349"/>
    </row>
    <row r="5425" spans="16:17" x14ac:dyDescent="0.3">
      <c r="P5425" s="349"/>
      <c r="Q5425" s="349"/>
    </row>
    <row r="5426" spans="16:17" x14ac:dyDescent="0.3">
      <c r="P5426" s="349"/>
      <c r="Q5426" s="349"/>
    </row>
    <row r="5427" spans="16:17" x14ac:dyDescent="0.3">
      <c r="P5427" s="349"/>
      <c r="Q5427" s="349"/>
    </row>
    <row r="5428" spans="16:17" x14ac:dyDescent="0.3">
      <c r="P5428" s="349"/>
      <c r="Q5428" s="349"/>
    </row>
    <row r="5429" spans="16:17" x14ac:dyDescent="0.3">
      <c r="P5429" s="349"/>
      <c r="Q5429" s="349"/>
    </row>
    <row r="5430" spans="16:17" x14ac:dyDescent="0.3">
      <c r="P5430" s="349"/>
      <c r="Q5430" s="349"/>
    </row>
    <row r="5431" spans="16:17" x14ac:dyDescent="0.3">
      <c r="P5431" s="349"/>
      <c r="Q5431" s="349"/>
    </row>
    <row r="5432" spans="16:17" x14ac:dyDescent="0.3">
      <c r="P5432" s="349"/>
      <c r="Q5432" s="349"/>
    </row>
    <row r="5433" spans="16:17" x14ac:dyDescent="0.3">
      <c r="P5433" s="349"/>
      <c r="Q5433" s="349"/>
    </row>
    <row r="5434" spans="16:17" x14ac:dyDescent="0.3">
      <c r="P5434" s="349"/>
      <c r="Q5434" s="349"/>
    </row>
    <row r="5435" spans="16:17" x14ac:dyDescent="0.3">
      <c r="P5435" s="349"/>
      <c r="Q5435" s="349"/>
    </row>
    <row r="5436" spans="16:17" x14ac:dyDescent="0.3">
      <c r="P5436" s="349"/>
      <c r="Q5436" s="349"/>
    </row>
    <row r="5437" spans="16:17" x14ac:dyDescent="0.3">
      <c r="P5437" s="349"/>
      <c r="Q5437" s="349"/>
    </row>
    <row r="5438" spans="16:17" x14ac:dyDescent="0.3">
      <c r="P5438" s="349"/>
      <c r="Q5438" s="349"/>
    </row>
    <row r="5439" spans="16:17" x14ac:dyDescent="0.3">
      <c r="P5439" s="349"/>
      <c r="Q5439" s="349"/>
    </row>
    <row r="5440" spans="16:17" x14ac:dyDescent="0.3">
      <c r="P5440" s="349"/>
      <c r="Q5440" s="349"/>
    </row>
    <row r="5441" spans="16:17" x14ac:dyDescent="0.3">
      <c r="P5441" s="349"/>
      <c r="Q5441" s="349"/>
    </row>
    <row r="5442" spans="16:17" x14ac:dyDescent="0.3">
      <c r="P5442" s="349"/>
      <c r="Q5442" s="349"/>
    </row>
    <row r="5443" spans="16:17" x14ac:dyDescent="0.3">
      <c r="P5443" s="349"/>
      <c r="Q5443" s="349"/>
    </row>
    <row r="5444" spans="16:17" x14ac:dyDescent="0.3">
      <c r="P5444" s="349"/>
      <c r="Q5444" s="349"/>
    </row>
    <row r="5445" spans="16:17" x14ac:dyDescent="0.3">
      <c r="P5445" s="349"/>
      <c r="Q5445" s="349"/>
    </row>
    <row r="5446" spans="16:17" x14ac:dyDescent="0.3">
      <c r="P5446" s="349"/>
      <c r="Q5446" s="349"/>
    </row>
    <row r="5447" spans="16:17" x14ac:dyDescent="0.3">
      <c r="P5447" s="349"/>
      <c r="Q5447" s="349"/>
    </row>
    <row r="5448" spans="16:17" x14ac:dyDescent="0.3">
      <c r="P5448" s="349"/>
      <c r="Q5448" s="349"/>
    </row>
    <row r="5449" spans="16:17" x14ac:dyDescent="0.3">
      <c r="P5449" s="349"/>
      <c r="Q5449" s="349"/>
    </row>
    <row r="5450" spans="16:17" x14ac:dyDescent="0.3">
      <c r="P5450" s="349"/>
      <c r="Q5450" s="349"/>
    </row>
    <row r="5451" spans="16:17" x14ac:dyDescent="0.3">
      <c r="P5451" s="349"/>
      <c r="Q5451" s="349"/>
    </row>
    <row r="5452" spans="16:17" x14ac:dyDescent="0.3">
      <c r="P5452" s="349"/>
      <c r="Q5452" s="349"/>
    </row>
    <row r="5453" spans="16:17" x14ac:dyDescent="0.3">
      <c r="P5453" s="349"/>
      <c r="Q5453" s="349"/>
    </row>
    <row r="5454" spans="16:17" x14ac:dyDescent="0.3">
      <c r="P5454" s="349"/>
      <c r="Q5454" s="349"/>
    </row>
    <row r="5455" spans="16:17" x14ac:dyDescent="0.3">
      <c r="P5455" s="349"/>
      <c r="Q5455" s="349"/>
    </row>
    <row r="5456" spans="16:17" x14ac:dyDescent="0.3">
      <c r="P5456" s="349"/>
      <c r="Q5456" s="349"/>
    </row>
    <row r="5457" spans="16:17" x14ac:dyDescent="0.3">
      <c r="P5457" s="349"/>
      <c r="Q5457" s="349"/>
    </row>
    <row r="5458" spans="16:17" x14ac:dyDescent="0.3">
      <c r="P5458" s="349"/>
      <c r="Q5458" s="349"/>
    </row>
    <row r="5459" spans="16:17" x14ac:dyDescent="0.3">
      <c r="P5459" s="349"/>
      <c r="Q5459" s="349"/>
    </row>
    <row r="5460" spans="16:17" x14ac:dyDescent="0.3">
      <c r="P5460" s="349"/>
      <c r="Q5460" s="349"/>
    </row>
    <row r="5461" spans="16:17" x14ac:dyDescent="0.3">
      <c r="P5461" s="349"/>
      <c r="Q5461" s="349"/>
    </row>
    <row r="5462" spans="16:17" x14ac:dyDescent="0.3">
      <c r="P5462" s="349"/>
      <c r="Q5462" s="349"/>
    </row>
    <row r="5463" spans="16:17" x14ac:dyDescent="0.3">
      <c r="P5463" s="349"/>
      <c r="Q5463" s="349"/>
    </row>
    <row r="5464" spans="16:17" x14ac:dyDescent="0.3">
      <c r="P5464" s="349"/>
      <c r="Q5464" s="349"/>
    </row>
    <row r="5465" spans="16:17" x14ac:dyDescent="0.3">
      <c r="P5465" s="349"/>
      <c r="Q5465" s="349"/>
    </row>
    <row r="5466" spans="16:17" x14ac:dyDescent="0.3">
      <c r="P5466" s="349"/>
      <c r="Q5466" s="349"/>
    </row>
    <row r="5467" spans="16:17" x14ac:dyDescent="0.3">
      <c r="P5467" s="349"/>
      <c r="Q5467" s="349"/>
    </row>
    <row r="5468" spans="16:17" x14ac:dyDescent="0.3">
      <c r="P5468" s="349"/>
      <c r="Q5468" s="349"/>
    </row>
    <row r="5469" spans="16:17" x14ac:dyDescent="0.3">
      <c r="P5469" s="349"/>
      <c r="Q5469" s="349"/>
    </row>
    <row r="5470" spans="16:17" x14ac:dyDescent="0.3">
      <c r="P5470" s="349"/>
      <c r="Q5470" s="349"/>
    </row>
    <row r="5471" spans="16:17" x14ac:dyDescent="0.3">
      <c r="P5471" s="349"/>
      <c r="Q5471" s="349"/>
    </row>
    <row r="5472" spans="16:17" x14ac:dyDescent="0.3">
      <c r="P5472" s="349"/>
      <c r="Q5472" s="349"/>
    </row>
    <row r="5473" spans="16:17" x14ac:dyDescent="0.3">
      <c r="P5473" s="349"/>
      <c r="Q5473" s="349"/>
    </row>
    <row r="5474" spans="16:17" x14ac:dyDescent="0.3">
      <c r="P5474" s="349"/>
      <c r="Q5474" s="349"/>
    </row>
    <row r="5475" spans="16:17" x14ac:dyDescent="0.3">
      <c r="P5475" s="349"/>
      <c r="Q5475" s="349"/>
    </row>
    <row r="5476" spans="16:17" x14ac:dyDescent="0.3">
      <c r="P5476" s="349"/>
      <c r="Q5476" s="349"/>
    </row>
    <row r="5477" spans="16:17" x14ac:dyDescent="0.3">
      <c r="P5477" s="349"/>
      <c r="Q5477" s="349"/>
    </row>
    <row r="5478" spans="16:17" x14ac:dyDescent="0.3">
      <c r="P5478" s="349"/>
      <c r="Q5478" s="349"/>
    </row>
    <row r="5479" spans="16:17" x14ac:dyDescent="0.3">
      <c r="P5479" s="349"/>
      <c r="Q5479" s="349"/>
    </row>
    <row r="5480" spans="16:17" x14ac:dyDescent="0.3">
      <c r="P5480" s="349"/>
      <c r="Q5480" s="349"/>
    </row>
    <row r="5481" spans="16:17" x14ac:dyDescent="0.3">
      <c r="P5481" s="349"/>
      <c r="Q5481" s="349"/>
    </row>
    <row r="5482" spans="16:17" x14ac:dyDescent="0.3">
      <c r="P5482" s="349"/>
      <c r="Q5482" s="349"/>
    </row>
    <row r="5483" spans="16:17" x14ac:dyDescent="0.3">
      <c r="P5483" s="349"/>
      <c r="Q5483" s="349"/>
    </row>
    <row r="5484" spans="16:17" x14ac:dyDescent="0.3">
      <c r="P5484" s="349"/>
      <c r="Q5484" s="349"/>
    </row>
    <row r="5485" spans="16:17" x14ac:dyDescent="0.3">
      <c r="P5485" s="349"/>
      <c r="Q5485" s="349"/>
    </row>
    <row r="5486" spans="16:17" x14ac:dyDescent="0.3">
      <c r="P5486" s="349"/>
      <c r="Q5486" s="349"/>
    </row>
    <row r="5487" spans="16:17" x14ac:dyDescent="0.3">
      <c r="P5487" s="349"/>
      <c r="Q5487" s="349"/>
    </row>
    <row r="5488" spans="16:17" x14ac:dyDescent="0.3">
      <c r="P5488" s="349"/>
      <c r="Q5488" s="349"/>
    </row>
    <row r="5489" spans="16:17" x14ac:dyDescent="0.3">
      <c r="P5489" s="349"/>
      <c r="Q5489" s="349"/>
    </row>
    <row r="5490" spans="16:17" x14ac:dyDescent="0.3">
      <c r="P5490" s="349"/>
      <c r="Q5490" s="349"/>
    </row>
    <row r="5491" spans="16:17" x14ac:dyDescent="0.3">
      <c r="P5491" s="349"/>
      <c r="Q5491" s="349"/>
    </row>
    <row r="5492" spans="16:17" x14ac:dyDescent="0.3">
      <c r="P5492" s="349"/>
      <c r="Q5492" s="349"/>
    </row>
    <row r="5493" spans="16:17" x14ac:dyDescent="0.3">
      <c r="P5493" s="349"/>
      <c r="Q5493" s="349"/>
    </row>
    <row r="5494" spans="16:17" x14ac:dyDescent="0.3">
      <c r="P5494" s="349"/>
      <c r="Q5494" s="349"/>
    </row>
    <row r="5495" spans="16:17" x14ac:dyDescent="0.3">
      <c r="P5495" s="349"/>
      <c r="Q5495" s="349"/>
    </row>
    <row r="5496" spans="16:17" x14ac:dyDescent="0.3">
      <c r="P5496" s="349"/>
      <c r="Q5496" s="349"/>
    </row>
    <row r="5497" spans="16:17" x14ac:dyDescent="0.3">
      <c r="P5497" s="349"/>
      <c r="Q5497" s="349"/>
    </row>
    <row r="5498" spans="16:17" x14ac:dyDescent="0.3">
      <c r="P5498" s="349"/>
      <c r="Q5498" s="349"/>
    </row>
    <row r="5499" spans="16:17" x14ac:dyDescent="0.3">
      <c r="P5499" s="349"/>
      <c r="Q5499" s="349"/>
    </row>
    <row r="5500" spans="16:17" x14ac:dyDescent="0.3">
      <c r="P5500" s="349"/>
      <c r="Q5500" s="349"/>
    </row>
    <row r="5501" spans="16:17" x14ac:dyDescent="0.3">
      <c r="P5501" s="349"/>
      <c r="Q5501" s="349"/>
    </row>
    <row r="5502" spans="16:17" x14ac:dyDescent="0.3">
      <c r="P5502" s="349"/>
      <c r="Q5502" s="349"/>
    </row>
    <row r="5503" spans="16:17" x14ac:dyDescent="0.3">
      <c r="P5503" s="349"/>
      <c r="Q5503" s="349"/>
    </row>
    <row r="5504" spans="16:17" x14ac:dyDescent="0.3">
      <c r="P5504" s="349"/>
      <c r="Q5504" s="349"/>
    </row>
    <row r="5505" spans="16:17" x14ac:dyDescent="0.3">
      <c r="P5505" s="349"/>
      <c r="Q5505" s="349"/>
    </row>
    <row r="5506" spans="16:17" x14ac:dyDescent="0.3">
      <c r="P5506" s="349"/>
      <c r="Q5506" s="349"/>
    </row>
    <row r="5507" spans="16:17" x14ac:dyDescent="0.3">
      <c r="P5507" s="349"/>
      <c r="Q5507" s="349"/>
    </row>
    <row r="5508" spans="16:17" x14ac:dyDescent="0.3">
      <c r="P5508" s="349"/>
      <c r="Q5508" s="349"/>
    </row>
    <row r="5509" spans="16:17" x14ac:dyDescent="0.3">
      <c r="P5509" s="349"/>
      <c r="Q5509" s="349"/>
    </row>
    <row r="5510" spans="16:17" x14ac:dyDescent="0.3">
      <c r="P5510" s="349"/>
      <c r="Q5510" s="349"/>
    </row>
    <row r="5511" spans="16:17" x14ac:dyDescent="0.3">
      <c r="P5511" s="349"/>
      <c r="Q5511" s="349"/>
    </row>
    <row r="5512" spans="16:17" x14ac:dyDescent="0.3">
      <c r="P5512" s="349"/>
      <c r="Q5512" s="349"/>
    </row>
    <row r="5513" spans="16:17" x14ac:dyDescent="0.3">
      <c r="P5513" s="349"/>
      <c r="Q5513" s="349"/>
    </row>
    <row r="5514" spans="16:17" x14ac:dyDescent="0.3">
      <c r="P5514" s="349"/>
      <c r="Q5514" s="349"/>
    </row>
    <row r="5515" spans="16:17" x14ac:dyDescent="0.3">
      <c r="P5515" s="349"/>
      <c r="Q5515" s="349"/>
    </row>
    <row r="5516" spans="16:17" x14ac:dyDescent="0.3">
      <c r="P5516" s="349"/>
      <c r="Q5516" s="349"/>
    </row>
    <row r="5517" spans="16:17" x14ac:dyDescent="0.3">
      <c r="P5517" s="349"/>
      <c r="Q5517" s="349"/>
    </row>
    <row r="5518" spans="16:17" x14ac:dyDescent="0.3">
      <c r="P5518" s="349"/>
      <c r="Q5518" s="349"/>
    </row>
    <row r="5519" spans="16:17" x14ac:dyDescent="0.3">
      <c r="P5519" s="349"/>
      <c r="Q5519" s="349"/>
    </row>
    <row r="5520" spans="16:17" x14ac:dyDescent="0.3">
      <c r="P5520" s="349"/>
      <c r="Q5520" s="349"/>
    </row>
    <row r="5521" spans="16:17" x14ac:dyDescent="0.3">
      <c r="P5521" s="349"/>
      <c r="Q5521" s="349"/>
    </row>
    <row r="5522" spans="16:17" x14ac:dyDescent="0.3">
      <c r="P5522" s="349"/>
      <c r="Q5522" s="349"/>
    </row>
    <row r="5523" spans="16:17" x14ac:dyDescent="0.3">
      <c r="P5523" s="349"/>
      <c r="Q5523" s="349"/>
    </row>
    <row r="5524" spans="16:17" x14ac:dyDescent="0.3">
      <c r="P5524" s="349"/>
      <c r="Q5524" s="349"/>
    </row>
    <row r="5525" spans="16:17" x14ac:dyDescent="0.3">
      <c r="P5525" s="349"/>
      <c r="Q5525" s="349"/>
    </row>
    <row r="5526" spans="16:17" x14ac:dyDescent="0.3">
      <c r="P5526" s="349"/>
      <c r="Q5526" s="349"/>
    </row>
    <row r="5527" spans="16:17" x14ac:dyDescent="0.3">
      <c r="P5527" s="349"/>
      <c r="Q5527" s="349"/>
    </row>
    <row r="5528" spans="16:17" x14ac:dyDescent="0.3">
      <c r="P5528" s="349"/>
      <c r="Q5528" s="349"/>
    </row>
    <row r="5529" spans="16:17" x14ac:dyDescent="0.3">
      <c r="P5529" s="349"/>
      <c r="Q5529" s="349"/>
    </row>
    <row r="5530" spans="16:17" x14ac:dyDescent="0.3">
      <c r="P5530" s="349"/>
      <c r="Q5530" s="349"/>
    </row>
    <row r="5531" spans="16:17" x14ac:dyDescent="0.3">
      <c r="P5531" s="349"/>
      <c r="Q5531" s="349"/>
    </row>
    <row r="5532" spans="16:17" x14ac:dyDescent="0.3">
      <c r="P5532" s="349"/>
      <c r="Q5532" s="349"/>
    </row>
    <row r="5533" spans="16:17" x14ac:dyDescent="0.3">
      <c r="P5533" s="349"/>
      <c r="Q5533" s="349"/>
    </row>
    <row r="5534" spans="16:17" x14ac:dyDescent="0.3">
      <c r="P5534" s="349"/>
      <c r="Q5534" s="349"/>
    </row>
    <row r="5535" spans="16:17" x14ac:dyDescent="0.3">
      <c r="P5535" s="349"/>
      <c r="Q5535" s="349"/>
    </row>
    <row r="5536" spans="16:17" x14ac:dyDescent="0.3">
      <c r="P5536" s="349"/>
      <c r="Q5536" s="349"/>
    </row>
    <row r="5537" spans="16:17" x14ac:dyDescent="0.3">
      <c r="P5537" s="349"/>
      <c r="Q5537" s="349"/>
    </row>
    <row r="5538" spans="16:17" x14ac:dyDescent="0.3">
      <c r="P5538" s="349"/>
      <c r="Q5538" s="349"/>
    </row>
    <row r="5539" spans="16:17" x14ac:dyDescent="0.3">
      <c r="P5539" s="349"/>
      <c r="Q5539" s="349"/>
    </row>
    <row r="5540" spans="16:17" x14ac:dyDescent="0.3">
      <c r="P5540" s="349"/>
      <c r="Q5540" s="349"/>
    </row>
    <row r="5541" spans="16:17" x14ac:dyDescent="0.3">
      <c r="P5541" s="349"/>
      <c r="Q5541" s="349"/>
    </row>
    <row r="5542" spans="16:17" x14ac:dyDescent="0.3">
      <c r="P5542" s="349"/>
      <c r="Q5542" s="349"/>
    </row>
    <row r="5543" spans="16:17" x14ac:dyDescent="0.3">
      <c r="P5543" s="349"/>
      <c r="Q5543" s="349"/>
    </row>
    <row r="5544" spans="16:17" x14ac:dyDescent="0.3">
      <c r="P5544" s="349"/>
      <c r="Q5544" s="349"/>
    </row>
    <row r="5545" spans="16:17" x14ac:dyDescent="0.3">
      <c r="P5545" s="349"/>
      <c r="Q5545" s="349"/>
    </row>
    <row r="5546" spans="16:17" x14ac:dyDescent="0.3">
      <c r="P5546" s="349"/>
      <c r="Q5546" s="349"/>
    </row>
    <row r="5547" spans="16:17" x14ac:dyDescent="0.3">
      <c r="P5547" s="349"/>
      <c r="Q5547" s="349"/>
    </row>
    <row r="5548" spans="16:17" x14ac:dyDescent="0.3">
      <c r="P5548" s="349"/>
      <c r="Q5548" s="349"/>
    </row>
    <row r="5549" spans="16:17" x14ac:dyDescent="0.3">
      <c r="P5549" s="349"/>
      <c r="Q5549" s="349"/>
    </row>
    <row r="5550" spans="16:17" x14ac:dyDescent="0.3">
      <c r="P5550" s="349"/>
      <c r="Q5550" s="349"/>
    </row>
    <row r="5551" spans="16:17" x14ac:dyDescent="0.3">
      <c r="P5551" s="349"/>
      <c r="Q5551" s="349"/>
    </row>
    <row r="5552" spans="16:17" x14ac:dyDescent="0.3">
      <c r="P5552" s="349"/>
      <c r="Q5552" s="349"/>
    </row>
    <row r="5553" spans="16:17" x14ac:dyDescent="0.3">
      <c r="P5553" s="349"/>
      <c r="Q5553" s="349"/>
    </row>
    <row r="5554" spans="16:17" x14ac:dyDescent="0.3">
      <c r="P5554" s="349"/>
      <c r="Q5554" s="349"/>
    </row>
    <row r="5555" spans="16:17" x14ac:dyDescent="0.3">
      <c r="P5555" s="349"/>
      <c r="Q5555" s="349"/>
    </row>
    <row r="5556" spans="16:17" x14ac:dyDescent="0.3">
      <c r="P5556" s="349"/>
      <c r="Q5556" s="349"/>
    </row>
    <row r="5557" spans="16:17" x14ac:dyDescent="0.3">
      <c r="P5557" s="349"/>
      <c r="Q5557" s="349"/>
    </row>
    <row r="5558" spans="16:17" x14ac:dyDescent="0.3">
      <c r="P5558" s="349"/>
      <c r="Q5558" s="349"/>
    </row>
    <row r="5559" spans="16:17" x14ac:dyDescent="0.3">
      <c r="P5559" s="349"/>
      <c r="Q5559" s="349"/>
    </row>
    <row r="5560" spans="16:17" x14ac:dyDescent="0.3">
      <c r="P5560" s="349"/>
      <c r="Q5560" s="349"/>
    </row>
    <row r="5561" spans="16:17" x14ac:dyDescent="0.3">
      <c r="P5561" s="349"/>
      <c r="Q5561" s="349"/>
    </row>
    <row r="5562" spans="16:17" x14ac:dyDescent="0.3">
      <c r="P5562" s="349"/>
      <c r="Q5562" s="349"/>
    </row>
    <row r="5563" spans="16:17" x14ac:dyDescent="0.3">
      <c r="P5563" s="349"/>
      <c r="Q5563" s="349"/>
    </row>
    <row r="5564" spans="16:17" x14ac:dyDescent="0.3">
      <c r="P5564" s="349"/>
      <c r="Q5564" s="349"/>
    </row>
    <row r="5565" spans="16:17" x14ac:dyDescent="0.3">
      <c r="P5565" s="349"/>
      <c r="Q5565" s="349"/>
    </row>
    <row r="5566" spans="16:17" x14ac:dyDescent="0.3">
      <c r="P5566" s="349"/>
      <c r="Q5566" s="349"/>
    </row>
    <row r="5567" spans="16:17" x14ac:dyDescent="0.3">
      <c r="P5567" s="349"/>
      <c r="Q5567" s="349"/>
    </row>
    <row r="5568" spans="16:17" x14ac:dyDescent="0.3">
      <c r="P5568" s="349"/>
      <c r="Q5568" s="349"/>
    </row>
    <row r="5569" spans="16:17" x14ac:dyDescent="0.3">
      <c r="P5569" s="349"/>
      <c r="Q5569" s="349"/>
    </row>
    <row r="5570" spans="16:17" x14ac:dyDescent="0.3">
      <c r="P5570" s="349"/>
      <c r="Q5570" s="349"/>
    </row>
    <row r="5571" spans="16:17" x14ac:dyDescent="0.3">
      <c r="P5571" s="349"/>
      <c r="Q5571" s="349"/>
    </row>
    <row r="5572" spans="16:17" x14ac:dyDescent="0.3">
      <c r="P5572" s="349"/>
      <c r="Q5572" s="349"/>
    </row>
    <row r="5573" spans="16:17" x14ac:dyDescent="0.3">
      <c r="P5573" s="349"/>
      <c r="Q5573" s="349"/>
    </row>
    <row r="5574" spans="16:17" x14ac:dyDescent="0.3">
      <c r="P5574" s="349"/>
      <c r="Q5574" s="349"/>
    </row>
    <row r="5575" spans="16:17" x14ac:dyDescent="0.3">
      <c r="P5575" s="349"/>
      <c r="Q5575" s="349"/>
    </row>
    <row r="5576" spans="16:17" x14ac:dyDescent="0.3">
      <c r="P5576" s="349"/>
      <c r="Q5576" s="349"/>
    </row>
    <row r="5577" spans="16:17" x14ac:dyDescent="0.3">
      <c r="P5577" s="349"/>
      <c r="Q5577" s="349"/>
    </row>
    <row r="5578" spans="16:17" x14ac:dyDescent="0.3">
      <c r="P5578" s="349"/>
      <c r="Q5578" s="349"/>
    </row>
    <row r="5579" spans="16:17" x14ac:dyDescent="0.3">
      <c r="P5579" s="349"/>
      <c r="Q5579" s="349"/>
    </row>
    <row r="5580" spans="16:17" x14ac:dyDescent="0.3">
      <c r="P5580" s="349"/>
      <c r="Q5580" s="349"/>
    </row>
    <row r="5581" spans="16:17" x14ac:dyDescent="0.3">
      <c r="P5581" s="349"/>
      <c r="Q5581" s="349"/>
    </row>
    <row r="5582" spans="16:17" x14ac:dyDescent="0.3">
      <c r="P5582" s="349"/>
      <c r="Q5582" s="349"/>
    </row>
    <row r="5583" spans="16:17" x14ac:dyDescent="0.3">
      <c r="P5583" s="349"/>
      <c r="Q5583" s="349"/>
    </row>
    <row r="5584" spans="16:17" x14ac:dyDescent="0.3">
      <c r="P5584" s="349"/>
      <c r="Q5584" s="349"/>
    </row>
    <row r="5585" spans="16:17" x14ac:dyDescent="0.3">
      <c r="P5585" s="349"/>
      <c r="Q5585" s="349"/>
    </row>
    <row r="5586" spans="16:17" x14ac:dyDescent="0.3">
      <c r="P5586" s="349"/>
      <c r="Q5586" s="349"/>
    </row>
    <row r="5587" spans="16:17" x14ac:dyDescent="0.3">
      <c r="P5587" s="349"/>
      <c r="Q5587" s="349"/>
    </row>
    <row r="5588" spans="16:17" x14ac:dyDescent="0.3">
      <c r="P5588" s="349"/>
      <c r="Q5588" s="349"/>
    </row>
    <row r="5589" spans="16:17" x14ac:dyDescent="0.3">
      <c r="P5589" s="349"/>
      <c r="Q5589" s="349"/>
    </row>
    <row r="5590" spans="16:17" x14ac:dyDescent="0.3">
      <c r="P5590" s="349"/>
      <c r="Q5590" s="349"/>
    </row>
    <row r="5591" spans="16:17" x14ac:dyDescent="0.3">
      <c r="P5591" s="349"/>
      <c r="Q5591" s="349"/>
    </row>
    <row r="5592" spans="16:17" x14ac:dyDescent="0.3">
      <c r="P5592" s="349"/>
      <c r="Q5592" s="349"/>
    </row>
    <row r="5593" spans="16:17" x14ac:dyDescent="0.3">
      <c r="P5593" s="349"/>
      <c r="Q5593" s="349"/>
    </row>
    <row r="5594" spans="16:17" x14ac:dyDescent="0.3">
      <c r="P5594" s="349"/>
      <c r="Q5594" s="349"/>
    </row>
    <row r="5595" spans="16:17" x14ac:dyDescent="0.3">
      <c r="P5595" s="349"/>
      <c r="Q5595" s="349"/>
    </row>
    <row r="5596" spans="16:17" x14ac:dyDescent="0.3">
      <c r="P5596" s="349"/>
      <c r="Q5596" s="349"/>
    </row>
    <row r="5597" spans="16:17" x14ac:dyDescent="0.3">
      <c r="P5597" s="349"/>
      <c r="Q5597" s="349"/>
    </row>
    <row r="5598" spans="16:17" x14ac:dyDescent="0.3">
      <c r="P5598" s="349"/>
      <c r="Q5598" s="349"/>
    </row>
    <row r="5599" spans="16:17" x14ac:dyDescent="0.3">
      <c r="P5599" s="349"/>
      <c r="Q5599" s="349"/>
    </row>
    <row r="5600" spans="16:17" x14ac:dyDescent="0.3">
      <c r="P5600" s="349"/>
      <c r="Q5600" s="349"/>
    </row>
    <row r="5601" spans="16:17" x14ac:dyDescent="0.3">
      <c r="P5601" s="349"/>
      <c r="Q5601" s="349"/>
    </row>
    <row r="5602" spans="16:17" x14ac:dyDescent="0.3">
      <c r="P5602" s="349"/>
      <c r="Q5602" s="349"/>
    </row>
    <row r="5603" spans="16:17" x14ac:dyDescent="0.3">
      <c r="P5603" s="349"/>
      <c r="Q5603" s="349"/>
    </row>
    <row r="5604" spans="16:17" x14ac:dyDescent="0.3">
      <c r="P5604" s="349"/>
      <c r="Q5604" s="349"/>
    </row>
    <row r="5605" spans="16:17" x14ac:dyDescent="0.3">
      <c r="P5605" s="349"/>
      <c r="Q5605" s="349"/>
    </row>
    <row r="5606" spans="16:17" x14ac:dyDescent="0.3">
      <c r="P5606" s="349"/>
      <c r="Q5606" s="349"/>
    </row>
    <row r="5607" spans="16:17" x14ac:dyDescent="0.3">
      <c r="P5607" s="349"/>
      <c r="Q5607" s="349"/>
    </row>
    <row r="5608" spans="16:17" x14ac:dyDescent="0.3">
      <c r="P5608" s="349"/>
      <c r="Q5608" s="349"/>
    </row>
    <row r="5609" spans="16:17" x14ac:dyDescent="0.3">
      <c r="P5609" s="349"/>
      <c r="Q5609" s="349"/>
    </row>
    <row r="5610" spans="16:17" x14ac:dyDescent="0.3">
      <c r="P5610" s="349"/>
      <c r="Q5610" s="349"/>
    </row>
    <row r="5611" spans="16:17" x14ac:dyDescent="0.3">
      <c r="P5611" s="349"/>
      <c r="Q5611" s="349"/>
    </row>
    <row r="5612" spans="16:17" x14ac:dyDescent="0.3">
      <c r="P5612" s="349"/>
      <c r="Q5612" s="349"/>
    </row>
    <row r="5613" spans="16:17" x14ac:dyDescent="0.3">
      <c r="P5613" s="349"/>
      <c r="Q5613" s="349"/>
    </row>
    <row r="5614" spans="16:17" x14ac:dyDescent="0.3">
      <c r="P5614" s="349"/>
      <c r="Q5614" s="349"/>
    </row>
    <row r="5615" spans="16:17" x14ac:dyDescent="0.3">
      <c r="P5615" s="349"/>
      <c r="Q5615" s="349"/>
    </row>
    <row r="5616" spans="16:17" x14ac:dyDescent="0.3">
      <c r="P5616" s="349"/>
      <c r="Q5616" s="349"/>
    </row>
    <row r="5617" spans="16:17" x14ac:dyDescent="0.3">
      <c r="P5617" s="349"/>
      <c r="Q5617" s="349"/>
    </row>
    <row r="5618" spans="16:17" x14ac:dyDescent="0.3">
      <c r="P5618" s="349"/>
      <c r="Q5618" s="349"/>
    </row>
    <row r="5619" spans="16:17" x14ac:dyDescent="0.3">
      <c r="P5619" s="349"/>
      <c r="Q5619" s="349"/>
    </row>
    <row r="5620" spans="16:17" x14ac:dyDescent="0.3">
      <c r="P5620" s="349"/>
      <c r="Q5620" s="349"/>
    </row>
    <row r="5621" spans="16:17" x14ac:dyDescent="0.3">
      <c r="P5621" s="349"/>
      <c r="Q5621" s="349"/>
    </row>
    <row r="5622" spans="16:17" x14ac:dyDescent="0.3">
      <c r="P5622" s="349"/>
      <c r="Q5622" s="349"/>
    </row>
    <row r="5623" spans="16:17" x14ac:dyDescent="0.3">
      <c r="P5623" s="349"/>
      <c r="Q5623" s="349"/>
    </row>
    <row r="5624" spans="16:17" x14ac:dyDescent="0.3">
      <c r="P5624" s="349"/>
      <c r="Q5624" s="349"/>
    </row>
    <row r="5625" spans="16:17" x14ac:dyDescent="0.3">
      <c r="P5625" s="349"/>
      <c r="Q5625" s="349"/>
    </row>
    <row r="5626" spans="16:17" x14ac:dyDescent="0.3">
      <c r="P5626" s="349"/>
      <c r="Q5626" s="349"/>
    </row>
    <row r="5627" spans="16:17" x14ac:dyDescent="0.3">
      <c r="P5627" s="349"/>
      <c r="Q5627" s="349"/>
    </row>
    <row r="5628" spans="16:17" x14ac:dyDescent="0.3">
      <c r="P5628" s="349"/>
      <c r="Q5628" s="349"/>
    </row>
    <row r="5629" spans="16:17" x14ac:dyDescent="0.3">
      <c r="P5629" s="349"/>
      <c r="Q5629" s="349"/>
    </row>
    <row r="5630" spans="16:17" x14ac:dyDescent="0.3">
      <c r="P5630" s="349"/>
      <c r="Q5630" s="349"/>
    </row>
    <row r="5631" spans="16:17" x14ac:dyDescent="0.3">
      <c r="P5631" s="349"/>
      <c r="Q5631" s="349"/>
    </row>
    <row r="5632" spans="16:17" x14ac:dyDescent="0.3">
      <c r="P5632" s="349"/>
      <c r="Q5632" s="349"/>
    </row>
    <row r="5633" spans="16:17" x14ac:dyDescent="0.3">
      <c r="P5633" s="349"/>
      <c r="Q5633" s="349"/>
    </row>
    <row r="5634" spans="16:17" x14ac:dyDescent="0.3">
      <c r="P5634" s="349"/>
      <c r="Q5634" s="349"/>
    </row>
    <row r="5635" spans="16:17" x14ac:dyDescent="0.3">
      <c r="P5635" s="349"/>
      <c r="Q5635" s="349"/>
    </row>
    <row r="5636" spans="16:17" x14ac:dyDescent="0.3">
      <c r="P5636" s="349"/>
      <c r="Q5636" s="349"/>
    </row>
    <row r="5637" spans="16:17" x14ac:dyDescent="0.3">
      <c r="P5637" s="349"/>
      <c r="Q5637" s="349"/>
    </row>
    <row r="5638" spans="16:17" x14ac:dyDescent="0.3">
      <c r="P5638" s="349"/>
      <c r="Q5638" s="349"/>
    </row>
    <row r="5639" spans="16:17" x14ac:dyDescent="0.3">
      <c r="P5639" s="349"/>
      <c r="Q5639" s="349"/>
    </row>
    <row r="5640" spans="16:17" x14ac:dyDescent="0.3">
      <c r="P5640" s="349"/>
      <c r="Q5640" s="349"/>
    </row>
    <row r="5641" spans="16:17" x14ac:dyDescent="0.3">
      <c r="P5641" s="349"/>
      <c r="Q5641" s="349"/>
    </row>
    <row r="5642" spans="16:17" x14ac:dyDescent="0.3">
      <c r="P5642" s="349"/>
      <c r="Q5642" s="349"/>
    </row>
    <row r="5643" spans="16:17" x14ac:dyDescent="0.3">
      <c r="P5643" s="349"/>
      <c r="Q5643" s="349"/>
    </row>
    <row r="5644" spans="16:17" x14ac:dyDescent="0.3">
      <c r="P5644" s="349"/>
      <c r="Q5644" s="349"/>
    </row>
    <row r="5645" spans="16:17" x14ac:dyDescent="0.3">
      <c r="P5645" s="349"/>
      <c r="Q5645" s="349"/>
    </row>
    <row r="5646" spans="16:17" x14ac:dyDescent="0.3">
      <c r="P5646" s="349"/>
      <c r="Q5646" s="349"/>
    </row>
    <row r="5647" spans="16:17" x14ac:dyDescent="0.3">
      <c r="P5647" s="349"/>
      <c r="Q5647" s="349"/>
    </row>
    <row r="5648" spans="16:17" x14ac:dyDescent="0.3">
      <c r="P5648" s="349"/>
      <c r="Q5648" s="349"/>
    </row>
    <row r="5649" spans="16:17" x14ac:dyDescent="0.3">
      <c r="P5649" s="349"/>
      <c r="Q5649" s="349"/>
    </row>
    <row r="5650" spans="16:17" x14ac:dyDescent="0.3">
      <c r="P5650" s="349"/>
      <c r="Q5650" s="349"/>
    </row>
    <row r="5651" spans="16:17" x14ac:dyDescent="0.3">
      <c r="P5651" s="349"/>
      <c r="Q5651" s="349"/>
    </row>
    <row r="5652" spans="16:17" x14ac:dyDescent="0.3">
      <c r="P5652" s="349"/>
      <c r="Q5652" s="349"/>
    </row>
    <row r="5653" spans="16:17" x14ac:dyDescent="0.3">
      <c r="P5653" s="349"/>
      <c r="Q5653" s="349"/>
    </row>
    <row r="5654" spans="16:17" x14ac:dyDescent="0.3">
      <c r="P5654" s="349"/>
      <c r="Q5654" s="349"/>
    </row>
    <row r="5655" spans="16:17" x14ac:dyDescent="0.3">
      <c r="P5655" s="349"/>
      <c r="Q5655" s="349"/>
    </row>
    <row r="5656" spans="16:17" x14ac:dyDescent="0.3">
      <c r="P5656" s="349"/>
      <c r="Q5656" s="349"/>
    </row>
    <row r="5657" spans="16:17" x14ac:dyDescent="0.3">
      <c r="P5657" s="349"/>
      <c r="Q5657" s="349"/>
    </row>
    <row r="5658" spans="16:17" x14ac:dyDescent="0.3">
      <c r="P5658" s="349"/>
      <c r="Q5658" s="349"/>
    </row>
    <row r="5659" spans="16:17" x14ac:dyDescent="0.3">
      <c r="P5659" s="349"/>
      <c r="Q5659" s="349"/>
    </row>
    <row r="5660" spans="16:17" x14ac:dyDescent="0.3">
      <c r="P5660" s="349"/>
      <c r="Q5660" s="349"/>
    </row>
    <row r="5661" spans="16:17" x14ac:dyDescent="0.3">
      <c r="P5661" s="349"/>
      <c r="Q5661" s="349"/>
    </row>
    <row r="5662" spans="16:17" x14ac:dyDescent="0.3">
      <c r="P5662" s="349"/>
      <c r="Q5662" s="349"/>
    </row>
    <row r="5663" spans="16:17" x14ac:dyDescent="0.3">
      <c r="P5663" s="349"/>
      <c r="Q5663" s="349"/>
    </row>
    <row r="5664" spans="16:17" x14ac:dyDescent="0.3">
      <c r="P5664" s="349"/>
      <c r="Q5664" s="349"/>
    </row>
    <row r="5665" spans="16:17" x14ac:dyDescent="0.3">
      <c r="P5665" s="349"/>
      <c r="Q5665" s="349"/>
    </row>
    <row r="5666" spans="16:17" x14ac:dyDescent="0.3">
      <c r="P5666" s="349"/>
      <c r="Q5666" s="349"/>
    </row>
    <row r="5667" spans="16:17" x14ac:dyDescent="0.3">
      <c r="P5667" s="349"/>
      <c r="Q5667" s="349"/>
    </row>
    <row r="5668" spans="16:17" x14ac:dyDescent="0.3">
      <c r="P5668" s="349"/>
      <c r="Q5668" s="349"/>
    </row>
    <row r="5669" spans="16:17" x14ac:dyDescent="0.3">
      <c r="P5669" s="349"/>
      <c r="Q5669" s="349"/>
    </row>
    <row r="5670" spans="16:17" x14ac:dyDescent="0.3">
      <c r="P5670" s="349"/>
      <c r="Q5670" s="349"/>
    </row>
    <row r="5671" spans="16:17" x14ac:dyDescent="0.3">
      <c r="P5671" s="349"/>
      <c r="Q5671" s="349"/>
    </row>
    <row r="5672" spans="16:17" x14ac:dyDescent="0.3">
      <c r="P5672" s="349"/>
      <c r="Q5672" s="349"/>
    </row>
    <row r="5673" spans="16:17" x14ac:dyDescent="0.3">
      <c r="P5673" s="349"/>
      <c r="Q5673" s="349"/>
    </row>
    <row r="5674" spans="16:17" x14ac:dyDescent="0.3">
      <c r="P5674" s="349"/>
      <c r="Q5674" s="349"/>
    </row>
    <row r="5675" spans="16:17" x14ac:dyDescent="0.3">
      <c r="P5675" s="349"/>
      <c r="Q5675" s="349"/>
    </row>
    <row r="5676" spans="16:17" x14ac:dyDescent="0.3">
      <c r="P5676" s="349"/>
      <c r="Q5676" s="349"/>
    </row>
    <row r="5677" spans="16:17" x14ac:dyDescent="0.3">
      <c r="P5677" s="349"/>
      <c r="Q5677" s="349"/>
    </row>
    <row r="5678" spans="16:17" x14ac:dyDescent="0.3">
      <c r="P5678" s="349"/>
      <c r="Q5678" s="349"/>
    </row>
    <row r="5679" spans="16:17" x14ac:dyDescent="0.3">
      <c r="P5679" s="349"/>
      <c r="Q5679" s="349"/>
    </row>
    <row r="5680" spans="16:17" x14ac:dyDescent="0.3">
      <c r="P5680" s="349"/>
      <c r="Q5680" s="349"/>
    </row>
    <row r="5681" spans="16:17" x14ac:dyDescent="0.3">
      <c r="P5681" s="349"/>
      <c r="Q5681" s="349"/>
    </row>
    <row r="5682" spans="16:17" x14ac:dyDescent="0.3">
      <c r="P5682" s="349"/>
      <c r="Q5682" s="349"/>
    </row>
    <row r="5683" spans="16:17" x14ac:dyDescent="0.3">
      <c r="P5683" s="349"/>
      <c r="Q5683" s="349"/>
    </row>
    <row r="5684" spans="16:17" x14ac:dyDescent="0.3">
      <c r="P5684" s="349"/>
      <c r="Q5684" s="349"/>
    </row>
    <row r="5685" spans="16:17" x14ac:dyDescent="0.3">
      <c r="P5685" s="349"/>
      <c r="Q5685" s="349"/>
    </row>
    <row r="5686" spans="16:17" x14ac:dyDescent="0.3">
      <c r="P5686" s="349"/>
      <c r="Q5686" s="349"/>
    </row>
    <row r="5687" spans="16:17" x14ac:dyDescent="0.3">
      <c r="P5687" s="349"/>
      <c r="Q5687" s="349"/>
    </row>
    <row r="5688" spans="16:17" x14ac:dyDescent="0.3">
      <c r="P5688" s="349"/>
      <c r="Q5688" s="349"/>
    </row>
    <row r="5689" spans="16:17" x14ac:dyDescent="0.3">
      <c r="P5689" s="349"/>
      <c r="Q5689" s="349"/>
    </row>
    <row r="5690" spans="16:17" x14ac:dyDescent="0.3">
      <c r="P5690" s="349"/>
      <c r="Q5690" s="349"/>
    </row>
    <row r="5691" spans="16:17" x14ac:dyDescent="0.3">
      <c r="P5691" s="349"/>
      <c r="Q5691" s="349"/>
    </row>
    <row r="5692" spans="16:17" x14ac:dyDescent="0.3">
      <c r="P5692" s="349"/>
      <c r="Q5692" s="349"/>
    </row>
    <row r="5693" spans="16:17" x14ac:dyDescent="0.3">
      <c r="P5693" s="349"/>
      <c r="Q5693" s="349"/>
    </row>
    <row r="5694" spans="16:17" x14ac:dyDescent="0.3">
      <c r="P5694" s="349"/>
      <c r="Q5694" s="349"/>
    </row>
    <row r="5695" spans="16:17" x14ac:dyDescent="0.3">
      <c r="P5695" s="349"/>
      <c r="Q5695" s="349"/>
    </row>
    <row r="5696" spans="16:17" x14ac:dyDescent="0.3">
      <c r="P5696" s="349"/>
      <c r="Q5696" s="349"/>
    </row>
    <row r="5697" spans="16:17" x14ac:dyDescent="0.3">
      <c r="P5697" s="349"/>
      <c r="Q5697" s="349"/>
    </row>
    <row r="5698" spans="16:17" x14ac:dyDescent="0.3">
      <c r="P5698" s="349"/>
      <c r="Q5698" s="349"/>
    </row>
    <row r="5699" spans="16:17" x14ac:dyDescent="0.3">
      <c r="P5699" s="349"/>
      <c r="Q5699" s="349"/>
    </row>
    <row r="5700" spans="16:17" x14ac:dyDescent="0.3">
      <c r="P5700" s="349"/>
      <c r="Q5700" s="349"/>
    </row>
    <row r="5701" spans="16:17" x14ac:dyDescent="0.3">
      <c r="P5701" s="349"/>
      <c r="Q5701" s="349"/>
    </row>
    <row r="5702" spans="16:17" x14ac:dyDescent="0.3">
      <c r="P5702" s="349"/>
      <c r="Q5702" s="349"/>
    </row>
    <row r="5703" spans="16:17" x14ac:dyDescent="0.3">
      <c r="P5703" s="349"/>
      <c r="Q5703" s="349"/>
    </row>
    <row r="5704" spans="16:17" x14ac:dyDescent="0.3">
      <c r="P5704" s="349"/>
      <c r="Q5704" s="349"/>
    </row>
    <row r="5705" spans="16:17" x14ac:dyDescent="0.3">
      <c r="P5705" s="349"/>
      <c r="Q5705" s="349"/>
    </row>
    <row r="5706" spans="16:17" x14ac:dyDescent="0.3">
      <c r="P5706" s="349"/>
      <c r="Q5706" s="349"/>
    </row>
    <row r="5707" spans="16:17" x14ac:dyDescent="0.3">
      <c r="P5707" s="349"/>
      <c r="Q5707" s="349"/>
    </row>
    <row r="5708" spans="16:17" x14ac:dyDescent="0.3">
      <c r="P5708" s="349"/>
      <c r="Q5708" s="349"/>
    </row>
    <row r="5709" spans="16:17" x14ac:dyDescent="0.3">
      <c r="P5709" s="349"/>
      <c r="Q5709" s="349"/>
    </row>
    <row r="5710" spans="16:17" x14ac:dyDescent="0.3">
      <c r="P5710" s="349"/>
      <c r="Q5710" s="349"/>
    </row>
    <row r="5711" spans="16:17" x14ac:dyDescent="0.3">
      <c r="P5711" s="349"/>
      <c r="Q5711" s="349"/>
    </row>
    <row r="5712" spans="16:17" x14ac:dyDescent="0.3">
      <c r="P5712" s="349"/>
      <c r="Q5712" s="349"/>
    </row>
    <row r="5713" spans="16:17" x14ac:dyDescent="0.3">
      <c r="P5713" s="349"/>
      <c r="Q5713" s="349"/>
    </row>
    <row r="5714" spans="16:17" x14ac:dyDescent="0.3">
      <c r="P5714" s="349"/>
      <c r="Q5714" s="349"/>
    </row>
    <row r="5715" spans="16:17" x14ac:dyDescent="0.3">
      <c r="P5715" s="349"/>
      <c r="Q5715" s="349"/>
    </row>
    <row r="5716" spans="16:17" x14ac:dyDescent="0.3">
      <c r="P5716" s="349"/>
      <c r="Q5716" s="349"/>
    </row>
    <row r="5717" spans="16:17" x14ac:dyDescent="0.3">
      <c r="P5717" s="349"/>
      <c r="Q5717" s="349"/>
    </row>
    <row r="5718" spans="16:17" x14ac:dyDescent="0.3">
      <c r="P5718" s="349"/>
      <c r="Q5718" s="349"/>
    </row>
    <row r="5719" spans="16:17" x14ac:dyDescent="0.3">
      <c r="P5719" s="349"/>
      <c r="Q5719" s="349"/>
    </row>
    <row r="5720" spans="16:17" x14ac:dyDescent="0.3">
      <c r="P5720" s="349"/>
      <c r="Q5720" s="349"/>
    </row>
    <row r="5721" spans="16:17" x14ac:dyDescent="0.3">
      <c r="P5721" s="349"/>
      <c r="Q5721" s="349"/>
    </row>
    <row r="5722" spans="16:17" x14ac:dyDescent="0.3">
      <c r="P5722" s="349"/>
      <c r="Q5722" s="349"/>
    </row>
    <row r="5723" spans="16:17" x14ac:dyDescent="0.3">
      <c r="P5723" s="349"/>
      <c r="Q5723" s="349"/>
    </row>
    <row r="5724" spans="16:17" x14ac:dyDescent="0.3">
      <c r="P5724" s="349"/>
      <c r="Q5724" s="349"/>
    </row>
    <row r="5725" spans="16:17" x14ac:dyDescent="0.3">
      <c r="P5725" s="349"/>
      <c r="Q5725" s="349"/>
    </row>
    <row r="5726" spans="16:17" x14ac:dyDescent="0.3">
      <c r="P5726" s="349"/>
      <c r="Q5726" s="349"/>
    </row>
    <row r="5727" spans="16:17" x14ac:dyDescent="0.3">
      <c r="P5727" s="349"/>
      <c r="Q5727" s="349"/>
    </row>
    <row r="5728" spans="16:17" x14ac:dyDescent="0.3">
      <c r="P5728" s="349"/>
      <c r="Q5728" s="349"/>
    </row>
    <row r="5729" spans="16:17" x14ac:dyDescent="0.3">
      <c r="P5729" s="349"/>
      <c r="Q5729" s="349"/>
    </row>
    <row r="5730" spans="16:17" x14ac:dyDescent="0.3">
      <c r="P5730" s="349"/>
      <c r="Q5730" s="349"/>
    </row>
    <row r="5731" spans="16:17" x14ac:dyDescent="0.3">
      <c r="P5731" s="349"/>
      <c r="Q5731" s="349"/>
    </row>
    <row r="5732" spans="16:17" x14ac:dyDescent="0.3">
      <c r="P5732" s="349"/>
      <c r="Q5732" s="349"/>
    </row>
    <row r="5733" spans="16:17" x14ac:dyDescent="0.3">
      <c r="P5733" s="349"/>
      <c r="Q5733" s="349"/>
    </row>
    <row r="5734" spans="16:17" x14ac:dyDescent="0.3">
      <c r="P5734" s="349"/>
      <c r="Q5734" s="349"/>
    </row>
    <row r="5735" spans="16:17" x14ac:dyDescent="0.3">
      <c r="P5735" s="349"/>
      <c r="Q5735" s="349"/>
    </row>
    <row r="5736" spans="16:17" x14ac:dyDescent="0.3">
      <c r="P5736" s="349"/>
      <c r="Q5736" s="349"/>
    </row>
    <row r="5737" spans="16:17" x14ac:dyDescent="0.3">
      <c r="P5737" s="349"/>
      <c r="Q5737" s="349"/>
    </row>
    <row r="5738" spans="16:17" x14ac:dyDescent="0.3">
      <c r="P5738" s="349"/>
      <c r="Q5738" s="349"/>
    </row>
    <row r="5739" spans="16:17" x14ac:dyDescent="0.3">
      <c r="P5739" s="349"/>
      <c r="Q5739" s="349"/>
    </row>
    <row r="5740" spans="16:17" x14ac:dyDescent="0.3">
      <c r="P5740" s="349"/>
      <c r="Q5740" s="349"/>
    </row>
    <row r="5741" spans="16:17" x14ac:dyDescent="0.3">
      <c r="P5741" s="349"/>
      <c r="Q5741" s="349"/>
    </row>
    <row r="5742" spans="16:17" x14ac:dyDescent="0.3">
      <c r="P5742" s="349"/>
      <c r="Q5742" s="349"/>
    </row>
    <row r="5743" spans="16:17" x14ac:dyDescent="0.3">
      <c r="P5743" s="349"/>
      <c r="Q5743" s="349"/>
    </row>
    <row r="5744" spans="16:17" x14ac:dyDescent="0.3">
      <c r="P5744" s="349"/>
      <c r="Q5744" s="349"/>
    </row>
    <row r="5745" spans="16:17" x14ac:dyDescent="0.3">
      <c r="P5745" s="349"/>
      <c r="Q5745" s="349"/>
    </row>
    <row r="5746" spans="16:17" x14ac:dyDescent="0.3">
      <c r="P5746" s="349"/>
      <c r="Q5746" s="349"/>
    </row>
    <row r="5747" spans="16:17" x14ac:dyDescent="0.3">
      <c r="P5747" s="349"/>
      <c r="Q5747" s="349"/>
    </row>
    <row r="5748" spans="16:17" x14ac:dyDescent="0.3">
      <c r="P5748" s="349"/>
      <c r="Q5748" s="349"/>
    </row>
    <row r="5749" spans="16:17" x14ac:dyDescent="0.3">
      <c r="P5749" s="349"/>
      <c r="Q5749" s="349"/>
    </row>
    <row r="5750" spans="16:17" x14ac:dyDescent="0.3">
      <c r="P5750" s="349"/>
      <c r="Q5750" s="349"/>
    </row>
    <row r="5751" spans="16:17" x14ac:dyDescent="0.3">
      <c r="P5751" s="349"/>
      <c r="Q5751" s="349"/>
    </row>
    <row r="5752" spans="16:17" x14ac:dyDescent="0.3">
      <c r="P5752" s="349"/>
      <c r="Q5752" s="349"/>
    </row>
    <row r="5753" spans="16:17" x14ac:dyDescent="0.3">
      <c r="P5753" s="349"/>
      <c r="Q5753" s="349"/>
    </row>
    <row r="5754" spans="16:17" x14ac:dyDescent="0.3">
      <c r="P5754" s="349"/>
      <c r="Q5754" s="349"/>
    </row>
    <row r="5755" spans="16:17" x14ac:dyDescent="0.3">
      <c r="P5755" s="349"/>
      <c r="Q5755" s="349"/>
    </row>
    <row r="5756" spans="16:17" x14ac:dyDescent="0.3">
      <c r="P5756" s="349"/>
      <c r="Q5756" s="349"/>
    </row>
    <row r="5757" spans="16:17" x14ac:dyDescent="0.3">
      <c r="P5757" s="349"/>
      <c r="Q5757" s="349"/>
    </row>
    <row r="5758" spans="16:17" x14ac:dyDescent="0.3">
      <c r="P5758" s="349"/>
      <c r="Q5758" s="349"/>
    </row>
    <row r="5759" spans="16:17" x14ac:dyDescent="0.3">
      <c r="P5759" s="349"/>
      <c r="Q5759" s="349"/>
    </row>
    <row r="5760" spans="16:17" x14ac:dyDescent="0.3">
      <c r="P5760" s="349"/>
      <c r="Q5760" s="349"/>
    </row>
    <row r="5761" spans="16:17" x14ac:dyDescent="0.3">
      <c r="P5761" s="349"/>
      <c r="Q5761" s="349"/>
    </row>
    <row r="5762" spans="16:17" x14ac:dyDescent="0.3">
      <c r="P5762" s="349"/>
      <c r="Q5762" s="349"/>
    </row>
    <row r="5763" spans="16:17" x14ac:dyDescent="0.3">
      <c r="P5763" s="349"/>
      <c r="Q5763" s="349"/>
    </row>
    <row r="5764" spans="16:17" x14ac:dyDescent="0.3">
      <c r="P5764" s="349"/>
      <c r="Q5764" s="349"/>
    </row>
    <row r="5765" spans="16:17" x14ac:dyDescent="0.3">
      <c r="P5765" s="349"/>
      <c r="Q5765" s="349"/>
    </row>
    <row r="5766" spans="16:17" x14ac:dyDescent="0.3">
      <c r="P5766" s="349"/>
      <c r="Q5766" s="349"/>
    </row>
    <row r="5767" spans="16:17" x14ac:dyDescent="0.3">
      <c r="P5767" s="349"/>
      <c r="Q5767" s="349"/>
    </row>
    <row r="5768" spans="16:17" x14ac:dyDescent="0.3">
      <c r="P5768" s="349"/>
      <c r="Q5768" s="349"/>
    </row>
    <row r="5769" spans="16:17" x14ac:dyDescent="0.3">
      <c r="P5769" s="349"/>
      <c r="Q5769" s="349"/>
    </row>
    <row r="5770" spans="16:17" x14ac:dyDescent="0.3">
      <c r="P5770" s="349"/>
      <c r="Q5770" s="349"/>
    </row>
    <row r="5771" spans="16:17" x14ac:dyDescent="0.3">
      <c r="P5771" s="349"/>
      <c r="Q5771" s="349"/>
    </row>
    <row r="5772" spans="16:17" x14ac:dyDescent="0.3">
      <c r="P5772" s="349"/>
      <c r="Q5772" s="349"/>
    </row>
    <row r="5773" spans="16:17" x14ac:dyDescent="0.3">
      <c r="P5773" s="349"/>
      <c r="Q5773" s="349"/>
    </row>
    <row r="5774" spans="16:17" x14ac:dyDescent="0.3">
      <c r="P5774" s="349"/>
      <c r="Q5774" s="349"/>
    </row>
    <row r="5775" spans="16:17" x14ac:dyDescent="0.3">
      <c r="P5775" s="349"/>
      <c r="Q5775" s="349"/>
    </row>
    <row r="5776" spans="16:17" x14ac:dyDescent="0.3">
      <c r="P5776" s="349"/>
      <c r="Q5776" s="349"/>
    </row>
    <row r="5777" spans="16:17" x14ac:dyDescent="0.3">
      <c r="P5777" s="349"/>
      <c r="Q5777" s="349"/>
    </row>
    <row r="5778" spans="16:17" x14ac:dyDescent="0.3">
      <c r="P5778" s="349"/>
      <c r="Q5778" s="349"/>
    </row>
    <row r="5779" spans="16:17" x14ac:dyDescent="0.3">
      <c r="P5779" s="349"/>
      <c r="Q5779" s="349"/>
    </row>
    <row r="5780" spans="16:17" x14ac:dyDescent="0.3">
      <c r="P5780" s="349"/>
      <c r="Q5780" s="349"/>
    </row>
    <row r="5781" spans="16:17" x14ac:dyDescent="0.3">
      <c r="P5781" s="349"/>
      <c r="Q5781" s="349"/>
    </row>
    <row r="5782" spans="16:17" x14ac:dyDescent="0.3">
      <c r="P5782" s="349"/>
      <c r="Q5782" s="349"/>
    </row>
    <row r="5783" spans="16:17" x14ac:dyDescent="0.3">
      <c r="P5783" s="349"/>
      <c r="Q5783" s="349"/>
    </row>
    <row r="5784" spans="16:17" x14ac:dyDescent="0.3">
      <c r="P5784" s="349"/>
      <c r="Q5784" s="349"/>
    </row>
    <row r="5785" spans="16:17" x14ac:dyDescent="0.3">
      <c r="P5785" s="349"/>
      <c r="Q5785" s="349"/>
    </row>
    <row r="5786" spans="16:17" x14ac:dyDescent="0.3">
      <c r="P5786" s="349"/>
      <c r="Q5786" s="349"/>
    </row>
    <row r="5787" spans="16:17" x14ac:dyDescent="0.3">
      <c r="P5787" s="349"/>
      <c r="Q5787" s="349"/>
    </row>
    <row r="5788" spans="16:17" x14ac:dyDescent="0.3">
      <c r="P5788" s="349"/>
      <c r="Q5788" s="349"/>
    </row>
    <row r="5789" spans="16:17" x14ac:dyDescent="0.3">
      <c r="P5789" s="349"/>
      <c r="Q5789" s="349"/>
    </row>
    <row r="5790" spans="16:17" x14ac:dyDescent="0.3">
      <c r="P5790" s="349"/>
      <c r="Q5790" s="349"/>
    </row>
    <row r="5791" spans="16:17" x14ac:dyDescent="0.3">
      <c r="P5791" s="349"/>
      <c r="Q5791" s="349"/>
    </row>
    <row r="5792" spans="16:17" x14ac:dyDescent="0.3">
      <c r="P5792" s="349"/>
      <c r="Q5792" s="349"/>
    </row>
    <row r="5793" spans="16:17" x14ac:dyDescent="0.3">
      <c r="P5793" s="349"/>
      <c r="Q5793" s="349"/>
    </row>
    <row r="5794" spans="16:17" x14ac:dyDescent="0.3">
      <c r="P5794" s="349"/>
      <c r="Q5794" s="349"/>
    </row>
    <row r="5795" spans="16:17" x14ac:dyDescent="0.3">
      <c r="P5795" s="349"/>
      <c r="Q5795" s="349"/>
    </row>
    <row r="5796" spans="16:17" x14ac:dyDescent="0.3">
      <c r="P5796" s="349"/>
      <c r="Q5796" s="349"/>
    </row>
    <row r="5797" spans="16:17" x14ac:dyDescent="0.3">
      <c r="P5797" s="349"/>
      <c r="Q5797" s="349"/>
    </row>
    <row r="5798" spans="16:17" x14ac:dyDescent="0.3">
      <c r="P5798" s="349"/>
      <c r="Q5798" s="349"/>
    </row>
    <row r="5799" spans="16:17" x14ac:dyDescent="0.3">
      <c r="P5799" s="349"/>
      <c r="Q5799" s="349"/>
    </row>
    <row r="5800" spans="16:17" x14ac:dyDescent="0.3">
      <c r="P5800" s="349"/>
      <c r="Q5800" s="349"/>
    </row>
    <row r="5801" spans="16:17" x14ac:dyDescent="0.3">
      <c r="P5801" s="349"/>
      <c r="Q5801" s="349"/>
    </row>
    <row r="5802" spans="16:17" x14ac:dyDescent="0.3">
      <c r="P5802" s="349"/>
      <c r="Q5802" s="349"/>
    </row>
    <row r="5803" spans="16:17" x14ac:dyDescent="0.3">
      <c r="P5803" s="349"/>
      <c r="Q5803" s="349"/>
    </row>
    <row r="5804" spans="16:17" x14ac:dyDescent="0.3">
      <c r="P5804" s="349"/>
      <c r="Q5804" s="349"/>
    </row>
    <row r="5805" spans="16:17" x14ac:dyDescent="0.3">
      <c r="P5805" s="349"/>
      <c r="Q5805" s="349"/>
    </row>
    <row r="5806" spans="16:17" x14ac:dyDescent="0.3">
      <c r="P5806" s="349"/>
      <c r="Q5806" s="349"/>
    </row>
    <row r="5807" spans="16:17" x14ac:dyDescent="0.3">
      <c r="P5807" s="349"/>
      <c r="Q5807" s="349"/>
    </row>
    <row r="5808" spans="16:17" x14ac:dyDescent="0.3">
      <c r="P5808" s="349"/>
      <c r="Q5808" s="349"/>
    </row>
    <row r="5809" spans="16:17" x14ac:dyDescent="0.3">
      <c r="P5809" s="349"/>
      <c r="Q5809" s="349"/>
    </row>
    <row r="5810" spans="16:17" x14ac:dyDescent="0.3">
      <c r="P5810" s="349"/>
      <c r="Q5810" s="349"/>
    </row>
    <row r="5811" spans="16:17" x14ac:dyDescent="0.3">
      <c r="P5811" s="349"/>
      <c r="Q5811" s="349"/>
    </row>
    <row r="5812" spans="16:17" x14ac:dyDescent="0.3">
      <c r="P5812" s="349"/>
      <c r="Q5812" s="349"/>
    </row>
    <row r="5813" spans="16:17" x14ac:dyDescent="0.3">
      <c r="P5813" s="349"/>
      <c r="Q5813" s="349"/>
    </row>
    <row r="5814" spans="16:17" x14ac:dyDescent="0.3">
      <c r="P5814" s="349"/>
      <c r="Q5814" s="349"/>
    </row>
    <row r="5815" spans="16:17" x14ac:dyDescent="0.3">
      <c r="P5815" s="349"/>
      <c r="Q5815" s="349"/>
    </row>
    <row r="5816" spans="16:17" x14ac:dyDescent="0.3">
      <c r="P5816" s="349"/>
      <c r="Q5816" s="349"/>
    </row>
    <row r="5817" spans="16:17" x14ac:dyDescent="0.3">
      <c r="P5817" s="349"/>
      <c r="Q5817" s="349"/>
    </row>
    <row r="5818" spans="16:17" x14ac:dyDescent="0.3">
      <c r="P5818" s="349"/>
      <c r="Q5818" s="349"/>
    </row>
    <row r="5819" spans="16:17" x14ac:dyDescent="0.3">
      <c r="P5819" s="349"/>
      <c r="Q5819" s="349"/>
    </row>
    <row r="5820" spans="16:17" x14ac:dyDescent="0.3">
      <c r="P5820" s="349"/>
      <c r="Q5820" s="349"/>
    </row>
    <row r="5821" spans="16:17" x14ac:dyDescent="0.3">
      <c r="P5821" s="349"/>
      <c r="Q5821" s="349"/>
    </row>
    <row r="5822" spans="16:17" x14ac:dyDescent="0.3">
      <c r="P5822" s="349"/>
      <c r="Q5822" s="349"/>
    </row>
    <row r="5823" spans="16:17" x14ac:dyDescent="0.3">
      <c r="P5823" s="349"/>
      <c r="Q5823" s="349"/>
    </row>
    <row r="5824" spans="16:17" x14ac:dyDescent="0.3">
      <c r="P5824" s="349"/>
      <c r="Q5824" s="349"/>
    </row>
    <row r="5825" spans="16:17" x14ac:dyDescent="0.3">
      <c r="P5825" s="349"/>
      <c r="Q5825" s="349"/>
    </row>
    <row r="5826" spans="16:17" x14ac:dyDescent="0.3">
      <c r="P5826" s="349"/>
      <c r="Q5826" s="349"/>
    </row>
    <row r="5827" spans="16:17" x14ac:dyDescent="0.3">
      <c r="P5827" s="349"/>
      <c r="Q5827" s="349"/>
    </row>
    <row r="5828" spans="16:17" x14ac:dyDescent="0.3">
      <c r="P5828" s="349"/>
      <c r="Q5828" s="349"/>
    </row>
    <row r="5829" spans="16:17" x14ac:dyDescent="0.3">
      <c r="P5829" s="349"/>
      <c r="Q5829" s="349"/>
    </row>
    <row r="5830" spans="16:17" x14ac:dyDescent="0.3">
      <c r="P5830" s="349"/>
      <c r="Q5830" s="349"/>
    </row>
    <row r="5831" spans="16:17" x14ac:dyDescent="0.3">
      <c r="P5831" s="349"/>
      <c r="Q5831" s="349"/>
    </row>
    <row r="5832" spans="16:17" x14ac:dyDescent="0.3">
      <c r="P5832" s="349"/>
      <c r="Q5832" s="349"/>
    </row>
    <row r="5833" spans="16:17" x14ac:dyDescent="0.3">
      <c r="P5833" s="349"/>
      <c r="Q5833" s="349"/>
    </row>
    <row r="5834" spans="16:17" x14ac:dyDescent="0.3">
      <c r="P5834" s="349"/>
      <c r="Q5834" s="349"/>
    </row>
    <row r="5835" spans="16:17" x14ac:dyDescent="0.3">
      <c r="P5835" s="349"/>
      <c r="Q5835" s="349"/>
    </row>
    <row r="5836" spans="16:17" x14ac:dyDescent="0.3">
      <c r="P5836" s="349"/>
      <c r="Q5836" s="349"/>
    </row>
    <row r="5837" spans="16:17" x14ac:dyDescent="0.3">
      <c r="P5837" s="349"/>
      <c r="Q5837" s="349"/>
    </row>
    <row r="5838" spans="16:17" x14ac:dyDescent="0.3">
      <c r="P5838" s="349"/>
      <c r="Q5838" s="349"/>
    </row>
    <row r="5839" spans="16:17" x14ac:dyDescent="0.3">
      <c r="P5839" s="349"/>
      <c r="Q5839" s="349"/>
    </row>
    <row r="5840" spans="16:17" x14ac:dyDescent="0.3">
      <c r="P5840" s="349"/>
      <c r="Q5840" s="349"/>
    </row>
    <row r="5841" spans="16:17" x14ac:dyDescent="0.3">
      <c r="P5841" s="349"/>
      <c r="Q5841" s="349"/>
    </row>
    <row r="5842" spans="16:17" x14ac:dyDescent="0.3">
      <c r="P5842" s="349"/>
      <c r="Q5842" s="349"/>
    </row>
    <row r="5843" spans="16:17" x14ac:dyDescent="0.3">
      <c r="P5843" s="349"/>
      <c r="Q5843" s="349"/>
    </row>
    <row r="5844" spans="16:17" x14ac:dyDescent="0.3">
      <c r="P5844" s="349"/>
      <c r="Q5844" s="349"/>
    </row>
    <row r="5845" spans="16:17" x14ac:dyDescent="0.3">
      <c r="P5845" s="349"/>
      <c r="Q5845" s="349"/>
    </row>
    <row r="5846" spans="16:17" x14ac:dyDescent="0.3">
      <c r="P5846" s="349"/>
      <c r="Q5846" s="349"/>
    </row>
    <row r="5847" spans="16:17" x14ac:dyDescent="0.3">
      <c r="P5847" s="349"/>
      <c r="Q5847" s="349"/>
    </row>
    <row r="5848" spans="16:17" x14ac:dyDescent="0.3">
      <c r="P5848" s="349"/>
      <c r="Q5848" s="349"/>
    </row>
    <row r="5849" spans="16:17" x14ac:dyDescent="0.3">
      <c r="P5849" s="349"/>
      <c r="Q5849" s="349"/>
    </row>
    <row r="5850" spans="16:17" x14ac:dyDescent="0.3">
      <c r="P5850" s="349"/>
      <c r="Q5850" s="349"/>
    </row>
    <row r="5851" spans="16:17" x14ac:dyDescent="0.3">
      <c r="P5851" s="349"/>
      <c r="Q5851" s="349"/>
    </row>
    <row r="5852" spans="16:17" x14ac:dyDescent="0.3">
      <c r="P5852" s="349"/>
      <c r="Q5852" s="349"/>
    </row>
    <row r="5853" spans="16:17" x14ac:dyDescent="0.3">
      <c r="P5853" s="349"/>
      <c r="Q5853" s="349"/>
    </row>
    <row r="5854" spans="16:17" x14ac:dyDescent="0.3">
      <c r="P5854" s="349"/>
      <c r="Q5854" s="349"/>
    </row>
    <row r="5855" spans="16:17" x14ac:dyDescent="0.3">
      <c r="P5855" s="349"/>
      <c r="Q5855" s="349"/>
    </row>
    <row r="5856" spans="16:17" x14ac:dyDescent="0.3">
      <c r="P5856" s="349"/>
      <c r="Q5856" s="349"/>
    </row>
    <row r="5857" spans="16:17" x14ac:dyDescent="0.3">
      <c r="P5857" s="349"/>
      <c r="Q5857" s="349"/>
    </row>
    <row r="5858" spans="16:17" x14ac:dyDescent="0.3">
      <c r="P5858" s="349"/>
      <c r="Q5858" s="349"/>
    </row>
    <row r="5859" spans="16:17" x14ac:dyDescent="0.3">
      <c r="P5859" s="349"/>
      <c r="Q5859" s="349"/>
    </row>
    <row r="5860" spans="16:17" x14ac:dyDescent="0.3">
      <c r="P5860" s="349"/>
      <c r="Q5860" s="349"/>
    </row>
    <row r="5861" spans="16:17" x14ac:dyDescent="0.3">
      <c r="P5861" s="349"/>
      <c r="Q5861" s="349"/>
    </row>
    <row r="5862" spans="16:17" x14ac:dyDescent="0.3">
      <c r="P5862" s="349"/>
      <c r="Q5862" s="349"/>
    </row>
    <row r="5863" spans="16:17" x14ac:dyDescent="0.3">
      <c r="P5863" s="349"/>
      <c r="Q5863" s="349"/>
    </row>
    <row r="5864" spans="16:17" x14ac:dyDescent="0.3">
      <c r="P5864" s="349"/>
      <c r="Q5864" s="349"/>
    </row>
    <row r="5865" spans="16:17" x14ac:dyDescent="0.3">
      <c r="P5865" s="349"/>
      <c r="Q5865" s="349"/>
    </row>
    <row r="5866" spans="16:17" x14ac:dyDescent="0.3">
      <c r="P5866" s="349"/>
      <c r="Q5866" s="349"/>
    </row>
    <row r="5867" spans="16:17" x14ac:dyDescent="0.3">
      <c r="P5867" s="349"/>
      <c r="Q5867" s="349"/>
    </row>
    <row r="5868" spans="16:17" x14ac:dyDescent="0.3">
      <c r="P5868" s="349"/>
      <c r="Q5868" s="349"/>
    </row>
    <row r="5869" spans="16:17" x14ac:dyDescent="0.3">
      <c r="P5869" s="349"/>
      <c r="Q5869" s="349"/>
    </row>
    <row r="5870" spans="16:17" x14ac:dyDescent="0.3">
      <c r="P5870" s="349"/>
      <c r="Q5870" s="349"/>
    </row>
    <row r="5871" spans="16:17" x14ac:dyDescent="0.3">
      <c r="P5871" s="349"/>
      <c r="Q5871" s="349"/>
    </row>
    <row r="5872" spans="16:17" x14ac:dyDescent="0.3">
      <c r="P5872" s="349"/>
      <c r="Q5872" s="349"/>
    </row>
    <row r="5873" spans="16:17" x14ac:dyDescent="0.3">
      <c r="P5873" s="349"/>
      <c r="Q5873" s="349"/>
    </row>
    <row r="5874" spans="16:17" x14ac:dyDescent="0.3">
      <c r="P5874" s="349"/>
      <c r="Q5874" s="349"/>
    </row>
    <row r="5875" spans="16:17" x14ac:dyDescent="0.3">
      <c r="P5875" s="349"/>
      <c r="Q5875" s="349"/>
    </row>
    <row r="5876" spans="16:17" x14ac:dyDescent="0.3">
      <c r="P5876" s="349"/>
      <c r="Q5876" s="349"/>
    </row>
    <row r="5877" spans="16:17" x14ac:dyDescent="0.3">
      <c r="P5877" s="349"/>
      <c r="Q5877" s="349"/>
    </row>
    <row r="5878" spans="16:17" x14ac:dyDescent="0.3">
      <c r="P5878" s="349"/>
      <c r="Q5878" s="349"/>
    </row>
    <row r="5879" spans="16:17" x14ac:dyDescent="0.3">
      <c r="P5879" s="349"/>
      <c r="Q5879" s="349"/>
    </row>
    <row r="5880" spans="16:17" x14ac:dyDescent="0.3">
      <c r="P5880" s="349"/>
      <c r="Q5880" s="349"/>
    </row>
    <row r="5881" spans="16:17" x14ac:dyDescent="0.3">
      <c r="P5881" s="349"/>
      <c r="Q5881" s="349"/>
    </row>
    <row r="5882" spans="16:17" x14ac:dyDescent="0.3">
      <c r="P5882" s="349"/>
      <c r="Q5882" s="349"/>
    </row>
    <row r="5883" spans="16:17" x14ac:dyDescent="0.3">
      <c r="P5883" s="349"/>
      <c r="Q5883" s="349"/>
    </row>
    <row r="5884" spans="16:17" x14ac:dyDescent="0.3">
      <c r="P5884" s="349"/>
      <c r="Q5884" s="349"/>
    </row>
    <row r="5885" spans="16:17" x14ac:dyDescent="0.3">
      <c r="P5885" s="349"/>
      <c r="Q5885" s="349"/>
    </row>
    <row r="5886" spans="16:17" x14ac:dyDescent="0.3">
      <c r="P5886" s="349"/>
      <c r="Q5886" s="349"/>
    </row>
    <row r="5887" spans="16:17" x14ac:dyDescent="0.3">
      <c r="P5887" s="349"/>
      <c r="Q5887" s="349"/>
    </row>
    <row r="5888" spans="16:17" x14ac:dyDescent="0.3">
      <c r="P5888" s="349"/>
      <c r="Q5888" s="349"/>
    </row>
    <row r="5889" spans="16:17" x14ac:dyDescent="0.3">
      <c r="P5889" s="349"/>
      <c r="Q5889" s="349"/>
    </row>
    <row r="5890" spans="16:17" x14ac:dyDescent="0.3">
      <c r="P5890" s="349"/>
      <c r="Q5890" s="349"/>
    </row>
    <row r="5891" spans="16:17" x14ac:dyDescent="0.3">
      <c r="P5891" s="349"/>
      <c r="Q5891" s="349"/>
    </row>
    <row r="5892" spans="16:17" x14ac:dyDescent="0.3">
      <c r="P5892" s="349"/>
      <c r="Q5892" s="349"/>
    </row>
    <row r="5893" spans="16:17" x14ac:dyDescent="0.3">
      <c r="P5893" s="349"/>
      <c r="Q5893" s="349"/>
    </row>
    <row r="5894" spans="16:17" x14ac:dyDescent="0.3">
      <c r="P5894" s="349"/>
      <c r="Q5894" s="349"/>
    </row>
    <row r="5895" spans="16:17" x14ac:dyDescent="0.3">
      <c r="P5895" s="349"/>
      <c r="Q5895" s="349"/>
    </row>
    <row r="5896" spans="16:17" x14ac:dyDescent="0.3">
      <c r="P5896" s="349"/>
      <c r="Q5896" s="349"/>
    </row>
    <row r="5897" spans="16:17" x14ac:dyDescent="0.3">
      <c r="P5897" s="349"/>
      <c r="Q5897" s="349"/>
    </row>
    <row r="5898" spans="16:17" x14ac:dyDescent="0.3">
      <c r="P5898" s="349"/>
      <c r="Q5898" s="349"/>
    </row>
    <row r="5899" spans="16:17" x14ac:dyDescent="0.3">
      <c r="P5899" s="349"/>
      <c r="Q5899" s="349"/>
    </row>
    <row r="5900" spans="16:17" x14ac:dyDescent="0.3">
      <c r="P5900" s="349"/>
      <c r="Q5900" s="349"/>
    </row>
    <row r="5901" spans="16:17" x14ac:dyDescent="0.3">
      <c r="P5901" s="349"/>
      <c r="Q5901" s="349"/>
    </row>
    <row r="5902" spans="16:17" x14ac:dyDescent="0.3">
      <c r="P5902" s="349"/>
      <c r="Q5902" s="349"/>
    </row>
    <row r="5903" spans="16:17" x14ac:dyDescent="0.3">
      <c r="P5903" s="349"/>
      <c r="Q5903" s="349"/>
    </row>
    <row r="5904" spans="16:17" x14ac:dyDescent="0.3">
      <c r="P5904" s="349"/>
      <c r="Q5904" s="349"/>
    </row>
    <row r="5905" spans="16:17" x14ac:dyDescent="0.3">
      <c r="P5905" s="349"/>
      <c r="Q5905" s="349"/>
    </row>
    <row r="5906" spans="16:17" x14ac:dyDescent="0.3">
      <c r="P5906" s="349"/>
      <c r="Q5906" s="349"/>
    </row>
    <row r="5907" spans="16:17" x14ac:dyDescent="0.3">
      <c r="P5907" s="349"/>
      <c r="Q5907" s="349"/>
    </row>
    <row r="5908" spans="16:17" x14ac:dyDescent="0.3">
      <c r="P5908" s="349"/>
      <c r="Q5908" s="349"/>
    </row>
    <row r="5909" spans="16:17" x14ac:dyDescent="0.3">
      <c r="P5909" s="349"/>
      <c r="Q5909" s="349"/>
    </row>
    <row r="5910" spans="16:17" x14ac:dyDescent="0.3">
      <c r="P5910" s="349"/>
      <c r="Q5910" s="349"/>
    </row>
    <row r="5911" spans="16:17" x14ac:dyDescent="0.3">
      <c r="P5911" s="349"/>
      <c r="Q5911" s="349"/>
    </row>
    <row r="5912" spans="16:17" x14ac:dyDescent="0.3">
      <c r="P5912" s="349"/>
      <c r="Q5912" s="349"/>
    </row>
    <row r="5913" spans="16:17" x14ac:dyDescent="0.3">
      <c r="P5913" s="349"/>
      <c r="Q5913" s="349"/>
    </row>
    <row r="5914" spans="16:17" x14ac:dyDescent="0.3">
      <c r="P5914" s="349"/>
      <c r="Q5914" s="349"/>
    </row>
    <row r="5915" spans="16:17" x14ac:dyDescent="0.3">
      <c r="P5915" s="349"/>
      <c r="Q5915" s="349"/>
    </row>
    <row r="5916" spans="16:17" x14ac:dyDescent="0.3">
      <c r="P5916" s="349"/>
      <c r="Q5916" s="349"/>
    </row>
    <row r="5917" spans="16:17" x14ac:dyDescent="0.3">
      <c r="P5917" s="349"/>
      <c r="Q5917" s="349"/>
    </row>
    <row r="5918" spans="16:17" x14ac:dyDescent="0.3">
      <c r="P5918" s="349"/>
      <c r="Q5918" s="349"/>
    </row>
    <row r="5919" spans="16:17" x14ac:dyDescent="0.3">
      <c r="P5919" s="349"/>
      <c r="Q5919" s="349"/>
    </row>
    <row r="5920" spans="16:17" x14ac:dyDescent="0.3">
      <c r="P5920" s="349"/>
      <c r="Q5920" s="349"/>
    </row>
    <row r="5921" spans="16:17" x14ac:dyDescent="0.3">
      <c r="P5921" s="349"/>
      <c r="Q5921" s="349"/>
    </row>
    <row r="5922" spans="16:17" x14ac:dyDescent="0.3">
      <c r="P5922" s="349"/>
      <c r="Q5922" s="349"/>
    </row>
    <row r="5923" spans="16:17" x14ac:dyDescent="0.3">
      <c r="P5923" s="349"/>
      <c r="Q5923" s="349"/>
    </row>
    <row r="5924" spans="16:17" x14ac:dyDescent="0.3">
      <c r="P5924" s="349"/>
      <c r="Q5924" s="349"/>
    </row>
    <row r="5925" spans="16:17" x14ac:dyDescent="0.3">
      <c r="P5925" s="349"/>
      <c r="Q5925" s="349"/>
    </row>
    <row r="5926" spans="16:17" x14ac:dyDescent="0.3">
      <c r="P5926" s="349"/>
      <c r="Q5926" s="349"/>
    </row>
    <row r="5927" spans="16:17" x14ac:dyDescent="0.3">
      <c r="P5927" s="349"/>
      <c r="Q5927" s="349"/>
    </row>
    <row r="5928" spans="16:17" x14ac:dyDescent="0.3">
      <c r="P5928" s="349"/>
      <c r="Q5928" s="349"/>
    </row>
    <row r="5929" spans="16:17" x14ac:dyDescent="0.3">
      <c r="P5929" s="349"/>
      <c r="Q5929" s="349"/>
    </row>
    <row r="5930" spans="16:17" x14ac:dyDescent="0.3">
      <c r="P5930" s="349"/>
      <c r="Q5930" s="349"/>
    </row>
    <row r="5931" spans="16:17" x14ac:dyDescent="0.3">
      <c r="P5931" s="349"/>
      <c r="Q5931" s="349"/>
    </row>
    <row r="5932" spans="16:17" x14ac:dyDescent="0.3">
      <c r="P5932" s="349"/>
      <c r="Q5932" s="349"/>
    </row>
    <row r="5933" spans="16:17" x14ac:dyDescent="0.3">
      <c r="P5933" s="349"/>
      <c r="Q5933" s="349"/>
    </row>
    <row r="5934" spans="16:17" x14ac:dyDescent="0.3">
      <c r="P5934" s="349"/>
      <c r="Q5934" s="349"/>
    </row>
    <row r="5935" spans="16:17" x14ac:dyDescent="0.3">
      <c r="P5935" s="349"/>
      <c r="Q5935" s="349"/>
    </row>
    <row r="5936" spans="16:17" x14ac:dyDescent="0.3">
      <c r="P5936" s="349"/>
      <c r="Q5936" s="349"/>
    </row>
    <row r="5937" spans="16:17" x14ac:dyDescent="0.3">
      <c r="P5937" s="349"/>
      <c r="Q5937" s="349"/>
    </row>
    <row r="5938" spans="16:17" x14ac:dyDescent="0.3">
      <c r="P5938" s="349"/>
      <c r="Q5938" s="349"/>
    </row>
    <row r="5939" spans="16:17" x14ac:dyDescent="0.3">
      <c r="P5939" s="349"/>
      <c r="Q5939" s="349"/>
    </row>
    <row r="5940" spans="16:17" x14ac:dyDescent="0.3">
      <c r="P5940" s="349"/>
      <c r="Q5940" s="349"/>
    </row>
    <row r="5941" spans="16:17" x14ac:dyDescent="0.3">
      <c r="P5941" s="349"/>
      <c r="Q5941" s="349"/>
    </row>
    <row r="5942" spans="16:17" x14ac:dyDescent="0.3">
      <c r="P5942" s="349"/>
      <c r="Q5942" s="349"/>
    </row>
    <row r="5943" spans="16:17" x14ac:dyDescent="0.3">
      <c r="P5943" s="349"/>
      <c r="Q5943" s="349"/>
    </row>
    <row r="5944" spans="16:17" x14ac:dyDescent="0.3">
      <c r="P5944" s="349"/>
      <c r="Q5944" s="349"/>
    </row>
    <row r="5945" spans="16:17" x14ac:dyDescent="0.3">
      <c r="P5945" s="349"/>
      <c r="Q5945" s="349"/>
    </row>
    <row r="5946" spans="16:17" x14ac:dyDescent="0.3">
      <c r="P5946" s="349"/>
      <c r="Q5946" s="349"/>
    </row>
    <row r="5947" spans="16:17" x14ac:dyDescent="0.3">
      <c r="P5947" s="349"/>
      <c r="Q5947" s="349"/>
    </row>
    <row r="5948" spans="16:17" x14ac:dyDescent="0.3">
      <c r="P5948" s="349"/>
      <c r="Q5948" s="349"/>
    </row>
    <row r="5949" spans="16:17" x14ac:dyDescent="0.3">
      <c r="P5949" s="349"/>
      <c r="Q5949" s="349"/>
    </row>
    <row r="5950" spans="16:17" x14ac:dyDescent="0.3">
      <c r="P5950" s="349"/>
      <c r="Q5950" s="349"/>
    </row>
    <row r="5951" spans="16:17" x14ac:dyDescent="0.3">
      <c r="P5951" s="349"/>
      <c r="Q5951" s="349"/>
    </row>
    <row r="5952" spans="16:17" x14ac:dyDescent="0.3">
      <c r="P5952" s="349"/>
      <c r="Q5952" s="349"/>
    </row>
    <row r="5953" spans="16:17" x14ac:dyDescent="0.3">
      <c r="P5953" s="349"/>
      <c r="Q5953" s="349"/>
    </row>
    <row r="5954" spans="16:17" x14ac:dyDescent="0.3">
      <c r="P5954" s="349"/>
      <c r="Q5954" s="349"/>
    </row>
    <row r="5955" spans="16:17" x14ac:dyDescent="0.3">
      <c r="P5955" s="349"/>
      <c r="Q5955" s="349"/>
    </row>
    <row r="5956" spans="16:17" x14ac:dyDescent="0.3">
      <c r="P5956" s="349"/>
      <c r="Q5956" s="349"/>
    </row>
    <row r="5957" spans="16:17" x14ac:dyDescent="0.3">
      <c r="P5957" s="349"/>
      <c r="Q5957" s="349"/>
    </row>
    <row r="5958" spans="16:17" x14ac:dyDescent="0.3">
      <c r="P5958" s="349"/>
      <c r="Q5958" s="349"/>
    </row>
    <row r="5959" spans="16:17" x14ac:dyDescent="0.3">
      <c r="P5959" s="349"/>
      <c r="Q5959" s="349"/>
    </row>
    <row r="5960" spans="16:17" x14ac:dyDescent="0.3">
      <c r="P5960" s="349"/>
      <c r="Q5960" s="349"/>
    </row>
    <row r="5961" spans="16:17" x14ac:dyDescent="0.3">
      <c r="P5961" s="349"/>
      <c r="Q5961" s="349"/>
    </row>
    <row r="5962" spans="16:17" x14ac:dyDescent="0.3">
      <c r="P5962" s="349"/>
      <c r="Q5962" s="349"/>
    </row>
    <row r="5963" spans="16:17" x14ac:dyDescent="0.3">
      <c r="P5963" s="349"/>
      <c r="Q5963" s="349"/>
    </row>
    <row r="5964" spans="16:17" x14ac:dyDescent="0.3">
      <c r="P5964" s="349"/>
      <c r="Q5964" s="349"/>
    </row>
    <row r="5965" spans="16:17" x14ac:dyDescent="0.3">
      <c r="P5965" s="349"/>
      <c r="Q5965" s="349"/>
    </row>
    <row r="5966" spans="16:17" x14ac:dyDescent="0.3">
      <c r="P5966" s="349"/>
      <c r="Q5966" s="349"/>
    </row>
    <row r="5967" spans="16:17" x14ac:dyDescent="0.3">
      <c r="P5967" s="349"/>
      <c r="Q5967" s="349"/>
    </row>
    <row r="5968" spans="16:17" x14ac:dyDescent="0.3">
      <c r="P5968" s="349"/>
      <c r="Q5968" s="349"/>
    </row>
    <row r="5969" spans="16:17" x14ac:dyDescent="0.3">
      <c r="P5969" s="349"/>
      <c r="Q5969" s="349"/>
    </row>
    <row r="5970" spans="16:17" x14ac:dyDescent="0.3">
      <c r="P5970" s="349"/>
      <c r="Q5970" s="349"/>
    </row>
    <row r="5971" spans="16:17" x14ac:dyDescent="0.3">
      <c r="P5971" s="349"/>
      <c r="Q5971" s="349"/>
    </row>
    <row r="5972" spans="16:17" x14ac:dyDescent="0.3">
      <c r="P5972" s="349"/>
      <c r="Q5972" s="349"/>
    </row>
    <row r="5973" spans="16:17" x14ac:dyDescent="0.3">
      <c r="P5973" s="349"/>
      <c r="Q5973" s="349"/>
    </row>
    <row r="5974" spans="16:17" x14ac:dyDescent="0.3">
      <c r="P5974" s="349"/>
      <c r="Q5974" s="349"/>
    </row>
    <row r="5975" spans="16:17" x14ac:dyDescent="0.3">
      <c r="P5975" s="349"/>
      <c r="Q5975" s="349"/>
    </row>
    <row r="5976" spans="16:17" x14ac:dyDescent="0.3">
      <c r="P5976" s="349"/>
      <c r="Q5976" s="349"/>
    </row>
    <row r="5977" spans="16:17" x14ac:dyDescent="0.3">
      <c r="P5977" s="349"/>
      <c r="Q5977" s="349"/>
    </row>
    <row r="5978" spans="16:17" x14ac:dyDescent="0.3">
      <c r="P5978" s="349"/>
      <c r="Q5978" s="349"/>
    </row>
    <row r="5979" spans="16:17" x14ac:dyDescent="0.3">
      <c r="P5979" s="349"/>
      <c r="Q5979" s="349"/>
    </row>
    <row r="5980" spans="16:17" x14ac:dyDescent="0.3">
      <c r="P5980" s="349"/>
      <c r="Q5980" s="349"/>
    </row>
    <row r="5981" spans="16:17" x14ac:dyDescent="0.3">
      <c r="P5981" s="349"/>
      <c r="Q5981" s="349"/>
    </row>
    <row r="5982" spans="16:17" x14ac:dyDescent="0.3">
      <c r="P5982" s="349"/>
      <c r="Q5982" s="349"/>
    </row>
    <row r="5983" spans="16:17" x14ac:dyDescent="0.3">
      <c r="P5983" s="349"/>
      <c r="Q5983" s="349"/>
    </row>
    <row r="5984" spans="16:17" x14ac:dyDescent="0.3">
      <c r="P5984" s="349"/>
      <c r="Q5984" s="349"/>
    </row>
    <row r="5985" spans="16:17" x14ac:dyDescent="0.3">
      <c r="P5985" s="349"/>
      <c r="Q5985" s="349"/>
    </row>
    <row r="5986" spans="16:17" x14ac:dyDescent="0.3">
      <c r="P5986" s="349"/>
      <c r="Q5986" s="349"/>
    </row>
    <row r="5987" spans="16:17" x14ac:dyDescent="0.3">
      <c r="P5987" s="349"/>
      <c r="Q5987" s="349"/>
    </row>
    <row r="5988" spans="16:17" x14ac:dyDescent="0.3">
      <c r="P5988" s="349"/>
      <c r="Q5988" s="349"/>
    </row>
    <row r="5989" spans="16:17" x14ac:dyDescent="0.3">
      <c r="P5989" s="349"/>
      <c r="Q5989" s="349"/>
    </row>
    <row r="5990" spans="16:17" x14ac:dyDescent="0.3">
      <c r="P5990" s="349"/>
      <c r="Q5990" s="349"/>
    </row>
    <row r="5991" spans="16:17" x14ac:dyDescent="0.3">
      <c r="P5991" s="349"/>
      <c r="Q5991" s="349"/>
    </row>
    <row r="5992" spans="16:17" x14ac:dyDescent="0.3">
      <c r="P5992" s="349"/>
      <c r="Q5992" s="349"/>
    </row>
    <row r="5993" spans="16:17" x14ac:dyDescent="0.3">
      <c r="P5993" s="349"/>
      <c r="Q5993" s="349"/>
    </row>
    <row r="5994" spans="16:17" x14ac:dyDescent="0.3">
      <c r="P5994" s="349"/>
      <c r="Q5994" s="349"/>
    </row>
    <row r="5995" spans="16:17" x14ac:dyDescent="0.3">
      <c r="P5995" s="349"/>
      <c r="Q5995" s="349"/>
    </row>
    <row r="5996" spans="16:17" x14ac:dyDescent="0.3">
      <c r="P5996" s="349"/>
      <c r="Q5996" s="349"/>
    </row>
    <row r="5997" spans="16:17" x14ac:dyDescent="0.3">
      <c r="P5997" s="349"/>
      <c r="Q5997" s="349"/>
    </row>
    <row r="5998" spans="16:17" x14ac:dyDescent="0.3">
      <c r="P5998" s="349"/>
      <c r="Q5998" s="349"/>
    </row>
    <row r="5999" spans="16:17" x14ac:dyDescent="0.3">
      <c r="P5999" s="349"/>
      <c r="Q5999" s="349"/>
    </row>
    <row r="6000" spans="16:17" x14ac:dyDescent="0.3">
      <c r="P6000" s="349"/>
      <c r="Q6000" s="349"/>
    </row>
    <row r="6001" spans="16:17" x14ac:dyDescent="0.3">
      <c r="P6001" s="349"/>
      <c r="Q6001" s="349"/>
    </row>
    <row r="6002" spans="16:17" x14ac:dyDescent="0.3">
      <c r="P6002" s="349"/>
      <c r="Q6002" s="349"/>
    </row>
    <row r="6003" spans="16:17" x14ac:dyDescent="0.3">
      <c r="P6003" s="349"/>
      <c r="Q6003" s="349"/>
    </row>
    <row r="6004" spans="16:17" x14ac:dyDescent="0.3">
      <c r="P6004" s="349"/>
      <c r="Q6004" s="349"/>
    </row>
    <row r="6005" spans="16:17" x14ac:dyDescent="0.3">
      <c r="P6005" s="349"/>
      <c r="Q6005" s="349"/>
    </row>
    <row r="6006" spans="16:17" x14ac:dyDescent="0.3">
      <c r="P6006" s="349"/>
      <c r="Q6006" s="349"/>
    </row>
    <row r="6007" spans="16:17" x14ac:dyDescent="0.3">
      <c r="P6007" s="349"/>
      <c r="Q6007" s="349"/>
    </row>
    <row r="6008" spans="16:17" x14ac:dyDescent="0.3">
      <c r="P6008" s="349"/>
      <c r="Q6008" s="349"/>
    </row>
    <row r="6009" spans="16:17" x14ac:dyDescent="0.3">
      <c r="P6009" s="349"/>
      <c r="Q6009" s="349"/>
    </row>
    <row r="6010" spans="16:17" x14ac:dyDescent="0.3">
      <c r="P6010" s="349"/>
      <c r="Q6010" s="349"/>
    </row>
    <row r="6011" spans="16:17" x14ac:dyDescent="0.3">
      <c r="P6011" s="349"/>
      <c r="Q6011" s="349"/>
    </row>
    <row r="6012" spans="16:17" x14ac:dyDescent="0.3">
      <c r="P6012" s="349"/>
      <c r="Q6012" s="349"/>
    </row>
    <row r="6013" spans="16:17" x14ac:dyDescent="0.3">
      <c r="P6013" s="349"/>
      <c r="Q6013" s="349"/>
    </row>
    <row r="6014" spans="16:17" x14ac:dyDescent="0.3">
      <c r="P6014" s="349"/>
      <c r="Q6014" s="349"/>
    </row>
    <row r="6015" spans="16:17" x14ac:dyDescent="0.3">
      <c r="P6015" s="349"/>
      <c r="Q6015" s="349"/>
    </row>
    <row r="6016" spans="16:17" x14ac:dyDescent="0.3">
      <c r="P6016" s="349"/>
      <c r="Q6016" s="349"/>
    </row>
    <row r="6017" spans="16:17" x14ac:dyDescent="0.3">
      <c r="P6017" s="349"/>
      <c r="Q6017" s="349"/>
    </row>
    <row r="6018" spans="16:17" x14ac:dyDescent="0.3">
      <c r="P6018" s="349"/>
      <c r="Q6018" s="349"/>
    </row>
    <row r="6019" spans="16:17" x14ac:dyDescent="0.3">
      <c r="P6019" s="349"/>
      <c r="Q6019" s="349"/>
    </row>
    <row r="6020" spans="16:17" x14ac:dyDescent="0.3">
      <c r="P6020" s="349"/>
      <c r="Q6020" s="349"/>
    </row>
    <row r="6021" spans="16:17" x14ac:dyDescent="0.3">
      <c r="P6021" s="349"/>
      <c r="Q6021" s="349"/>
    </row>
    <row r="6022" spans="16:17" x14ac:dyDescent="0.3">
      <c r="P6022" s="349"/>
      <c r="Q6022" s="349"/>
    </row>
    <row r="6023" spans="16:17" x14ac:dyDescent="0.3">
      <c r="P6023" s="349"/>
      <c r="Q6023" s="349"/>
    </row>
    <row r="6024" spans="16:17" x14ac:dyDescent="0.3">
      <c r="P6024" s="349"/>
      <c r="Q6024" s="349"/>
    </row>
    <row r="6025" spans="16:17" x14ac:dyDescent="0.3">
      <c r="P6025" s="349"/>
      <c r="Q6025" s="349"/>
    </row>
    <row r="6026" spans="16:17" x14ac:dyDescent="0.3">
      <c r="P6026" s="349"/>
      <c r="Q6026" s="349"/>
    </row>
    <row r="6027" spans="16:17" x14ac:dyDescent="0.3">
      <c r="P6027" s="349"/>
      <c r="Q6027" s="349"/>
    </row>
    <row r="6028" spans="16:17" x14ac:dyDescent="0.3">
      <c r="P6028" s="349"/>
      <c r="Q6028" s="349"/>
    </row>
    <row r="6029" spans="16:17" x14ac:dyDescent="0.3">
      <c r="P6029" s="349"/>
      <c r="Q6029" s="349"/>
    </row>
    <row r="6030" spans="16:17" x14ac:dyDescent="0.3">
      <c r="P6030" s="349"/>
      <c r="Q6030" s="349"/>
    </row>
    <row r="6031" spans="16:17" x14ac:dyDescent="0.3">
      <c r="P6031" s="349"/>
      <c r="Q6031" s="349"/>
    </row>
    <row r="6032" spans="16:17" x14ac:dyDescent="0.3">
      <c r="P6032" s="349"/>
      <c r="Q6032" s="349"/>
    </row>
    <row r="6033" spans="16:17" x14ac:dyDescent="0.3">
      <c r="P6033" s="349"/>
      <c r="Q6033" s="349"/>
    </row>
    <row r="6034" spans="16:17" x14ac:dyDescent="0.3">
      <c r="P6034" s="349"/>
      <c r="Q6034" s="349"/>
    </row>
    <row r="6035" spans="16:17" x14ac:dyDescent="0.3">
      <c r="P6035" s="349"/>
      <c r="Q6035" s="349"/>
    </row>
    <row r="6036" spans="16:17" x14ac:dyDescent="0.3">
      <c r="P6036" s="349"/>
      <c r="Q6036" s="349"/>
    </row>
    <row r="6037" spans="16:17" x14ac:dyDescent="0.3">
      <c r="P6037" s="349"/>
      <c r="Q6037" s="349"/>
    </row>
    <row r="6038" spans="16:17" x14ac:dyDescent="0.3">
      <c r="P6038" s="349"/>
      <c r="Q6038" s="349"/>
    </row>
    <row r="6039" spans="16:17" x14ac:dyDescent="0.3">
      <c r="P6039" s="349"/>
      <c r="Q6039" s="349"/>
    </row>
    <row r="6040" spans="16:17" x14ac:dyDescent="0.3">
      <c r="P6040" s="349"/>
      <c r="Q6040" s="349"/>
    </row>
    <row r="6041" spans="16:17" x14ac:dyDescent="0.3">
      <c r="P6041" s="349"/>
      <c r="Q6041" s="349"/>
    </row>
    <row r="6042" spans="16:17" x14ac:dyDescent="0.3">
      <c r="P6042" s="349"/>
      <c r="Q6042" s="349"/>
    </row>
    <row r="6043" spans="16:17" x14ac:dyDescent="0.3">
      <c r="P6043" s="349"/>
      <c r="Q6043" s="349"/>
    </row>
    <row r="6044" spans="16:17" x14ac:dyDescent="0.3">
      <c r="P6044" s="349"/>
      <c r="Q6044" s="349"/>
    </row>
    <row r="6045" spans="16:17" x14ac:dyDescent="0.3">
      <c r="P6045" s="349"/>
      <c r="Q6045" s="349"/>
    </row>
    <row r="6046" spans="16:17" x14ac:dyDescent="0.3">
      <c r="P6046" s="349"/>
      <c r="Q6046" s="349"/>
    </row>
    <row r="6047" spans="16:17" x14ac:dyDescent="0.3">
      <c r="P6047" s="349"/>
      <c r="Q6047" s="349"/>
    </row>
    <row r="6048" spans="16:17" x14ac:dyDescent="0.3">
      <c r="P6048" s="349"/>
      <c r="Q6048" s="349"/>
    </row>
    <row r="6049" spans="16:17" x14ac:dyDescent="0.3">
      <c r="P6049" s="349"/>
      <c r="Q6049" s="349"/>
    </row>
    <row r="6050" spans="16:17" x14ac:dyDescent="0.3">
      <c r="P6050" s="349"/>
      <c r="Q6050" s="349"/>
    </row>
    <row r="6051" spans="16:17" x14ac:dyDescent="0.3">
      <c r="P6051" s="349"/>
      <c r="Q6051" s="349"/>
    </row>
    <row r="6052" spans="16:17" x14ac:dyDescent="0.3">
      <c r="P6052" s="349"/>
      <c r="Q6052" s="349"/>
    </row>
    <row r="6053" spans="16:17" x14ac:dyDescent="0.3">
      <c r="P6053" s="349"/>
      <c r="Q6053" s="349"/>
    </row>
    <row r="6054" spans="16:17" x14ac:dyDescent="0.3">
      <c r="P6054" s="349"/>
      <c r="Q6054" s="349"/>
    </row>
    <row r="6055" spans="16:17" x14ac:dyDescent="0.3">
      <c r="P6055" s="349"/>
      <c r="Q6055" s="349"/>
    </row>
    <row r="6056" spans="16:17" x14ac:dyDescent="0.3">
      <c r="P6056" s="349"/>
      <c r="Q6056" s="349"/>
    </row>
    <row r="6057" spans="16:17" x14ac:dyDescent="0.3">
      <c r="P6057" s="349"/>
      <c r="Q6057" s="349"/>
    </row>
    <row r="6058" spans="16:17" x14ac:dyDescent="0.3">
      <c r="P6058" s="349"/>
      <c r="Q6058" s="349"/>
    </row>
    <row r="6059" spans="16:17" x14ac:dyDescent="0.3">
      <c r="P6059" s="349"/>
      <c r="Q6059" s="349"/>
    </row>
    <row r="6060" spans="16:17" x14ac:dyDescent="0.3">
      <c r="P6060" s="349"/>
      <c r="Q6060" s="349"/>
    </row>
    <row r="6061" spans="16:17" x14ac:dyDescent="0.3">
      <c r="P6061" s="349"/>
      <c r="Q6061" s="349"/>
    </row>
    <row r="6062" spans="16:17" x14ac:dyDescent="0.3">
      <c r="P6062" s="349"/>
      <c r="Q6062" s="349"/>
    </row>
    <row r="6063" spans="16:17" x14ac:dyDescent="0.3">
      <c r="P6063" s="349"/>
      <c r="Q6063" s="349"/>
    </row>
    <row r="6064" spans="16:17" x14ac:dyDescent="0.3">
      <c r="P6064" s="349"/>
      <c r="Q6064" s="349"/>
    </row>
    <row r="6065" spans="16:17" x14ac:dyDescent="0.3">
      <c r="P6065" s="349"/>
      <c r="Q6065" s="349"/>
    </row>
    <row r="6066" spans="16:17" x14ac:dyDescent="0.3">
      <c r="P6066" s="349"/>
      <c r="Q6066" s="349"/>
    </row>
    <row r="6067" spans="16:17" x14ac:dyDescent="0.3">
      <c r="P6067" s="349"/>
      <c r="Q6067" s="349"/>
    </row>
    <row r="6068" spans="16:17" x14ac:dyDescent="0.3">
      <c r="P6068" s="349"/>
      <c r="Q6068" s="349"/>
    </row>
    <row r="6069" spans="16:17" x14ac:dyDescent="0.3">
      <c r="P6069" s="349"/>
      <c r="Q6069" s="349"/>
    </row>
    <row r="6070" spans="16:17" x14ac:dyDescent="0.3">
      <c r="P6070" s="349"/>
      <c r="Q6070" s="349"/>
    </row>
    <row r="6071" spans="16:17" x14ac:dyDescent="0.3">
      <c r="P6071" s="349"/>
      <c r="Q6071" s="349"/>
    </row>
    <row r="6072" spans="16:17" x14ac:dyDescent="0.3">
      <c r="P6072" s="349"/>
      <c r="Q6072" s="349"/>
    </row>
    <row r="6073" spans="16:17" x14ac:dyDescent="0.3">
      <c r="P6073" s="349"/>
      <c r="Q6073" s="349"/>
    </row>
    <row r="6074" spans="16:17" x14ac:dyDescent="0.3">
      <c r="P6074" s="349"/>
      <c r="Q6074" s="349"/>
    </row>
    <row r="6075" spans="16:17" x14ac:dyDescent="0.3">
      <c r="P6075" s="349"/>
      <c r="Q6075" s="349"/>
    </row>
    <row r="6076" spans="16:17" x14ac:dyDescent="0.3">
      <c r="P6076" s="349"/>
      <c r="Q6076" s="349"/>
    </row>
    <row r="6077" spans="16:17" x14ac:dyDescent="0.3">
      <c r="P6077" s="349"/>
      <c r="Q6077" s="349"/>
    </row>
    <row r="6078" spans="16:17" x14ac:dyDescent="0.3">
      <c r="P6078" s="349"/>
      <c r="Q6078" s="349"/>
    </row>
    <row r="6079" spans="16:17" x14ac:dyDescent="0.3">
      <c r="P6079" s="349"/>
      <c r="Q6079" s="349"/>
    </row>
    <row r="6080" spans="16:17" x14ac:dyDescent="0.3">
      <c r="P6080" s="349"/>
      <c r="Q6080" s="349"/>
    </row>
    <row r="6081" spans="16:17" x14ac:dyDescent="0.3">
      <c r="P6081" s="349"/>
      <c r="Q6081" s="349"/>
    </row>
    <row r="6082" spans="16:17" x14ac:dyDescent="0.3">
      <c r="P6082" s="349"/>
      <c r="Q6082" s="349"/>
    </row>
    <row r="6083" spans="16:17" x14ac:dyDescent="0.3">
      <c r="P6083" s="349"/>
      <c r="Q6083" s="349"/>
    </row>
    <row r="6084" spans="16:17" x14ac:dyDescent="0.3">
      <c r="P6084" s="349"/>
      <c r="Q6084" s="349"/>
    </row>
    <row r="6085" spans="16:17" x14ac:dyDescent="0.3">
      <c r="P6085" s="349"/>
      <c r="Q6085" s="349"/>
    </row>
    <row r="6086" spans="16:17" x14ac:dyDescent="0.3">
      <c r="P6086" s="349"/>
      <c r="Q6086" s="349"/>
    </row>
    <row r="6087" spans="16:17" x14ac:dyDescent="0.3">
      <c r="P6087" s="349"/>
      <c r="Q6087" s="349"/>
    </row>
    <row r="6088" spans="16:17" x14ac:dyDescent="0.3">
      <c r="P6088" s="349"/>
      <c r="Q6088" s="349"/>
    </row>
    <row r="6089" spans="16:17" x14ac:dyDescent="0.3">
      <c r="P6089" s="349"/>
      <c r="Q6089" s="349"/>
    </row>
    <row r="6090" spans="16:17" x14ac:dyDescent="0.3">
      <c r="P6090" s="349"/>
      <c r="Q6090" s="349"/>
    </row>
    <row r="6091" spans="16:17" x14ac:dyDescent="0.3">
      <c r="P6091" s="349"/>
      <c r="Q6091" s="349"/>
    </row>
    <row r="6092" spans="16:17" x14ac:dyDescent="0.3">
      <c r="P6092" s="349"/>
      <c r="Q6092" s="349"/>
    </row>
    <row r="6093" spans="16:17" x14ac:dyDescent="0.3">
      <c r="P6093" s="349"/>
      <c r="Q6093" s="349"/>
    </row>
    <row r="6094" spans="16:17" x14ac:dyDescent="0.3">
      <c r="P6094" s="349"/>
      <c r="Q6094" s="349"/>
    </row>
    <row r="6095" spans="16:17" x14ac:dyDescent="0.3">
      <c r="P6095" s="349"/>
      <c r="Q6095" s="349"/>
    </row>
    <row r="6096" spans="16:17" x14ac:dyDescent="0.3">
      <c r="P6096" s="349"/>
      <c r="Q6096" s="349"/>
    </row>
    <row r="6097" spans="16:17" x14ac:dyDescent="0.3">
      <c r="P6097" s="349"/>
      <c r="Q6097" s="349"/>
    </row>
    <row r="6098" spans="16:17" x14ac:dyDescent="0.3">
      <c r="P6098" s="349"/>
      <c r="Q6098" s="349"/>
    </row>
    <row r="6099" spans="16:17" x14ac:dyDescent="0.3">
      <c r="P6099" s="349"/>
      <c r="Q6099" s="349"/>
    </row>
    <row r="6100" spans="16:17" x14ac:dyDescent="0.3">
      <c r="P6100" s="349"/>
      <c r="Q6100" s="349"/>
    </row>
    <row r="6101" spans="16:17" x14ac:dyDescent="0.3">
      <c r="P6101" s="349"/>
      <c r="Q6101" s="349"/>
    </row>
    <row r="6102" spans="16:17" x14ac:dyDescent="0.3">
      <c r="P6102" s="349"/>
      <c r="Q6102" s="349"/>
    </row>
    <row r="6103" spans="16:17" x14ac:dyDescent="0.3">
      <c r="P6103" s="349"/>
      <c r="Q6103" s="349"/>
    </row>
    <row r="6104" spans="16:17" x14ac:dyDescent="0.3">
      <c r="P6104" s="349"/>
      <c r="Q6104" s="349"/>
    </row>
    <row r="6105" spans="16:17" x14ac:dyDescent="0.3">
      <c r="P6105" s="349"/>
      <c r="Q6105" s="349"/>
    </row>
    <row r="6106" spans="16:17" x14ac:dyDescent="0.3">
      <c r="P6106" s="349"/>
      <c r="Q6106" s="349"/>
    </row>
    <row r="6107" spans="16:17" x14ac:dyDescent="0.3">
      <c r="P6107" s="349"/>
      <c r="Q6107" s="349"/>
    </row>
    <row r="6108" spans="16:17" x14ac:dyDescent="0.3">
      <c r="P6108" s="349"/>
      <c r="Q6108" s="349"/>
    </row>
    <row r="6109" spans="16:17" x14ac:dyDescent="0.3">
      <c r="P6109" s="349"/>
      <c r="Q6109" s="349"/>
    </row>
    <row r="6110" spans="16:17" x14ac:dyDescent="0.3">
      <c r="P6110" s="349"/>
      <c r="Q6110" s="349"/>
    </row>
    <row r="6111" spans="16:17" x14ac:dyDescent="0.3">
      <c r="P6111" s="349"/>
      <c r="Q6111" s="349"/>
    </row>
    <row r="6112" spans="16:17" x14ac:dyDescent="0.3">
      <c r="P6112" s="349"/>
      <c r="Q6112" s="349"/>
    </row>
    <row r="6113" spans="16:17" x14ac:dyDescent="0.3">
      <c r="P6113" s="349"/>
      <c r="Q6113" s="349"/>
    </row>
    <row r="6114" spans="16:17" x14ac:dyDescent="0.3">
      <c r="P6114" s="349"/>
      <c r="Q6114" s="349"/>
    </row>
    <row r="6115" spans="16:17" x14ac:dyDescent="0.3">
      <c r="P6115" s="349"/>
      <c r="Q6115" s="349"/>
    </row>
    <row r="6116" spans="16:17" x14ac:dyDescent="0.3">
      <c r="P6116" s="349"/>
      <c r="Q6116" s="349"/>
    </row>
    <row r="6117" spans="16:17" x14ac:dyDescent="0.3">
      <c r="P6117" s="349"/>
      <c r="Q6117" s="349"/>
    </row>
    <row r="6118" spans="16:17" x14ac:dyDescent="0.3">
      <c r="P6118" s="349"/>
      <c r="Q6118" s="349"/>
    </row>
    <row r="6119" spans="16:17" x14ac:dyDescent="0.3">
      <c r="P6119" s="349"/>
      <c r="Q6119" s="349"/>
    </row>
    <row r="6120" spans="16:17" x14ac:dyDescent="0.3">
      <c r="P6120" s="349"/>
      <c r="Q6120" s="349"/>
    </row>
    <row r="6121" spans="16:17" x14ac:dyDescent="0.3">
      <c r="P6121" s="349"/>
      <c r="Q6121" s="349"/>
    </row>
    <row r="6122" spans="16:17" x14ac:dyDescent="0.3">
      <c r="P6122" s="349"/>
      <c r="Q6122" s="349"/>
    </row>
    <row r="6123" spans="16:17" x14ac:dyDescent="0.3">
      <c r="P6123" s="349"/>
      <c r="Q6123" s="349"/>
    </row>
    <row r="6124" spans="16:17" x14ac:dyDescent="0.3">
      <c r="P6124" s="349"/>
      <c r="Q6124" s="349"/>
    </row>
    <row r="6125" spans="16:17" x14ac:dyDescent="0.3">
      <c r="P6125" s="349"/>
      <c r="Q6125" s="349"/>
    </row>
    <row r="6126" spans="16:17" x14ac:dyDescent="0.3">
      <c r="P6126" s="349"/>
      <c r="Q6126" s="349"/>
    </row>
    <row r="6127" spans="16:17" x14ac:dyDescent="0.3">
      <c r="P6127" s="349"/>
      <c r="Q6127" s="349"/>
    </row>
    <row r="6128" spans="16:17" x14ac:dyDescent="0.3">
      <c r="P6128" s="349"/>
      <c r="Q6128" s="349"/>
    </row>
    <row r="6129" spans="16:17" x14ac:dyDescent="0.3">
      <c r="P6129" s="349"/>
      <c r="Q6129" s="349"/>
    </row>
    <row r="6130" spans="16:17" x14ac:dyDescent="0.3">
      <c r="P6130" s="349"/>
      <c r="Q6130" s="349"/>
    </row>
    <row r="6131" spans="16:17" x14ac:dyDescent="0.3">
      <c r="P6131" s="349"/>
      <c r="Q6131" s="349"/>
    </row>
    <row r="6132" spans="16:17" x14ac:dyDescent="0.3">
      <c r="P6132" s="349"/>
      <c r="Q6132" s="349"/>
    </row>
    <row r="6133" spans="16:17" x14ac:dyDescent="0.3">
      <c r="P6133" s="349"/>
      <c r="Q6133" s="349"/>
    </row>
    <row r="6134" spans="16:17" x14ac:dyDescent="0.3">
      <c r="P6134" s="349"/>
      <c r="Q6134" s="349"/>
    </row>
    <row r="6135" spans="16:17" x14ac:dyDescent="0.3">
      <c r="P6135" s="349"/>
      <c r="Q6135" s="349"/>
    </row>
    <row r="6136" spans="16:17" x14ac:dyDescent="0.3">
      <c r="P6136" s="349"/>
      <c r="Q6136" s="349"/>
    </row>
    <row r="6137" spans="16:17" x14ac:dyDescent="0.3">
      <c r="P6137" s="349"/>
      <c r="Q6137" s="349"/>
    </row>
    <row r="6138" spans="16:17" x14ac:dyDescent="0.3">
      <c r="P6138" s="349"/>
      <c r="Q6138" s="349"/>
    </row>
    <row r="6139" spans="16:17" x14ac:dyDescent="0.3">
      <c r="P6139" s="349"/>
      <c r="Q6139" s="349"/>
    </row>
    <row r="6140" spans="16:17" x14ac:dyDescent="0.3">
      <c r="P6140" s="349"/>
      <c r="Q6140" s="349"/>
    </row>
    <row r="6141" spans="16:17" x14ac:dyDescent="0.3">
      <c r="P6141" s="349"/>
      <c r="Q6141" s="349"/>
    </row>
    <row r="6142" spans="16:17" x14ac:dyDescent="0.3">
      <c r="P6142" s="349"/>
      <c r="Q6142" s="349"/>
    </row>
    <row r="6143" spans="16:17" x14ac:dyDescent="0.3">
      <c r="P6143" s="349"/>
      <c r="Q6143" s="349"/>
    </row>
    <row r="6144" spans="16:17" x14ac:dyDescent="0.3">
      <c r="P6144" s="349"/>
      <c r="Q6144" s="349"/>
    </row>
    <row r="6145" spans="16:17" x14ac:dyDescent="0.3">
      <c r="P6145" s="349"/>
      <c r="Q6145" s="349"/>
    </row>
    <row r="6146" spans="16:17" x14ac:dyDescent="0.3">
      <c r="P6146" s="349"/>
      <c r="Q6146" s="349"/>
    </row>
    <row r="6147" spans="16:17" x14ac:dyDescent="0.3">
      <c r="P6147" s="349"/>
      <c r="Q6147" s="349"/>
    </row>
    <row r="6148" spans="16:17" x14ac:dyDescent="0.3">
      <c r="P6148" s="349"/>
      <c r="Q6148" s="349"/>
    </row>
    <row r="6149" spans="16:17" x14ac:dyDescent="0.3">
      <c r="P6149" s="349"/>
      <c r="Q6149" s="349"/>
    </row>
    <row r="6150" spans="16:17" x14ac:dyDescent="0.3">
      <c r="P6150" s="349"/>
      <c r="Q6150" s="349"/>
    </row>
    <row r="6151" spans="16:17" x14ac:dyDescent="0.3">
      <c r="P6151" s="349"/>
      <c r="Q6151" s="349"/>
    </row>
    <row r="6152" spans="16:17" x14ac:dyDescent="0.3">
      <c r="P6152" s="349"/>
      <c r="Q6152" s="349"/>
    </row>
    <row r="6153" spans="16:17" x14ac:dyDescent="0.3">
      <c r="P6153" s="349"/>
      <c r="Q6153" s="349"/>
    </row>
    <row r="6154" spans="16:17" x14ac:dyDescent="0.3">
      <c r="P6154" s="349"/>
      <c r="Q6154" s="349"/>
    </row>
    <row r="6155" spans="16:17" x14ac:dyDescent="0.3">
      <c r="P6155" s="349"/>
      <c r="Q6155" s="349"/>
    </row>
    <row r="6156" spans="16:17" x14ac:dyDescent="0.3">
      <c r="P6156" s="349"/>
      <c r="Q6156" s="349"/>
    </row>
    <row r="6157" spans="16:17" x14ac:dyDescent="0.3">
      <c r="P6157" s="349"/>
      <c r="Q6157" s="349"/>
    </row>
    <row r="6158" spans="16:17" x14ac:dyDescent="0.3">
      <c r="P6158" s="349"/>
      <c r="Q6158" s="349"/>
    </row>
    <row r="6159" spans="16:17" x14ac:dyDescent="0.3">
      <c r="P6159" s="349"/>
      <c r="Q6159" s="349"/>
    </row>
    <row r="6160" spans="16:17" x14ac:dyDescent="0.3">
      <c r="P6160" s="349"/>
      <c r="Q6160" s="349"/>
    </row>
    <row r="6161" spans="16:17" x14ac:dyDescent="0.3">
      <c r="P6161" s="349"/>
      <c r="Q6161" s="349"/>
    </row>
    <row r="6162" spans="16:17" x14ac:dyDescent="0.3">
      <c r="P6162" s="349"/>
      <c r="Q6162" s="349"/>
    </row>
    <row r="6163" spans="16:17" x14ac:dyDescent="0.3">
      <c r="P6163" s="349"/>
      <c r="Q6163" s="349"/>
    </row>
    <row r="6164" spans="16:17" x14ac:dyDescent="0.3">
      <c r="P6164" s="349"/>
      <c r="Q6164" s="349"/>
    </row>
    <row r="6165" spans="16:17" x14ac:dyDescent="0.3">
      <c r="P6165" s="349"/>
      <c r="Q6165" s="349"/>
    </row>
    <row r="6166" spans="16:17" x14ac:dyDescent="0.3">
      <c r="P6166" s="349"/>
      <c r="Q6166" s="349"/>
    </row>
    <row r="6167" spans="16:17" x14ac:dyDescent="0.3">
      <c r="P6167" s="349"/>
      <c r="Q6167" s="349"/>
    </row>
    <row r="6168" spans="16:17" x14ac:dyDescent="0.3">
      <c r="P6168" s="349"/>
      <c r="Q6168" s="349"/>
    </row>
    <row r="6169" spans="16:17" x14ac:dyDescent="0.3">
      <c r="P6169" s="349"/>
      <c r="Q6169" s="349"/>
    </row>
    <row r="6170" spans="16:17" x14ac:dyDescent="0.3">
      <c r="P6170" s="349"/>
      <c r="Q6170" s="349"/>
    </row>
    <row r="6171" spans="16:17" x14ac:dyDescent="0.3">
      <c r="P6171" s="349"/>
      <c r="Q6171" s="349"/>
    </row>
    <row r="6172" spans="16:17" x14ac:dyDescent="0.3">
      <c r="P6172" s="349"/>
      <c r="Q6172" s="349"/>
    </row>
    <row r="6173" spans="16:17" x14ac:dyDescent="0.3">
      <c r="P6173" s="349"/>
      <c r="Q6173" s="349"/>
    </row>
    <row r="6174" spans="16:17" x14ac:dyDescent="0.3">
      <c r="P6174" s="349"/>
      <c r="Q6174" s="349"/>
    </row>
    <row r="6175" spans="16:17" x14ac:dyDescent="0.3">
      <c r="P6175" s="349"/>
      <c r="Q6175" s="349"/>
    </row>
    <row r="6176" spans="16:17" x14ac:dyDescent="0.3">
      <c r="P6176" s="349"/>
      <c r="Q6176" s="349"/>
    </row>
    <row r="6177" spans="16:17" x14ac:dyDescent="0.3">
      <c r="P6177" s="349"/>
      <c r="Q6177" s="349"/>
    </row>
    <row r="6178" spans="16:17" x14ac:dyDescent="0.3">
      <c r="P6178" s="349"/>
      <c r="Q6178" s="349"/>
    </row>
    <row r="6179" spans="16:17" x14ac:dyDescent="0.3">
      <c r="P6179" s="349"/>
      <c r="Q6179" s="349"/>
    </row>
    <row r="6180" spans="16:17" x14ac:dyDescent="0.3">
      <c r="P6180" s="349"/>
      <c r="Q6180" s="349"/>
    </row>
    <row r="6181" spans="16:17" x14ac:dyDescent="0.3">
      <c r="P6181" s="349"/>
      <c r="Q6181" s="349"/>
    </row>
    <row r="6182" spans="16:17" x14ac:dyDescent="0.3">
      <c r="P6182" s="349"/>
      <c r="Q6182" s="349"/>
    </row>
    <row r="6183" spans="16:17" x14ac:dyDescent="0.3">
      <c r="P6183" s="349"/>
      <c r="Q6183" s="349"/>
    </row>
    <row r="6184" spans="16:17" x14ac:dyDescent="0.3">
      <c r="P6184" s="349"/>
      <c r="Q6184" s="349"/>
    </row>
    <row r="6185" spans="16:17" x14ac:dyDescent="0.3">
      <c r="P6185" s="349"/>
      <c r="Q6185" s="349"/>
    </row>
    <row r="6186" spans="16:17" x14ac:dyDescent="0.3">
      <c r="P6186" s="349"/>
      <c r="Q6186" s="349"/>
    </row>
    <row r="6187" spans="16:17" x14ac:dyDescent="0.3">
      <c r="P6187" s="349"/>
      <c r="Q6187" s="349"/>
    </row>
    <row r="6188" spans="16:17" x14ac:dyDescent="0.3">
      <c r="P6188" s="349"/>
      <c r="Q6188" s="349"/>
    </row>
    <row r="6189" spans="16:17" x14ac:dyDescent="0.3">
      <c r="P6189" s="349"/>
      <c r="Q6189" s="349"/>
    </row>
    <row r="6190" spans="16:17" x14ac:dyDescent="0.3">
      <c r="P6190" s="349"/>
      <c r="Q6190" s="349"/>
    </row>
    <row r="6191" spans="16:17" x14ac:dyDescent="0.3">
      <c r="P6191" s="349"/>
      <c r="Q6191" s="349"/>
    </row>
    <row r="6192" spans="16:17" x14ac:dyDescent="0.3">
      <c r="P6192" s="349"/>
      <c r="Q6192" s="349"/>
    </row>
    <row r="6193" spans="16:17" x14ac:dyDescent="0.3">
      <c r="P6193" s="349"/>
      <c r="Q6193" s="349"/>
    </row>
    <row r="6194" spans="16:17" x14ac:dyDescent="0.3">
      <c r="P6194" s="349"/>
      <c r="Q6194" s="349"/>
    </row>
    <row r="6195" spans="16:17" x14ac:dyDescent="0.3">
      <c r="P6195" s="349"/>
      <c r="Q6195" s="349"/>
    </row>
    <row r="6196" spans="16:17" x14ac:dyDescent="0.3">
      <c r="P6196" s="349"/>
      <c r="Q6196" s="349"/>
    </row>
    <row r="6197" spans="16:17" x14ac:dyDescent="0.3">
      <c r="P6197" s="349"/>
      <c r="Q6197" s="349"/>
    </row>
    <row r="6198" spans="16:17" x14ac:dyDescent="0.3">
      <c r="P6198" s="349"/>
      <c r="Q6198" s="349"/>
    </row>
    <row r="6199" spans="16:17" x14ac:dyDescent="0.3">
      <c r="P6199" s="349"/>
      <c r="Q6199" s="349"/>
    </row>
    <row r="6200" spans="16:17" x14ac:dyDescent="0.3">
      <c r="P6200" s="349"/>
      <c r="Q6200" s="349"/>
    </row>
    <row r="6201" spans="16:17" x14ac:dyDescent="0.3">
      <c r="P6201" s="349"/>
      <c r="Q6201" s="349"/>
    </row>
    <row r="6202" spans="16:17" x14ac:dyDescent="0.3">
      <c r="P6202" s="349"/>
      <c r="Q6202" s="349"/>
    </row>
    <row r="6203" spans="16:17" x14ac:dyDescent="0.3">
      <c r="P6203" s="349"/>
      <c r="Q6203" s="349"/>
    </row>
    <row r="6204" spans="16:17" x14ac:dyDescent="0.3">
      <c r="P6204" s="349"/>
      <c r="Q6204" s="349"/>
    </row>
    <row r="6205" spans="16:17" x14ac:dyDescent="0.3">
      <c r="P6205" s="349"/>
      <c r="Q6205" s="349"/>
    </row>
    <row r="6206" spans="16:17" x14ac:dyDescent="0.3">
      <c r="P6206" s="349"/>
      <c r="Q6206" s="349"/>
    </row>
    <row r="6207" spans="16:17" x14ac:dyDescent="0.3">
      <c r="P6207" s="349"/>
      <c r="Q6207" s="349"/>
    </row>
    <row r="6208" spans="16:17" x14ac:dyDescent="0.3">
      <c r="P6208" s="349"/>
      <c r="Q6208" s="349"/>
    </row>
    <row r="6209" spans="16:17" x14ac:dyDescent="0.3">
      <c r="P6209" s="349"/>
      <c r="Q6209" s="349"/>
    </row>
    <row r="6210" spans="16:17" x14ac:dyDescent="0.3">
      <c r="P6210" s="349"/>
      <c r="Q6210" s="349"/>
    </row>
    <row r="6211" spans="16:17" x14ac:dyDescent="0.3">
      <c r="P6211" s="349"/>
      <c r="Q6211" s="349"/>
    </row>
    <row r="6212" spans="16:17" x14ac:dyDescent="0.3">
      <c r="P6212" s="349"/>
      <c r="Q6212" s="349"/>
    </row>
    <row r="6213" spans="16:17" x14ac:dyDescent="0.3">
      <c r="P6213" s="349"/>
      <c r="Q6213" s="349"/>
    </row>
    <row r="6214" spans="16:17" x14ac:dyDescent="0.3">
      <c r="P6214" s="349"/>
      <c r="Q6214" s="349"/>
    </row>
    <row r="6215" spans="16:17" x14ac:dyDescent="0.3">
      <c r="P6215" s="349"/>
      <c r="Q6215" s="349"/>
    </row>
    <row r="6216" spans="16:17" x14ac:dyDescent="0.3">
      <c r="P6216" s="349"/>
      <c r="Q6216" s="349"/>
    </row>
    <row r="6217" spans="16:17" x14ac:dyDescent="0.3">
      <c r="P6217" s="349"/>
      <c r="Q6217" s="349"/>
    </row>
    <row r="6218" spans="16:17" x14ac:dyDescent="0.3">
      <c r="P6218" s="349"/>
      <c r="Q6218" s="349"/>
    </row>
    <row r="6219" spans="16:17" x14ac:dyDescent="0.3">
      <c r="P6219" s="349"/>
      <c r="Q6219" s="349"/>
    </row>
    <row r="6220" spans="16:17" x14ac:dyDescent="0.3">
      <c r="P6220" s="349"/>
      <c r="Q6220" s="349"/>
    </row>
    <row r="6221" spans="16:17" x14ac:dyDescent="0.3">
      <c r="P6221" s="349"/>
      <c r="Q6221" s="349"/>
    </row>
    <row r="6222" spans="16:17" x14ac:dyDescent="0.3">
      <c r="P6222" s="349"/>
      <c r="Q6222" s="349"/>
    </row>
    <row r="6223" spans="16:17" x14ac:dyDescent="0.3">
      <c r="P6223" s="349"/>
      <c r="Q6223" s="349"/>
    </row>
    <row r="6224" spans="16:17" x14ac:dyDescent="0.3">
      <c r="P6224" s="349"/>
      <c r="Q6224" s="349"/>
    </row>
    <row r="6225" spans="16:17" x14ac:dyDescent="0.3">
      <c r="P6225" s="349"/>
      <c r="Q6225" s="349"/>
    </row>
    <row r="6226" spans="16:17" x14ac:dyDescent="0.3">
      <c r="P6226" s="349"/>
      <c r="Q6226" s="349"/>
    </row>
    <row r="6227" spans="16:17" x14ac:dyDescent="0.3">
      <c r="P6227" s="349"/>
      <c r="Q6227" s="349"/>
    </row>
    <row r="6228" spans="16:17" x14ac:dyDescent="0.3">
      <c r="P6228" s="349"/>
      <c r="Q6228" s="349"/>
    </row>
    <row r="6229" spans="16:17" x14ac:dyDescent="0.3">
      <c r="P6229" s="349"/>
      <c r="Q6229" s="349"/>
    </row>
    <row r="6230" spans="16:17" x14ac:dyDescent="0.3">
      <c r="P6230" s="349"/>
      <c r="Q6230" s="349"/>
    </row>
    <row r="6231" spans="16:17" x14ac:dyDescent="0.3">
      <c r="P6231" s="349"/>
      <c r="Q6231" s="349"/>
    </row>
    <row r="6232" spans="16:17" x14ac:dyDescent="0.3">
      <c r="P6232" s="349"/>
      <c r="Q6232" s="349"/>
    </row>
    <row r="6233" spans="16:17" x14ac:dyDescent="0.3">
      <c r="P6233" s="349"/>
      <c r="Q6233" s="349"/>
    </row>
    <row r="6234" spans="16:17" x14ac:dyDescent="0.3">
      <c r="P6234" s="349"/>
      <c r="Q6234" s="349"/>
    </row>
    <row r="6235" spans="16:17" x14ac:dyDescent="0.3">
      <c r="P6235" s="349"/>
      <c r="Q6235" s="349"/>
    </row>
    <row r="6236" spans="16:17" x14ac:dyDescent="0.3">
      <c r="P6236" s="349"/>
      <c r="Q6236" s="349"/>
    </row>
    <row r="6237" spans="16:17" x14ac:dyDescent="0.3">
      <c r="P6237" s="349"/>
      <c r="Q6237" s="349"/>
    </row>
    <row r="6238" spans="16:17" x14ac:dyDescent="0.3">
      <c r="P6238" s="349"/>
      <c r="Q6238" s="349"/>
    </row>
    <row r="6239" spans="16:17" x14ac:dyDescent="0.3">
      <c r="P6239" s="349"/>
      <c r="Q6239" s="349"/>
    </row>
    <row r="6240" spans="16:17" x14ac:dyDescent="0.3">
      <c r="P6240" s="349"/>
      <c r="Q6240" s="349"/>
    </row>
    <row r="6241" spans="16:17" x14ac:dyDescent="0.3">
      <c r="P6241" s="349"/>
      <c r="Q6241" s="349"/>
    </row>
    <row r="6242" spans="16:17" x14ac:dyDescent="0.3">
      <c r="P6242" s="349"/>
      <c r="Q6242" s="349"/>
    </row>
    <row r="6243" spans="16:17" x14ac:dyDescent="0.3">
      <c r="P6243" s="349"/>
      <c r="Q6243" s="349"/>
    </row>
    <row r="6244" spans="16:17" x14ac:dyDescent="0.3">
      <c r="P6244" s="349"/>
      <c r="Q6244" s="349"/>
    </row>
    <row r="6245" spans="16:17" x14ac:dyDescent="0.3">
      <c r="P6245" s="349"/>
      <c r="Q6245" s="349"/>
    </row>
    <row r="6246" spans="16:17" x14ac:dyDescent="0.3">
      <c r="P6246" s="349"/>
      <c r="Q6246" s="349"/>
    </row>
    <row r="6247" spans="16:17" x14ac:dyDescent="0.3">
      <c r="P6247" s="349"/>
      <c r="Q6247" s="349"/>
    </row>
    <row r="6248" spans="16:17" x14ac:dyDescent="0.3">
      <c r="P6248" s="349"/>
      <c r="Q6248" s="349"/>
    </row>
    <row r="6249" spans="16:17" x14ac:dyDescent="0.3">
      <c r="P6249" s="349"/>
      <c r="Q6249" s="349"/>
    </row>
    <row r="6250" spans="16:17" x14ac:dyDescent="0.3">
      <c r="P6250" s="349"/>
      <c r="Q6250" s="349"/>
    </row>
    <row r="6251" spans="16:17" x14ac:dyDescent="0.3">
      <c r="P6251" s="349"/>
      <c r="Q6251" s="349"/>
    </row>
    <row r="6252" spans="16:17" x14ac:dyDescent="0.3">
      <c r="P6252" s="349"/>
      <c r="Q6252" s="349"/>
    </row>
    <row r="6253" spans="16:17" x14ac:dyDescent="0.3">
      <c r="P6253" s="349"/>
      <c r="Q6253" s="349"/>
    </row>
    <row r="6254" spans="16:17" x14ac:dyDescent="0.3">
      <c r="P6254" s="349"/>
      <c r="Q6254" s="349"/>
    </row>
    <row r="6255" spans="16:17" x14ac:dyDescent="0.3">
      <c r="P6255" s="349"/>
      <c r="Q6255" s="349"/>
    </row>
    <row r="6256" spans="16:17" x14ac:dyDescent="0.3">
      <c r="P6256" s="349"/>
      <c r="Q6256" s="349"/>
    </row>
    <row r="6257" spans="16:17" x14ac:dyDescent="0.3">
      <c r="P6257" s="349"/>
      <c r="Q6257" s="349"/>
    </row>
    <row r="6258" spans="16:17" x14ac:dyDescent="0.3">
      <c r="P6258" s="349"/>
      <c r="Q6258" s="349"/>
    </row>
    <row r="6259" spans="16:17" x14ac:dyDescent="0.3">
      <c r="P6259" s="349"/>
      <c r="Q6259" s="349"/>
    </row>
    <row r="6260" spans="16:17" x14ac:dyDescent="0.3">
      <c r="P6260" s="349"/>
      <c r="Q6260" s="349"/>
    </row>
    <row r="6261" spans="16:17" x14ac:dyDescent="0.3">
      <c r="P6261" s="349"/>
      <c r="Q6261" s="349"/>
    </row>
    <row r="6262" spans="16:17" x14ac:dyDescent="0.3">
      <c r="P6262" s="349"/>
      <c r="Q6262" s="349"/>
    </row>
    <row r="6263" spans="16:17" x14ac:dyDescent="0.3">
      <c r="P6263" s="349"/>
      <c r="Q6263" s="349"/>
    </row>
    <row r="6264" spans="16:17" x14ac:dyDescent="0.3">
      <c r="P6264" s="349"/>
      <c r="Q6264" s="349"/>
    </row>
    <row r="6265" spans="16:17" x14ac:dyDescent="0.3">
      <c r="P6265" s="349"/>
      <c r="Q6265" s="349"/>
    </row>
    <row r="6266" spans="16:17" x14ac:dyDescent="0.3">
      <c r="P6266" s="349"/>
      <c r="Q6266" s="349"/>
    </row>
    <row r="6267" spans="16:17" x14ac:dyDescent="0.3">
      <c r="P6267" s="349"/>
      <c r="Q6267" s="349"/>
    </row>
    <row r="6268" spans="16:17" x14ac:dyDescent="0.3">
      <c r="P6268" s="349"/>
      <c r="Q6268" s="349"/>
    </row>
    <row r="6269" spans="16:17" x14ac:dyDescent="0.3">
      <c r="P6269" s="349"/>
      <c r="Q6269" s="349"/>
    </row>
    <row r="6270" spans="16:17" x14ac:dyDescent="0.3">
      <c r="P6270" s="349"/>
      <c r="Q6270" s="349"/>
    </row>
    <row r="6271" spans="16:17" x14ac:dyDescent="0.3">
      <c r="P6271" s="349"/>
      <c r="Q6271" s="349"/>
    </row>
    <row r="6272" spans="16:17" x14ac:dyDescent="0.3">
      <c r="P6272" s="349"/>
      <c r="Q6272" s="349"/>
    </row>
    <row r="6273" spans="16:17" x14ac:dyDescent="0.3">
      <c r="P6273" s="349"/>
      <c r="Q6273" s="349"/>
    </row>
    <row r="6274" spans="16:17" x14ac:dyDescent="0.3">
      <c r="P6274" s="349"/>
      <c r="Q6274" s="349"/>
    </row>
    <row r="6275" spans="16:17" x14ac:dyDescent="0.3">
      <c r="P6275" s="349"/>
      <c r="Q6275" s="349"/>
    </row>
    <row r="6276" spans="16:17" x14ac:dyDescent="0.3">
      <c r="P6276" s="349"/>
      <c r="Q6276" s="349"/>
    </row>
    <row r="6277" spans="16:17" x14ac:dyDescent="0.3">
      <c r="P6277" s="349"/>
      <c r="Q6277" s="349"/>
    </row>
    <row r="6278" spans="16:17" x14ac:dyDescent="0.3">
      <c r="P6278" s="349"/>
      <c r="Q6278" s="349"/>
    </row>
    <row r="6279" spans="16:17" x14ac:dyDescent="0.3">
      <c r="P6279" s="349"/>
      <c r="Q6279" s="349"/>
    </row>
    <row r="6280" spans="16:17" x14ac:dyDescent="0.3">
      <c r="P6280" s="349"/>
      <c r="Q6280" s="349"/>
    </row>
    <row r="6281" spans="16:17" x14ac:dyDescent="0.3">
      <c r="P6281" s="349"/>
      <c r="Q6281" s="349"/>
    </row>
    <row r="6282" spans="16:17" x14ac:dyDescent="0.3">
      <c r="P6282" s="349"/>
      <c r="Q6282" s="349"/>
    </row>
    <row r="6283" spans="16:17" x14ac:dyDescent="0.3">
      <c r="P6283" s="349"/>
      <c r="Q6283" s="349"/>
    </row>
    <row r="6284" spans="16:17" x14ac:dyDescent="0.3">
      <c r="P6284" s="349"/>
      <c r="Q6284" s="349"/>
    </row>
    <row r="6285" spans="16:17" x14ac:dyDescent="0.3">
      <c r="P6285" s="349"/>
      <c r="Q6285" s="349"/>
    </row>
    <row r="6286" spans="16:17" x14ac:dyDescent="0.3">
      <c r="P6286" s="349"/>
      <c r="Q6286" s="349"/>
    </row>
    <row r="6287" spans="16:17" x14ac:dyDescent="0.3">
      <c r="P6287" s="349"/>
      <c r="Q6287" s="349"/>
    </row>
    <row r="6288" spans="16:17" x14ac:dyDescent="0.3">
      <c r="P6288" s="349"/>
      <c r="Q6288" s="349"/>
    </row>
    <row r="6289" spans="16:17" x14ac:dyDescent="0.3">
      <c r="P6289" s="349"/>
      <c r="Q6289" s="349"/>
    </row>
    <row r="6290" spans="16:17" x14ac:dyDescent="0.3">
      <c r="P6290" s="349"/>
      <c r="Q6290" s="349"/>
    </row>
    <row r="6291" spans="16:17" x14ac:dyDescent="0.3">
      <c r="P6291" s="349"/>
      <c r="Q6291" s="349"/>
    </row>
    <row r="6292" spans="16:17" x14ac:dyDescent="0.3">
      <c r="P6292" s="349"/>
      <c r="Q6292" s="349"/>
    </row>
    <row r="6293" spans="16:17" x14ac:dyDescent="0.3">
      <c r="P6293" s="349"/>
      <c r="Q6293" s="349"/>
    </row>
    <row r="6294" spans="16:17" x14ac:dyDescent="0.3">
      <c r="P6294" s="349"/>
      <c r="Q6294" s="349"/>
    </row>
    <row r="6295" spans="16:17" x14ac:dyDescent="0.3">
      <c r="P6295" s="349"/>
      <c r="Q6295" s="349"/>
    </row>
    <row r="6296" spans="16:17" x14ac:dyDescent="0.3">
      <c r="P6296" s="349"/>
      <c r="Q6296" s="349"/>
    </row>
    <row r="6297" spans="16:17" x14ac:dyDescent="0.3">
      <c r="P6297" s="349"/>
      <c r="Q6297" s="349"/>
    </row>
    <row r="6298" spans="16:17" x14ac:dyDescent="0.3">
      <c r="P6298" s="349"/>
      <c r="Q6298" s="349"/>
    </row>
    <row r="6299" spans="16:17" x14ac:dyDescent="0.3">
      <c r="P6299" s="349"/>
      <c r="Q6299" s="349"/>
    </row>
    <row r="6300" spans="16:17" x14ac:dyDescent="0.3">
      <c r="P6300" s="349"/>
      <c r="Q6300" s="349"/>
    </row>
    <row r="6301" spans="16:17" x14ac:dyDescent="0.3">
      <c r="P6301" s="349"/>
      <c r="Q6301" s="349"/>
    </row>
    <row r="6302" spans="16:17" x14ac:dyDescent="0.3">
      <c r="P6302" s="349"/>
      <c r="Q6302" s="349"/>
    </row>
    <row r="6303" spans="16:17" x14ac:dyDescent="0.3">
      <c r="P6303" s="349"/>
      <c r="Q6303" s="349"/>
    </row>
    <row r="6304" spans="16:17" x14ac:dyDescent="0.3">
      <c r="P6304" s="349"/>
      <c r="Q6304" s="349"/>
    </row>
    <row r="6305" spans="16:17" x14ac:dyDescent="0.3">
      <c r="P6305" s="349"/>
      <c r="Q6305" s="349"/>
    </row>
    <row r="6306" spans="16:17" x14ac:dyDescent="0.3">
      <c r="P6306" s="349"/>
      <c r="Q6306" s="349"/>
    </row>
    <row r="6307" spans="16:17" x14ac:dyDescent="0.3">
      <c r="P6307" s="349"/>
      <c r="Q6307" s="349"/>
    </row>
    <row r="6308" spans="16:17" x14ac:dyDescent="0.3">
      <c r="P6308" s="349"/>
      <c r="Q6308" s="349"/>
    </row>
    <row r="6309" spans="16:17" x14ac:dyDescent="0.3">
      <c r="P6309" s="349"/>
      <c r="Q6309" s="349"/>
    </row>
    <row r="6310" spans="16:17" x14ac:dyDescent="0.3">
      <c r="P6310" s="349"/>
      <c r="Q6310" s="349"/>
    </row>
    <row r="6311" spans="16:17" x14ac:dyDescent="0.3">
      <c r="P6311" s="349"/>
      <c r="Q6311" s="349"/>
    </row>
    <row r="6312" spans="16:17" x14ac:dyDescent="0.3">
      <c r="P6312" s="349"/>
      <c r="Q6312" s="349"/>
    </row>
    <row r="6313" spans="16:17" x14ac:dyDescent="0.3">
      <c r="P6313" s="349"/>
      <c r="Q6313" s="349"/>
    </row>
    <row r="6314" spans="16:17" x14ac:dyDescent="0.3">
      <c r="P6314" s="349"/>
      <c r="Q6314" s="349"/>
    </row>
    <row r="6315" spans="16:17" x14ac:dyDescent="0.3">
      <c r="P6315" s="349"/>
      <c r="Q6315" s="349"/>
    </row>
    <row r="6316" spans="16:17" x14ac:dyDescent="0.3">
      <c r="P6316" s="349"/>
      <c r="Q6316" s="349"/>
    </row>
    <row r="6317" spans="16:17" x14ac:dyDescent="0.3">
      <c r="P6317" s="349"/>
      <c r="Q6317" s="349"/>
    </row>
    <row r="6318" spans="16:17" x14ac:dyDescent="0.3">
      <c r="P6318" s="349"/>
      <c r="Q6318" s="349"/>
    </row>
    <row r="6319" spans="16:17" x14ac:dyDescent="0.3">
      <c r="P6319" s="349"/>
      <c r="Q6319" s="349"/>
    </row>
    <row r="6320" spans="16:17" x14ac:dyDescent="0.3">
      <c r="P6320" s="349"/>
      <c r="Q6320" s="349"/>
    </row>
    <row r="6321" spans="16:17" x14ac:dyDescent="0.3">
      <c r="P6321" s="349"/>
      <c r="Q6321" s="349"/>
    </row>
    <row r="6322" spans="16:17" x14ac:dyDescent="0.3">
      <c r="P6322" s="349"/>
      <c r="Q6322" s="349"/>
    </row>
    <row r="6323" spans="16:17" x14ac:dyDescent="0.3">
      <c r="P6323" s="349"/>
      <c r="Q6323" s="349"/>
    </row>
    <row r="6324" spans="16:17" x14ac:dyDescent="0.3">
      <c r="P6324" s="349"/>
      <c r="Q6324" s="349"/>
    </row>
    <row r="6325" spans="16:17" x14ac:dyDescent="0.3">
      <c r="P6325" s="349"/>
      <c r="Q6325" s="349"/>
    </row>
    <row r="6326" spans="16:17" x14ac:dyDescent="0.3">
      <c r="P6326" s="349"/>
      <c r="Q6326" s="349"/>
    </row>
    <row r="6327" spans="16:17" x14ac:dyDescent="0.3">
      <c r="P6327" s="349"/>
      <c r="Q6327" s="349"/>
    </row>
    <row r="6328" spans="16:17" x14ac:dyDescent="0.3">
      <c r="P6328" s="349"/>
      <c r="Q6328" s="349"/>
    </row>
    <row r="6329" spans="16:17" x14ac:dyDescent="0.3">
      <c r="P6329" s="349"/>
      <c r="Q6329" s="349"/>
    </row>
    <row r="6330" spans="16:17" x14ac:dyDescent="0.3">
      <c r="P6330" s="349"/>
      <c r="Q6330" s="349"/>
    </row>
    <row r="6331" spans="16:17" x14ac:dyDescent="0.3">
      <c r="P6331" s="349"/>
      <c r="Q6331" s="349"/>
    </row>
    <row r="6332" spans="16:17" x14ac:dyDescent="0.3">
      <c r="P6332" s="349"/>
      <c r="Q6332" s="349"/>
    </row>
    <row r="6333" spans="16:17" x14ac:dyDescent="0.3">
      <c r="P6333" s="349"/>
      <c r="Q6333" s="349"/>
    </row>
    <row r="6334" spans="16:17" x14ac:dyDescent="0.3">
      <c r="P6334" s="349"/>
      <c r="Q6334" s="349"/>
    </row>
    <row r="6335" spans="16:17" x14ac:dyDescent="0.3">
      <c r="P6335" s="349"/>
      <c r="Q6335" s="349"/>
    </row>
    <row r="6336" spans="16:17" x14ac:dyDescent="0.3">
      <c r="P6336" s="349"/>
      <c r="Q6336" s="349"/>
    </row>
    <row r="6337" spans="16:17" x14ac:dyDescent="0.3">
      <c r="P6337" s="349"/>
      <c r="Q6337" s="349"/>
    </row>
    <row r="6338" spans="16:17" x14ac:dyDescent="0.3">
      <c r="P6338" s="349"/>
      <c r="Q6338" s="349"/>
    </row>
    <row r="6339" spans="16:17" x14ac:dyDescent="0.3">
      <c r="P6339" s="349"/>
      <c r="Q6339" s="349"/>
    </row>
    <row r="6340" spans="16:17" x14ac:dyDescent="0.3">
      <c r="P6340" s="349"/>
      <c r="Q6340" s="349"/>
    </row>
    <row r="6341" spans="16:17" x14ac:dyDescent="0.3">
      <c r="P6341" s="349"/>
      <c r="Q6341" s="349"/>
    </row>
    <row r="6342" spans="16:17" x14ac:dyDescent="0.3">
      <c r="P6342" s="349"/>
      <c r="Q6342" s="349"/>
    </row>
    <row r="6343" spans="16:17" x14ac:dyDescent="0.3">
      <c r="P6343" s="349"/>
      <c r="Q6343" s="349"/>
    </row>
    <row r="6344" spans="16:17" x14ac:dyDescent="0.3">
      <c r="P6344" s="349"/>
      <c r="Q6344" s="349"/>
    </row>
    <row r="6345" spans="16:17" x14ac:dyDescent="0.3">
      <c r="P6345" s="349"/>
      <c r="Q6345" s="349"/>
    </row>
    <row r="6346" spans="16:17" x14ac:dyDescent="0.3">
      <c r="P6346" s="349"/>
      <c r="Q6346" s="349"/>
    </row>
    <row r="6347" spans="16:17" x14ac:dyDescent="0.3">
      <c r="P6347" s="349"/>
      <c r="Q6347" s="349"/>
    </row>
    <row r="6348" spans="16:17" x14ac:dyDescent="0.3">
      <c r="P6348" s="349"/>
      <c r="Q6348" s="349"/>
    </row>
    <row r="6349" spans="16:17" x14ac:dyDescent="0.3">
      <c r="P6349" s="349"/>
      <c r="Q6349" s="349"/>
    </row>
    <row r="6350" spans="16:17" x14ac:dyDescent="0.3">
      <c r="P6350" s="349"/>
      <c r="Q6350" s="349"/>
    </row>
    <row r="6351" spans="16:17" x14ac:dyDescent="0.3">
      <c r="P6351" s="349"/>
      <c r="Q6351" s="349"/>
    </row>
    <row r="6352" spans="16:17" x14ac:dyDescent="0.3">
      <c r="P6352" s="349"/>
      <c r="Q6352" s="349"/>
    </row>
    <row r="6353" spans="16:17" x14ac:dyDescent="0.3">
      <c r="P6353" s="349"/>
      <c r="Q6353" s="349"/>
    </row>
    <row r="6354" spans="16:17" x14ac:dyDescent="0.3">
      <c r="P6354" s="349"/>
      <c r="Q6354" s="349"/>
    </row>
    <row r="6355" spans="16:17" x14ac:dyDescent="0.3">
      <c r="P6355" s="349"/>
      <c r="Q6355" s="349"/>
    </row>
    <row r="6356" spans="16:17" x14ac:dyDescent="0.3">
      <c r="P6356" s="349"/>
      <c r="Q6356" s="349"/>
    </row>
    <row r="6357" spans="16:17" x14ac:dyDescent="0.3">
      <c r="P6357" s="349"/>
      <c r="Q6357" s="349"/>
    </row>
    <row r="6358" spans="16:17" x14ac:dyDescent="0.3">
      <c r="P6358" s="349"/>
      <c r="Q6358" s="349"/>
    </row>
    <row r="6359" spans="16:17" x14ac:dyDescent="0.3">
      <c r="P6359" s="349"/>
      <c r="Q6359" s="349"/>
    </row>
    <row r="6360" spans="16:17" x14ac:dyDescent="0.3">
      <c r="P6360" s="349"/>
      <c r="Q6360" s="349"/>
    </row>
    <row r="6361" spans="16:17" x14ac:dyDescent="0.3">
      <c r="P6361" s="349"/>
      <c r="Q6361" s="349"/>
    </row>
    <row r="6362" spans="16:17" x14ac:dyDescent="0.3">
      <c r="P6362" s="349"/>
      <c r="Q6362" s="349"/>
    </row>
    <row r="6363" spans="16:17" x14ac:dyDescent="0.3">
      <c r="P6363" s="349"/>
      <c r="Q6363" s="349"/>
    </row>
    <row r="6364" spans="16:17" x14ac:dyDescent="0.3">
      <c r="P6364" s="349"/>
      <c r="Q6364" s="349"/>
    </row>
    <row r="6365" spans="16:17" x14ac:dyDescent="0.3">
      <c r="P6365" s="349"/>
      <c r="Q6365" s="349"/>
    </row>
    <row r="6366" spans="16:17" x14ac:dyDescent="0.3">
      <c r="P6366" s="349"/>
      <c r="Q6366" s="349"/>
    </row>
    <row r="6367" spans="16:17" x14ac:dyDescent="0.3">
      <c r="P6367" s="349"/>
      <c r="Q6367" s="349"/>
    </row>
    <row r="6368" spans="16:17" x14ac:dyDescent="0.3">
      <c r="P6368" s="349"/>
      <c r="Q6368" s="349"/>
    </row>
    <row r="6369" spans="16:17" x14ac:dyDescent="0.3">
      <c r="P6369" s="349"/>
      <c r="Q6369" s="349"/>
    </row>
    <row r="6370" spans="16:17" x14ac:dyDescent="0.3">
      <c r="P6370" s="349"/>
      <c r="Q6370" s="349"/>
    </row>
    <row r="6371" spans="16:17" x14ac:dyDescent="0.3">
      <c r="P6371" s="349"/>
      <c r="Q6371" s="349"/>
    </row>
    <row r="6372" spans="16:17" x14ac:dyDescent="0.3">
      <c r="P6372" s="349"/>
      <c r="Q6372" s="349"/>
    </row>
    <row r="6373" spans="16:17" x14ac:dyDescent="0.3">
      <c r="P6373" s="349"/>
      <c r="Q6373" s="349"/>
    </row>
    <row r="6374" spans="16:17" x14ac:dyDescent="0.3">
      <c r="P6374" s="349"/>
      <c r="Q6374" s="349"/>
    </row>
    <row r="6375" spans="16:17" x14ac:dyDescent="0.3">
      <c r="P6375" s="349"/>
      <c r="Q6375" s="349"/>
    </row>
    <row r="6376" spans="16:17" x14ac:dyDescent="0.3">
      <c r="P6376" s="349"/>
      <c r="Q6376" s="349"/>
    </row>
    <row r="6377" spans="16:17" x14ac:dyDescent="0.3">
      <c r="P6377" s="349"/>
      <c r="Q6377" s="349"/>
    </row>
    <row r="6378" spans="16:17" x14ac:dyDescent="0.3">
      <c r="P6378" s="349"/>
      <c r="Q6378" s="349"/>
    </row>
    <row r="6379" spans="16:17" x14ac:dyDescent="0.3">
      <c r="P6379" s="349"/>
      <c r="Q6379" s="349"/>
    </row>
    <row r="6380" spans="16:17" x14ac:dyDescent="0.3">
      <c r="P6380" s="349"/>
      <c r="Q6380" s="349"/>
    </row>
    <row r="6381" spans="16:17" x14ac:dyDescent="0.3">
      <c r="P6381" s="349"/>
      <c r="Q6381" s="349"/>
    </row>
    <row r="6382" spans="16:17" x14ac:dyDescent="0.3">
      <c r="P6382" s="349"/>
      <c r="Q6382" s="349"/>
    </row>
    <row r="6383" spans="16:17" x14ac:dyDescent="0.3">
      <c r="P6383" s="349"/>
      <c r="Q6383" s="349"/>
    </row>
    <row r="6384" spans="16:17" x14ac:dyDescent="0.3">
      <c r="P6384" s="349"/>
      <c r="Q6384" s="349"/>
    </row>
    <row r="6385" spans="16:17" x14ac:dyDescent="0.3">
      <c r="P6385" s="349"/>
      <c r="Q6385" s="349"/>
    </row>
    <row r="6386" spans="16:17" x14ac:dyDescent="0.3">
      <c r="P6386" s="349"/>
      <c r="Q6386" s="349"/>
    </row>
    <row r="6387" spans="16:17" x14ac:dyDescent="0.3">
      <c r="P6387" s="349"/>
      <c r="Q6387" s="349"/>
    </row>
    <row r="6388" spans="16:17" x14ac:dyDescent="0.3">
      <c r="P6388" s="349"/>
      <c r="Q6388" s="349"/>
    </row>
    <row r="6389" spans="16:17" x14ac:dyDescent="0.3">
      <c r="P6389" s="349"/>
      <c r="Q6389" s="349"/>
    </row>
    <row r="6390" spans="16:17" x14ac:dyDescent="0.3">
      <c r="P6390" s="349"/>
      <c r="Q6390" s="349"/>
    </row>
    <row r="6391" spans="16:17" x14ac:dyDescent="0.3">
      <c r="P6391" s="349"/>
      <c r="Q6391" s="349"/>
    </row>
    <row r="6392" spans="16:17" x14ac:dyDescent="0.3">
      <c r="P6392" s="349"/>
      <c r="Q6392" s="349"/>
    </row>
    <row r="6393" spans="16:17" x14ac:dyDescent="0.3">
      <c r="P6393" s="349"/>
      <c r="Q6393" s="349"/>
    </row>
    <row r="6394" spans="16:17" x14ac:dyDescent="0.3">
      <c r="P6394" s="349"/>
      <c r="Q6394" s="349"/>
    </row>
    <row r="6395" spans="16:17" x14ac:dyDescent="0.3">
      <c r="P6395" s="349"/>
      <c r="Q6395" s="349"/>
    </row>
    <row r="6396" spans="16:17" x14ac:dyDescent="0.3">
      <c r="P6396" s="349"/>
      <c r="Q6396" s="349"/>
    </row>
    <row r="6397" spans="16:17" x14ac:dyDescent="0.3">
      <c r="P6397" s="349"/>
      <c r="Q6397" s="349"/>
    </row>
    <row r="6398" spans="16:17" x14ac:dyDescent="0.3">
      <c r="P6398" s="349"/>
      <c r="Q6398" s="349"/>
    </row>
    <row r="6399" spans="16:17" x14ac:dyDescent="0.3">
      <c r="P6399" s="349"/>
      <c r="Q6399" s="349"/>
    </row>
    <row r="6400" spans="16:17" x14ac:dyDescent="0.3">
      <c r="P6400" s="349"/>
      <c r="Q6400" s="349"/>
    </row>
    <row r="6401" spans="16:17" x14ac:dyDescent="0.3">
      <c r="P6401" s="349"/>
      <c r="Q6401" s="349"/>
    </row>
    <row r="6402" spans="16:17" x14ac:dyDescent="0.3">
      <c r="P6402" s="349"/>
      <c r="Q6402" s="349"/>
    </row>
    <row r="6403" spans="16:17" x14ac:dyDescent="0.3">
      <c r="P6403" s="349"/>
      <c r="Q6403" s="349"/>
    </row>
    <row r="6404" spans="16:17" x14ac:dyDescent="0.3">
      <c r="P6404" s="349"/>
      <c r="Q6404" s="349"/>
    </row>
    <row r="6405" spans="16:17" x14ac:dyDescent="0.3">
      <c r="P6405" s="349"/>
      <c r="Q6405" s="349"/>
    </row>
    <row r="6406" spans="16:17" x14ac:dyDescent="0.3">
      <c r="P6406" s="349"/>
      <c r="Q6406" s="349"/>
    </row>
    <row r="6407" spans="16:17" x14ac:dyDescent="0.3">
      <c r="P6407" s="349"/>
      <c r="Q6407" s="349"/>
    </row>
    <row r="6408" spans="16:17" x14ac:dyDescent="0.3">
      <c r="P6408" s="349"/>
      <c r="Q6408" s="349"/>
    </row>
    <row r="6409" spans="16:17" x14ac:dyDescent="0.3">
      <c r="P6409" s="349"/>
      <c r="Q6409" s="349"/>
    </row>
    <row r="6410" spans="16:17" x14ac:dyDescent="0.3">
      <c r="P6410" s="349"/>
      <c r="Q6410" s="349"/>
    </row>
    <row r="6411" spans="16:17" x14ac:dyDescent="0.3">
      <c r="P6411" s="349"/>
      <c r="Q6411" s="349"/>
    </row>
    <row r="6412" spans="16:17" x14ac:dyDescent="0.3">
      <c r="P6412" s="349"/>
      <c r="Q6412" s="349"/>
    </row>
    <row r="6413" spans="16:17" x14ac:dyDescent="0.3">
      <c r="P6413" s="349"/>
      <c r="Q6413" s="349"/>
    </row>
    <row r="6414" spans="16:17" x14ac:dyDescent="0.3">
      <c r="P6414" s="349"/>
      <c r="Q6414" s="349"/>
    </row>
    <row r="6415" spans="16:17" x14ac:dyDescent="0.3">
      <c r="P6415" s="349"/>
      <c r="Q6415" s="349"/>
    </row>
    <row r="6416" spans="16:17" x14ac:dyDescent="0.3">
      <c r="P6416" s="349"/>
      <c r="Q6416" s="349"/>
    </row>
    <row r="6417" spans="16:17" x14ac:dyDescent="0.3">
      <c r="P6417" s="349"/>
      <c r="Q6417" s="349"/>
    </row>
    <row r="6418" spans="16:17" x14ac:dyDescent="0.3">
      <c r="P6418" s="349"/>
      <c r="Q6418" s="349"/>
    </row>
    <row r="6419" spans="16:17" x14ac:dyDescent="0.3">
      <c r="P6419" s="349"/>
      <c r="Q6419" s="349"/>
    </row>
    <row r="6420" spans="16:17" x14ac:dyDescent="0.3">
      <c r="P6420" s="349"/>
      <c r="Q6420" s="349"/>
    </row>
    <row r="6421" spans="16:17" x14ac:dyDescent="0.3">
      <c r="P6421" s="349"/>
      <c r="Q6421" s="349"/>
    </row>
    <row r="6422" spans="16:17" x14ac:dyDescent="0.3">
      <c r="P6422" s="349"/>
      <c r="Q6422" s="349"/>
    </row>
    <row r="6423" spans="16:17" x14ac:dyDescent="0.3">
      <c r="P6423" s="349"/>
      <c r="Q6423" s="349"/>
    </row>
    <row r="6424" spans="16:17" x14ac:dyDescent="0.3">
      <c r="P6424" s="349"/>
      <c r="Q6424" s="349"/>
    </row>
    <row r="6425" spans="16:17" x14ac:dyDescent="0.3">
      <c r="P6425" s="349"/>
      <c r="Q6425" s="349"/>
    </row>
    <row r="6426" spans="16:17" x14ac:dyDescent="0.3">
      <c r="P6426" s="349"/>
      <c r="Q6426" s="349"/>
    </row>
    <row r="6427" spans="16:17" x14ac:dyDescent="0.3">
      <c r="P6427" s="349"/>
      <c r="Q6427" s="349"/>
    </row>
    <row r="6428" spans="16:17" x14ac:dyDescent="0.3">
      <c r="P6428" s="349"/>
      <c r="Q6428" s="349"/>
    </row>
    <row r="6429" spans="16:17" x14ac:dyDescent="0.3">
      <c r="P6429" s="349"/>
      <c r="Q6429" s="349"/>
    </row>
    <row r="6430" spans="16:17" x14ac:dyDescent="0.3">
      <c r="P6430" s="349"/>
      <c r="Q6430" s="349"/>
    </row>
    <row r="6431" spans="16:17" x14ac:dyDescent="0.3">
      <c r="P6431" s="349"/>
      <c r="Q6431" s="349"/>
    </row>
    <row r="6432" spans="16:17" x14ac:dyDescent="0.3">
      <c r="P6432" s="349"/>
      <c r="Q6432" s="349"/>
    </row>
    <row r="6433" spans="16:17" x14ac:dyDescent="0.3">
      <c r="P6433" s="349"/>
      <c r="Q6433" s="349"/>
    </row>
    <row r="6434" spans="16:17" x14ac:dyDescent="0.3">
      <c r="P6434" s="349"/>
      <c r="Q6434" s="349"/>
    </row>
    <row r="6435" spans="16:17" x14ac:dyDescent="0.3">
      <c r="P6435" s="349"/>
      <c r="Q6435" s="349"/>
    </row>
    <row r="6436" spans="16:17" x14ac:dyDescent="0.3">
      <c r="P6436" s="349"/>
      <c r="Q6436" s="349"/>
    </row>
    <row r="6437" spans="16:17" x14ac:dyDescent="0.3">
      <c r="P6437" s="349"/>
      <c r="Q6437" s="349"/>
    </row>
    <row r="6438" spans="16:17" x14ac:dyDescent="0.3">
      <c r="P6438" s="349"/>
      <c r="Q6438" s="349"/>
    </row>
    <row r="6439" spans="16:17" x14ac:dyDescent="0.3">
      <c r="P6439" s="349"/>
      <c r="Q6439" s="349"/>
    </row>
    <row r="6440" spans="16:17" x14ac:dyDescent="0.3">
      <c r="P6440" s="349"/>
      <c r="Q6440" s="349"/>
    </row>
    <row r="6441" spans="16:17" x14ac:dyDescent="0.3">
      <c r="P6441" s="349"/>
      <c r="Q6441" s="349"/>
    </row>
    <row r="6442" spans="16:17" x14ac:dyDescent="0.3">
      <c r="P6442" s="349"/>
      <c r="Q6442" s="349"/>
    </row>
    <row r="6443" spans="16:17" x14ac:dyDescent="0.3">
      <c r="P6443" s="349"/>
      <c r="Q6443" s="349"/>
    </row>
    <row r="6444" spans="16:17" x14ac:dyDescent="0.3">
      <c r="P6444" s="349"/>
      <c r="Q6444" s="349"/>
    </row>
    <row r="6445" spans="16:17" x14ac:dyDescent="0.3">
      <c r="P6445" s="349"/>
      <c r="Q6445" s="349"/>
    </row>
    <row r="6446" spans="16:17" x14ac:dyDescent="0.3">
      <c r="P6446" s="349"/>
      <c r="Q6446" s="349"/>
    </row>
    <row r="6447" spans="16:17" x14ac:dyDescent="0.3">
      <c r="P6447" s="349"/>
      <c r="Q6447" s="349"/>
    </row>
    <row r="6448" spans="16:17" x14ac:dyDescent="0.3">
      <c r="P6448" s="349"/>
      <c r="Q6448" s="349"/>
    </row>
    <row r="6449" spans="16:17" x14ac:dyDescent="0.3">
      <c r="P6449" s="349"/>
      <c r="Q6449" s="349"/>
    </row>
    <row r="6450" spans="16:17" x14ac:dyDescent="0.3">
      <c r="P6450" s="349"/>
      <c r="Q6450" s="349"/>
    </row>
    <row r="6451" spans="16:17" x14ac:dyDescent="0.3">
      <c r="P6451" s="349"/>
      <c r="Q6451" s="349"/>
    </row>
    <row r="6452" spans="16:17" x14ac:dyDescent="0.3">
      <c r="P6452" s="349"/>
      <c r="Q6452" s="349"/>
    </row>
    <row r="6453" spans="16:17" x14ac:dyDescent="0.3">
      <c r="P6453" s="349"/>
      <c r="Q6453" s="349"/>
    </row>
    <row r="6454" spans="16:17" x14ac:dyDescent="0.3">
      <c r="P6454" s="349"/>
      <c r="Q6454" s="349"/>
    </row>
    <row r="6455" spans="16:17" x14ac:dyDescent="0.3">
      <c r="P6455" s="349"/>
      <c r="Q6455" s="349"/>
    </row>
    <row r="6456" spans="16:17" x14ac:dyDescent="0.3">
      <c r="P6456" s="349"/>
      <c r="Q6456" s="349"/>
    </row>
    <row r="6457" spans="16:17" x14ac:dyDescent="0.3">
      <c r="P6457" s="349"/>
      <c r="Q6457" s="349"/>
    </row>
    <row r="6458" spans="16:17" x14ac:dyDescent="0.3">
      <c r="P6458" s="349"/>
      <c r="Q6458" s="349"/>
    </row>
    <row r="6459" spans="16:17" x14ac:dyDescent="0.3">
      <c r="P6459" s="349"/>
      <c r="Q6459" s="349"/>
    </row>
    <row r="6460" spans="16:17" x14ac:dyDescent="0.3">
      <c r="P6460" s="349"/>
      <c r="Q6460" s="349"/>
    </row>
    <row r="6461" spans="16:17" x14ac:dyDescent="0.3">
      <c r="P6461" s="349"/>
      <c r="Q6461" s="349"/>
    </row>
    <row r="6462" spans="16:17" x14ac:dyDescent="0.3">
      <c r="P6462" s="349"/>
      <c r="Q6462" s="349"/>
    </row>
    <row r="6463" spans="16:17" x14ac:dyDescent="0.3">
      <c r="P6463" s="349"/>
      <c r="Q6463" s="349"/>
    </row>
    <row r="6464" spans="16:17" x14ac:dyDescent="0.3">
      <c r="P6464" s="349"/>
      <c r="Q6464" s="349"/>
    </row>
    <row r="6465" spans="16:17" x14ac:dyDescent="0.3">
      <c r="P6465" s="349"/>
      <c r="Q6465" s="349"/>
    </row>
    <row r="6466" spans="16:17" x14ac:dyDescent="0.3">
      <c r="P6466" s="349"/>
      <c r="Q6466" s="349"/>
    </row>
    <row r="6467" spans="16:17" x14ac:dyDescent="0.3">
      <c r="P6467" s="349"/>
      <c r="Q6467" s="349"/>
    </row>
    <row r="6468" spans="16:17" x14ac:dyDescent="0.3">
      <c r="P6468" s="349"/>
      <c r="Q6468" s="349"/>
    </row>
    <row r="6469" spans="16:17" x14ac:dyDescent="0.3">
      <c r="P6469" s="349"/>
      <c r="Q6469" s="349"/>
    </row>
    <row r="6470" spans="16:17" x14ac:dyDescent="0.3">
      <c r="P6470" s="349"/>
      <c r="Q6470" s="349"/>
    </row>
    <row r="6471" spans="16:17" x14ac:dyDescent="0.3">
      <c r="P6471" s="349"/>
      <c r="Q6471" s="349"/>
    </row>
    <row r="6472" spans="16:17" x14ac:dyDescent="0.3">
      <c r="P6472" s="349"/>
      <c r="Q6472" s="349"/>
    </row>
    <row r="6473" spans="16:17" x14ac:dyDescent="0.3">
      <c r="P6473" s="349"/>
      <c r="Q6473" s="349"/>
    </row>
    <row r="6474" spans="16:17" x14ac:dyDescent="0.3">
      <c r="P6474" s="349"/>
      <c r="Q6474" s="349"/>
    </row>
    <row r="6475" spans="16:17" x14ac:dyDescent="0.3">
      <c r="P6475" s="349"/>
      <c r="Q6475" s="349"/>
    </row>
    <row r="6476" spans="16:17" x14ac:dyDescent="0.3">
      <c r="P6476" s="349"/>
      <c r="Q6476" s="349"/>
    </row>
    <row r="6477" spans="16:17" x14ac:dyDescent="0.3">
      <c r="P6477" s="349"/>
      <c r="Q6477" s="349"/>
    </row>
    <row r="6478" spans="16:17" x14ac:dyDescent="0.3">
      <c r="P6478" s="349"/>
      <c r="Q6478" s="349"/>
    </row>
    <row r="6479" spans="16:17" x14ac:dyDescent="0.3">
      <c r="P6479" s="349"/>
      <c r="Q6479" s="349"/>
    </row>
    <row r="6480" spans="16:17" x14ac:dyDescent="0.3">
      <c r="P6480" s="349"/>
      <c r="Q6480" s="349"/>
    </row>
    <row r="6481" spans="16:17" x14ac:dyDescent="0.3">
      <c r="P6481" s="349"/>
      <c r="Q6481" s="349"/>
    </row>
    <row r="6482" spans="16:17" x14ac:dyDescent="0.3">
      <c r="P6482" s="349"/>
      <c r="Q6482" s="349"/>
    </row>
    <row r="6483" spans="16:17" x14ac:dyDescent="0.3">
      <c r="P6483" s="349"/>
      <c r="Q6483" s="349"/>
    </row>
    <row r="6484" spans="16:17" x14ac:dyDescent="0.3">
      <c r="P6484" s="349"/>
      <c r="Q6484" s="349"/>
    </row>
    <row r="6485" spans="16:17" x14ac:dyDescent="0.3">
      <c r="P6485" s="349"/>
      <c r="Q6485" s="349"/>
    </row>
    <row r="6486" spans="16:17" x14ac:dyDescent="0.3">
      <c r="P6486" s="349"/>
      <c r="Q6486" s="349"/>
    </row>
    <row r="6487" spans="16:17" x14ac:dyDescent="0.3">
      <c r="P6487" s="349"/>
      <c r="Q6487" s="349"/>
    </row>
    <row r="6488" spans="16:17" x14ac:dyDescent="0.3">
      <c r="P6488" s="349"/>
      <c r="Q6488" s="349"/>
    </row>
    <row r="6489" spans="16:17" x14ac:dyDescent="0.3">
      <c r="P6489" s="349"/>
      <c r="Q6489" s="349"/>
    </row>
    <row r="6490" spans="16:17" x14ac:dyDescent="0.3">
      <c r="P6490" s="349"/>
      <c r="Q6490" s="349"/>
    </row>
    <row r="6491" spans="16:17" x14ac:dyDescent="0.3">
      <c r="P6491" s="349"/>
      <c r="Q6491" s="349"/>
    </row>
    <row r="6492" spans="16:17" x14ac:dyDescent="0.3">
      <c r="P6492" s="349"/>
      <c r="Q6492" s="349"/>
    </row>
    <row r="6493" spans="16:17" x14ac:dyDescent="0.3">
      <c r="P6493" s="349"/>
      <c r="Q6493" s="349"/>
    </row>
    <row r="6494" spans="16:17" x14ac:dyDescent="0.3">
      <c r="P6494" s="349"/>
      <c r="Q6494" s="349"/>
    </row>
    <row r="6495" spans="16:17" x14ac:dyDescent="0.3">
      <c r="P6495" s="349"/>
      <c r="Q6495" s="349"/>
    </row>
    <row r="6496" spans="16:17" x14ac:dyDescent="0.3">
      <c r="P6496" s="349"/>
      <c r="Q6496" s="349"/>
    </row>
    <row r="6497" spans="16:17" x14ac:dyDescent="0.3">
      <c r="P6497" s="349"/>
      <c r="Q6497" s="349"/>
    </row>
    <row r="6498" spans="16:17" x14ac:dyDescent="0.3">
      <c r="P6498" s="349"/>
      <c r="Q6498" s="349"/>
    </row>
    <row r="6499" spans="16:17" x14ac:dyDescent="0.3">
      <c r="P6499" s="349"/>
      <c r="Q6499" s="349"/>
    </row>
    <row r="6500" spans="16:17" x14ac:dyDescent="0.3">
      <c r="P6500" s="349"/>
      <c r="Q6500" s="349"/>
    </row>
    <row r="6501" spans="16:17" x14ac:dyDescent="0.3">
      <c r="P6501" s="349"/>
      <c r="Q6501" s="349"/>
    </row>
    <row r="6502" spans="16:17" x14ac:dyDescent="0.3">
      <c r="P6502" s="349"/>
      <c r="Q6502" s="349"/>
    </row>
    <row r="6503" spans="16:17" x14ac:dyDescent="0.3">
      <c r="P6503" s="349"/>
      <c r="Q6503" s="349"/>
    </row>
    <row r="6504" spans="16:17" x14ac:dyDescent="0.3">
      <c r="P6504" s="349"/>
      <c r="Q6504" s="349"/>
    </row>
    <row r="6505" spans="16:17" x14ac:dyDescent="0.3">
      <c r="P6505" s="349"/>
      <c r="Q6505" s="349"/>
    </row>
    <row r="6506" spans="16:17" x14ac:dyDescent="0.3">
      <c r="P6506" s="349"/>
      <c r="Q6506" s="349"/>
    </row>
    <row r="6507" spans="16:17" x14ac:dyDescent="0.3">
      <c r="P6507" s="349"/>
      <c r="Q6507" s="349"/>
    </row>
    <row r="6508" spans="16:17" x14ac:dyDescent="0.3">
      <c r="P6508" s="349"/>
      <c r="Q6508" s="349"/>
    </row>
    <row r="6509" spans="16:17" x14ac:dyDescent="0.3">
      <c r="P6509" s="349"/>
      <c r="Q6509" s="349"/>
    </row>
    <row r="6510" spans="16:17" x14ac:dyDescent="0.3">
      <c r="P6510" s="349"/>
      <c r="Q6510" s="349"/>
    </row>
    <row r="6511" spans="16:17" x14ac:dyDescent="0.3">
      <c r="P6511" s="349"/>
      <c r="Q6511" s="349"/>
    </row>
    <row r="6512" spans="16:17" x14ac:dyDescent="0.3">
      <c r="P6512" s="349"/>
      <c r="Q6512" s="349"/>
    </row>
    <row r="6513" spans="16:17" x14ac:dyDescent="0.3">
      <c r="P6513" s="349"/>
      <c r="Q6513" s="349"/>
    </row>
    <row r="6514" spans="16:17" x14ac:dyDescent="0.3">
      <c r="P6514" s="349"/>
      <c r="Q6514" s="349"/>
    </row>
    <row r="6515" spans="16:17" x14ac:dyDescent="0.3">
      <c r="P6515" s="349"/>
      <c r="Q6515" s="349"/>
    </row>
    <row r="6516" spans="16:17" x14ac:dyDescent="0.3">
      <c r="P6516" s="349"/>
      <c r="Q6516" s="349"/>
    </row>
    <row r="6517" spans="16:17" x14ac:dyDescent="0.3">
      <c r="P6517" s="349"/>
      <c r="Q6517" s="349"/>
    </row>
    <row r="6518" spans="16:17" x14ac:dyDescent="0.3">
      <c r="P6518" s="349"/>
      <c r="Q6518" s="349"/>
    </row>
    <row r="6519" spans="16:17" x14ac:dyDescent="0.3">
      <c r="P6519" s="349"/>
      <c r="Q6519" s="349"/>
    </row>
    <row r="6520" spans="16:17" x14ac:dyDescent="0.3">
      <c r="P6520" s="349"/>
      <c r="Q6520" s="349"/>
    </row>
    <row r="6521" spans="16:17" x14ac:dyDescent="0.3">
      <c r="P6521" s="349"/>
      <c r="Q6521" s="349"/>
    </row>
    <row r="6522" spans="16:17" x14ac:dyDescent="0.3">
      <c r="P6522" s="349"/>
      <c r="Q6522" s="349"/>
    </row>
    <row r="6523" spans="16:17" x14ac:dyDescent="0.3">
      <c r="P6523" s="349"/>
      <c r="Q6523" s="349"/>
    </row>
    <row r="6524" spans="16:17" x14ac:dyDescent="0.3">
      <c r="P6524" s="349"/>
      <c r="Q6524" s="349"/>
    </row>
    <row r="6525" spans="16:17" x14ac:dyDescent="0.3">
      <c r="P6525" s="349"/>
      <c r="Q6525" s="349"/>
    </row>
    <row r="6526" spans="16:17" x14ac:dyDescent="0.3">
      <c r="P6526" s="349"/>
      <c r="Q6526" s="349"/>
    </row>
    <row r="6527" spans="16:17" x14ac:dyDescent="0.3">
      <c r="P6527" s="349"/>
      <c r="Q6527" s="349"/>
    </row>
    <row r="6528" spans="16:17" x14ac:dyDescent="0.3">
      <c r="P6528" s="349"/>
      <c r="Q6528" s="349"/>
    </row>
    <row r="6529" spans="16:17" x14ac:dyDescent="0.3">
      <c r="P6529" s="349"/>
      <c r="Q6529" s="349"/>
    </row>
    <row r="6530" spans="16:17" x14ac:dyDescent="0.3">
      <c r="P6530" s="349"/>
      <c r="Q6530" s="349"/>
    </row>
    <row r="6531" spans="16:17" x14ac:dyDescent="0.3">
      <c r="P6531" s="349"/>
      <c r="Q6531" s="349"/>
    </row>
    <row r="6532" spans="16:17" x14ac:dyDescent="0.3">
      <c r="P6532" s="349"/>
      <c r="Q6532" s="349"/>
    </row>
    <row r="6533" spans="16:17" x14ac:dyDescent="0.3">
      <c r="P6533" s="349"/>
      <c r="Q6533" s="349"/>
    </row>
    <row r="6534" spans="16:17" x14ac:dyDescent="0.3">
      <c r="P6534" s="349"/>
      <c r="Q6534" s="349"/>
    </row>
    <row r="6535" spans="16:17" x14ac:dyDescent="0.3">
      <c r="P6535" s="349"/>
      <c r="Q6535" s="349"/>
    </row>
    <row r="6536" spans="16:17" x14ac:dyDescent="0.3">
      <c r="P6536" s="349"/>
      <c r="Q6536" s="349"/>
    </row>
    <row r="6537" spans="16:17" x14ac:dyDescent="0.3">
      <c r="P6537" s="349"/>
      <c r="Q6537" s="349"/>
    </row>
    <row r="6538" spans="16:17" x14ac:dyDescent="0.3">
      <c r="P6538" s="349"/>
      <c r="Q6538" s="349"/>
    </row>
    <row r="6539" spans="16:17" x14ac:dyDescent="0.3">
      <c r="P6539" s="349"/>
      <c r="Q6539" s="349"/>
    </row>
    <row r="6540" spans="16:17" x14ac:dyDescent="0.3">
      <c r="P6540" s="349"/>
      <c r="Q6540" s="349"/>
    </row>
    <row r="6541" spans="16:17" x14ac:dyDescent="0.3">
      <c r="P6541" s="349"/>
      <c r="Q6541" s="349"/>
    </row>
    <row r="6542" spans="16:17" x14ac:dyDescent="0.3">
      <c r="P6542" s="349"/>
      <c r="Q6542" s="349"/>
    </row>
    <row r="6543" spans="16:17" x14ac:dyDescent="0.3">
      <c r="P6543" s="349"/>
      <c r="Q6543" s="349"/>
    </row>
    <row r="6544" spans="16:17" x14ac:dyDescent="0.3">
      <c r="P6544" s="349"/>
      <c r="Q6544" s="349"/>
    </row>
    <row r="6545" spans="16:17" x14ac:dyDescent="0.3">
      <c r="P6545" s="349"/>
      <c r="Q6545" s="349"/>
    </row>
    <row r="6546" spans="16:17" x14ac:dyDescent="0.3">
      <c r="P6546" s="349"/>
      <c r="Q6546" s="349"/>
    </row>
    <row r="6547" spans="16:17" x14ac:dyDescent="0.3">
      <c r="P6547" s="349"/>
      <c r="Q6547" s="349"/>
    </row>
    <row r="6548" spans="16:17" x14ac:dyDescent="0.3">
      <c r="P6548" s="349"/>
      <c r="Q6548" s="349"/>
    </row>
    <row r="6549" spans="16:17" x14ac:dyDescent="0.3">
      <c r="P6549" s="349"/>
      <c r="Q6549" s="349"/>
    </row>
    <row r="6550" spans="16:17" x14ac:dyDescent="0.3">
      <c r="P6550" s="349"/>
      <c r="Q6550" s="349"/>
    </row>
    <row r="6551" spans="16:17" x14ac:dyDescent="0.3">
      <c r="P6551" s="349"/>
      <c r="Q6551" s="349"/>
    </row>
    <row r="6552" spans="16:17" x14ac:dyDescent="0.3">
      <c r="P6552" s="349"/>
      <c r="Q6552" s="349"/>
    </row>
    <row r="6553" spans="16:17" x14ac:dyDescent="0.3">
      <c r="P6553" s="349"/>
      <c r="Q6553" s="349"/>
    </row>
    <row r="6554" spans="16:17" x14ac:dyDescent="0.3">
      <c r="P6554" s="349"/>
      <c r="Q6554" s="349"/>
    </row>
    <row r="6555" spans="16:17" x14ac:dyDescent="0.3">
      <c r="P6555" s="349"/>
      <c r="Q6555" s="349"/>
    </row>
    <row r="6556" spans="16:17" x14ac:dyDescent="0.3">
      <c r="P6556" s="349"/>
      <c r="Q6556" s="349"/>
    </row>
    <row r="6557" spans="16:17" x14ac:dyDescent="0.3">
      <c r="P6557" s="349"/>
      <c r="Q6557" s="349"/>
    </row>
    <row r="6558" spans="16:17" x14ac:dyDescent="0.3">
      <c r="P6558" s="349"/>
      <c r="Q6558" s="349"/>
    </row>
    <row r="6559" spans="16:17" x14ac:dyDescent="0.3">
      <c r="P6559" s="349"/>
      <c r="Q6559" s="349"/>
    </row>
    <row r="6560" spans="16:17" x14ac:dyDescent="0.3">
      <c r="P6560" s="349"/>
      <c r="Q6560" s="349"/>
    </row>
    <row r="6561" spans="16:17" x14ac:dyDescent="0.3">
      <c r="P6561" s="349"/>
      <c r="Q6561" s="349"/>
    </row>
    <row r="6562" spans="16:17" x14ac:dyDescent="0.3">
      <c r="P6562" s="349"/>
      <c r="Q6562" s="349"/>
    </row>
    <row r="6563" spans="16:17" x14ac:dyDescent="0.3">
      <c r="P6563" s="349"/>
      <c r="Q6563" s="349"/>
    </row>
    <row r="6564" spans="16:17" x14ac:dyDescent="0.3">
      <c r="P6564" s="349"/>
      <c r="Q6564" s="349"/>
    </row>
    <row r="6565" spans="16:17" x14ac:dyDescent="0.3">
      <c r="P6565" s="349"/>
      <c r="Q6565" s="349"/>
    </row>
    <row r="6566" spans="16:17" x14ac:dyDescent="0.3">
      <c r="P6566" s="349"/>
      <c r="Q6566" s="349"/>
    </row>
    <row r="6567" spans="16:17" x14ac:dyDescent="0.3">
      <c r="P6567" s="349"/>
      <c r="Q6567" s="349"/>
    </row>
    <row r="6568" spans="16:17" x14ac:dyDescent="0.3">
      <c r="P6568" s="349"/>
      <c r="Q6568" s="349"/>
    </row>
    <row r="6569" spans="16:17" x14ac:dyDescent="0.3">
      <c r="P6569" s="349"/>
      <c r="Q6569" s="349"/>
    </row>
    <row r="6570" spans="16:17" x14ac:dyDescent="0.3">
      <c r="P6570" s="349"/>
      <c r="Q6570" s="349"/>
    </row>
    <row r="6571" spans="16:17" x14ac:dyDescent="0.3">
      <c r="P6571" s="349"/>
      <c r="Q6571" s="349"/>
    </row>
    <row r="6572" spans="16:17" x14ac:dyDescent="0.3">
      <c r="P6572" s="349"/>
      <c r="Q6572" s="349"/>
    </row>
    <row r="6573" spans="16:17" x14ac:dyDescent="0.3">
      <c r="P6573" s="349"/>
      <c r="Q6573" s="349"/>
    </row>
    <row r="6574" spans="16:17" x14ac:dyDescent="0.3">
      <c r="P6574" s="349"/>
      <c r="Q6574" s="349"/>
    </row>
    <row r="6575" spans="16:17" x14ac:dyDescent="0.3">
      <c r="P6575" s="349"/>
      <c r="Q6575" s="349"/>
    </row>
    <row r="6576" spans="16:17" x14ac:dyDescent="0.3">
      <c r="P6576" s="349"/>
      <c r="Q6576" s="349"/>
    </row>
    <row r="6577" spans="16:17" x14ac:dyDescent="0.3">
      <c r="P6577" s="349"/>
      <c r="Q6577" s="349"/>
    </row>
    <row r="6578" spans="16:17" x14ac:dyDescent="0.3">
      <c r="P6578" s="349"/>
      <c r="Q6578" s="349"/>
    </row>
    <row r="6579" spans="16:17" x14ac:dyDescent="0.3">
      <c r="P6579" s="349"/>
      <c r="Q6579" s="349"/>
    </row>
    <row r="6580" spans="16:17" x14ac:dyDescent="0.3">
      <c r="P6580" s="349"/>
      <c r="Q6580" s="349"/>
    </row>
    <row r="6581" spans="16:17" x14ac:dyDescent="0.3">
      <c r="P6581" s="349"/>
      <c r="Q6581" s="349"/>
    </row>
    <row r="6582" spans="16:17" x14ac:dyDescent="0.3">
      <c r="P6582" s="349"/>
      <c r="Q6582" s="349"/>
    </row>
    <row r="6583" spans="16:17" x14ac:dyDescent="0.3">
      <c r="P6583" s="349"/>
      <c r="Q6583" s="349"/>
    </row>
    <row r="6584" spans="16:17" x14ac:dyDescent="0.3">
      <c r="P6584" s="349"/>
      <c r="Q6584" s="349"/>
    </row>
    <row r="6585" spans="16:17" x14ac:dyDescent="0.3">
      <c r="P6585" s="349"/>
      <c r="Q6585" s="349"/>
    </row>
    <row r="6586" spans="16:17" x14ac:dyDescent="0.3">
      <c r="P6586" s="349"/>
      <c r="Q6586" s="349"/>
    </row>
    <row r="6587" spans="16:17" x14ac:dyDescent="0.3">
      <c r="P6587" s="349"/>
      <c r="Q6587" s="349"/>
    </row>
    <row r="6588" spans="16:17" x14ac:dyDescent="0.3">
      <c r="P6588" s="349"/>
      <c r="Q6588" s="349"/>
    </row>
    <row r="6589" spans="16:17" x14ac:dyDescent="0.3">
      <c r="P6589" s="349"/>
      <c r="Q6589" s="349"/>
    </row>
    <row r="6590" spans="16:17" x14ac:dyDescent="0.3">
      <c r="P6590" s="349"/>
      <c r="Q6590" s="349"/>
    </row>
    <row r="6591" spans="16:17" x14ac:dyDescent="0.3">
      <c r="P6591" s="349"/>
      <c r="Q6591" s="349"/>
    </row>
    <row r="6592" spans="16:17" x14ac:dyDescent="0.3">
      <c r="P6592" s="349"/>
      <c r="Q6592" s="349"/>
    </row>
    <row r="6593" spans="16:17" x14ac:dyDescent="0.3">
      <c r="P6593" s="349"/>
      <c r="Q6593" s="349"/>
    </row>
    <row r="6594" spans="16:17" x14ac:dyDescent="0.3">
      <c r="P6594" s="349"/>
      <c r="Q6594" s="349"/>
    </row>
    <row r="6595" spans="16:17" x14ac:dyDescent="0.3">
      <c r="P6595" s="349"/>
      <c r="Q6595" s="349"/>
    </row>
    <row r="6596" spans="16:17" x14ac:dyDescent="0.3">
      <c r="P6596" s="349"/>
      <c r="Q6596" s="349"/>
    </row>
    <row r="6597" spans="16:17" x14ac:dyDescent="0.3">
      <c r="P6597" s="349"/>
      <c r="Q6597" s="349"/>
    </row>
    <row r="6598" spans="16:17" x14ac:dyDescent="0.3">
      <c r="P6598" s="349"/>
      <c r="Q6598" s="349"/>
    </row>
    <row r="6599" spans="16:17" x14ac:dyDescent="0.3">
      <c r="P6599" s="349"/>
      <c r="Q6599" s="349"/>
    </row>
    <row r="6600" spans="16:17" x14ac:dyDescent="0.3">
      <c r="P6600" s="349"/>
      <c r="Q6600" s="349"/>
    </row>
    <row r="6601" spans="16:17" x14ac:dyDescent="0.3">
      <c r="P6601" s="349"/>
      <c r="Q6601" s="349"/>
    </row>
    <row r="6602" spans="16:17" x14ac:dyDescent="0.3">
      <c r="P6602" s="349"/>
      <c r="Q6602" s="349"/>
    </row>
    <row r="6603" spans="16:17" x14ac:dyDescent="0.3">
      <c r="P6603" s="349"/>
      <c r="Q6603" s="349"/>
    </row>
    <row r="6604" spans="16:17" x14ac:dyDescent="0.3">
      <c r="P6604" s="349"/>
      <c r="Q6604" s="349"/>
    </row>
    <row r="6605" spans="16:17" x14ac:dyDescent="0.3">
      <c r="P6605" s="349"/>
      <c r="Q6605" s="349"/>
    </row>
    <row r="6606" spans="16:17" x14ac:dyDescent="0.3">
      <c r="P6606" s="349"/>
      <c r="Q6606" s="349"/>
    </row>
    <row r="6607" spans="16:17" x14ac:dyDescent="0.3">
      <c r="P6607" s="349"/>
      <c r="Q6607" s="349"/>
    </row>
    <row r="6608" spans="16:17" x14ac:dyDescent="0.3">
      <c r="P6608" s="349"/>
      <c r="Q6608" s="349"/>
    </row>
    <row r="6609" spans="16:17" x14ac:dyDescent="0.3">
      <c r="P6609" s="349"/>
      <c r="Q6609" s="349"/>
    </row>
    <row r="6610" spans="16:17" x14ac:dyDescent="0.3">
      <c r="P6610" s="349"/>
      <c r="Q6610" s="349"/>
    </row>
    <row r="6611" spans="16:17" x14ac:dyDescent="0.3">
      <c r="P6611" s="349"/>
      <c r="Q6611" s="349"/>
    </row>
    <row r="6612" spans="16:17" x14ac:dyDescent="0.3">
      <c r="P6612" s="349"/>
      <c r="Q6612" s="349"/>
    </row>
    <row r="6613" spans="16:17" x14ac:dyDescent="0.3">
      <c r="P6613" s="349"/>
      <c r="Q6613" s="349"/>
    </row>
    <row r="6614" spans="16:17" x14ac:dyDescent="0.3">
      <c r="P6614" s="349"/>
      <c r="Q6614" s="349"/>
    </row>
    <row r="6615" spans="16:17" x14ac:dyDescent="0.3">
      <c r="P6615" s="349"/>
      <c r="Q6615" s="349"/>
    </row>
    <row r="6616" spans="16:17" x14ac:dyDescent="0.3">
      <c r="P6616" s="349"/>
      <c r="Q6616" s="349"/>
    </row>
    <row r="6617" spans="16:17" x14ac:dyDescent="0.3">
      <c r="P6617" s="349"/>
      <c r="Q6617" s="349"/>
    </row>
    <row r="6618" spans="16:17" x14ac:dyDescent="0.3">
      <c r="P6618" s="349"/>
      <c r="Q6618" s="349"/>
    </row>
    <row r="6619" spans="16:17" x14ac:dyDescent="0.3">
      <c r="P6619" s="349"/>
      <c r="Q6619" s="349"/>
    </row>
    <row r="6620" spans="16:17" x14ac:dyDescent="0.3">
      <c r="P6620" s="349"/>
      <c r="Q6620" s="349"/>
    </row>
    <row r="6621" spans="16:17" x14ac:dyDescent="0.3">
      <c r="P6621" s="349"/>
      <c r="Q6621" s="349"/>
    </row>
    <row r="6622" spans="16:17" x14ac:dyDescent="0.3">
      <c r="P6622" s="349"/>
      <c r="Q6622" s="349"/>
    </row>
    <row r="6623" spans="16:17" x14ac:dyDescent="0.3">
      <c r="P6623" s="349"/>
      <c r="Q6623" s="349"/>
    </row>
    <row r="6624" spans="16:17" x14ac:dyDescent="0.3">
      <c r="P6624" s="349"/>
      <c r="Q6624" s="349"/>
    </row>
    <row r="6625" spans="16:17" x14ac:dyDescent="0.3">
      <c r="P6625" s="349"/>
      <c r="Q6625" s="349"/>
    </row>
    <row r="6626" spans="16:17" x14ac:dyDescent="0.3">
      <c r="P6626" s="349"/>
      <c r="Q6626" s="349"/>
    </row>
    <row r="6627" spans="16:17" x14ac:dyDescent="0.3">
      <c r="P6627" s="349"/>
      <c r="Q6627" s="349"/>
    </row>
    <row r="6628" spans="16:17" x14ac:dyDescent="0.3">
      <c r="P6628" s="349"/>
      <c r="Q6628" s="349"/>
    </row>
    <row r="6629" spans="16:17" x14ac:dyDescent="0.3">
      <c r="P6629" s="349"/>
      <c r="Q6629" s="349"/>
    </row>
    <row r="6630" spans="16:17" x14ac:dyDescent="0.3">
      <c r="P6630" s="349"/>
      <c r="Q6630" s="349"/>
    </row>
    <row r="6631" spans="16:17" x14ac:dyDescent="0.3">
      <c r="P6631" s="349"/>
      <c r="Q6631" s="349"/>
    </row>
    <row r="6632" spans="16:17" x14ac:dyDescent="0.3">
      <c r="P6632" s="349"/>
      <c r="Q6632" s="349"/>
    </row>
    <row r="6633" spans="16:17" x14ac:dyDescent="0.3">
      <c r="P6633" s="349"/>
      <c r="Q6633" s="349"/>
    </row>
    <row r="6634" spans="16:17" x14ac:dyDescent="0.3">
      <c r="P6634" s="349"/>
      <c r="Q6634" s="349"/>
    </row>
    <row r="6635" spans="16:17" x14ac:dyDescent="0.3">
      <c r="P6635" s="349"/>
      <c r="Q6635" s="349"/>
    </row>
    <row r="6636" spans="16:17" x14ac:dyDescent="0.3">
      <c r="P6636" s="349"/>
      <c r="Q6636" s="349"/>
    </row>
    <row r="6637" spans="16:17" x14ac:dyDescent="0.3">
      <c r="P6637" s="349"/>
      <c r="Q6637" s="349"/>
    </row>
    <row r="6638" spans="16:17" x14ac:dyDescent="0.3">
      <c r="P6638" s="349"/>
      <c r="Q6638" s="349"/>
    </row>
    <row r="6639" spans="16:17" x14ac:dyDescent="0.3">
      <c r="P6639" s="349"/>
      <c r="Q6639" s="349"/>
    </row>
    <row r="6640" spans="16:17" x14ac:dyDescent="0.3">
      <c r="P6640" s="349"/>
      <c r="Q6640" s="349"/>
    </row>
    <row r="6641" spans="16:17" x14ac:dyDescent="0.3">
      <c r="P6641" s="349"/>
      <c r="Q6641" s="349"/>
    </row>
    <row r="6642" spans="16:17" x14ac:dyDescent="0.3">
      <c r="P6642" s="349"/>
      <c r="Q6642" s="349"/>
    </row>
    <row r="6643" spans="16:17" x14ac:dyDescent="0.3">
      <c r="P6643" s="349"/>
      <c r="Q6643" s="349"/>
    </row>
    <row r="6644" spans="16:17" x14ac:dyDescent="0.3">
      <c r="P6644" s="349"/>
      <c r="Q6644" s="349"/>
    </row>
    <row r="6645" spans="16:17" x14ac:dyDescent="0.3">
      <c r="P6645" s="349"/>
      <c r="Q6645" s="349"/>
    </row>
    <row r="6646" spans="16:17" x14ac:dyDescent="0.3">
      <c r="P6646" s="349"/>
      <c r="Q6646" s="349"/>
    </row>
    <row r="6647" spans="16:17" x14ac:dyDescent="0.3">
      <c r="P6647" s="349"/>
      <c r="Q6647" s="349"/>
    </row>
    <row r="6648" spans="16:17" x14ac:dyDescent="0.3">
      <c r="P6648" s="349"/>
      <c r="Q6648" s="349"/>
    </row>
    <row r="6649" spans="16:17" x14ac:dyDescent="0.3">
      <c r="P6649" s="349"/>
      <c r="Q6649" s="349"/>
    </row>
    <row r="6650" spans="16:17" x14ac:dyDescent="0.3">
      <c r="P6650" s="349"/>
      <c r="Q6650" s="349"/>
    </row>
    <row r="6651" spans="16:17" x14ac:dyDescent="0.3">
      <c r="P6651" s="349"/>
      <c r="Q6651" s="349"/>
    </row>
    <row r="6652" spans="16:17" x14ac:dyDescent="0.3">
      <c r="P6652" s="349"/>
      <c r="Q6652" s="349"/>
    </row>
    <row r="6653" spans="16:17" x14ac:dyDescent="0.3">
      <c r="P6653" s="349"/>
      <c r="Q6653" s="349"/>
    </row>
    <row r="6654" spans="16:17" x14ac:dyDescent="0.3">
      <c r="P6654" s="349"/>
      <c r="Q6654" s="349"/>
    </row>
    <row r="6655" spans="16:17" x14ac:dyDescent="0.3">
      <c r="P6655" s="349"/>
      <c r="Q6655" s="349"/>
    </row>
    <row r="6656" spans="16:17" x14ac:dyDescent="0.3">
      <c r="P6656" s="349"/>
      <c r="Q6656" s="349"/>
    </row>
    <row r="6657" spans="16:17" x14ac:dyDescent="0.3">
      <c r="P6657" s="349"/>
      <c r="Q6657" s="349"/>
    </row>
    <row r="6658" spans="16:17" x14ac:dyDescent="0.3">
      <c r="P6658" s="349"/>
      <c r="Q6658" s="349"/>
    </row>
    <row r="6659" spans="16:17" x14ac:dyDescent="0.3">
      <c r="P6659" s="349"/>
      <c r="Q6659" s="349"/>
    </row>
    <row r="6660" spans="16:17" x14ac:dyDescent="0.3">
      <c r="P6660" s="349"/>
      <c r="Q6660" s="349"/>
    </row>
    <row r="6661" spans="16:17" x14ac:dyDescent="0.3">
      <c r="P6661" s="349"/>
      <c r="Q6661" s="349"/>
    </row>
    <row r="6662" spans="16:17" x14ac:dyDescent="0.3">
      <c r="P6662" s="349"/>
      <c r="Q6662" s="349"/>
    </row>
    <row r="6663" spans="16:17" x14ac:dyDescent="0.3">
      <c r="P6663" s="349"/>
      <c r="Q6663" s="349"/>
    </row>
    <row r="6664" spans="16:17" x14ac:dyDescent="0.3">
      <c r="P6664" s="349"/>
      <c r="Q6664" s="349"/>
    </row>
    <row r="6665" spans="16:17" x14ac:dyDescent="0.3">
      <c r="P6665" s="349"/>
      <c r="Q6665" s="349"/>
    </row>
    <row r="6666" spans="16:17" x14ac:dyDescent="0.3">
      <c r="P6666" s="349"/>
      <c r="Q6666" s="349"/>
    </row>
    <row r="6667" spans="16:17" x14ac:dyDescent="0.3">
      <c r="P6667" s="349"/>
      <c r="Q6667" s="349"/>
    </row>
    <row r="6668" spans="16:17" x14ac:dyDescent="0.3">
      <c r="P6668" s="349"/>
      <c r="Q6668" s="349"/>
    </row>
    <row r="6669" spans="16:17" x14ac:dyDescent="0.3">
      <c r="P6669" s="349"/>
      <c r="Q6669" s="349"/>
    </row>
    <row r="6670" spans="16:17" x14ac:dyDescent="0.3">
      <c r="P6670" s="349"/>
      <c r="Q6670" s="349"/>
    </row>
    <row r="6671" spans="16:17" x14ac:dyDescent="0.3">
      <c r="P6671" s="349"/>
      <c r="Q6671" s="349"/>
    </row>
    <row r="6672" spans="16:17" x14ac:dyDescent="0.3">
      <c r="P6672" s="349"/>
      <c r="Q6672" s="349"/>
    </row>
    <row r="6673" spans="16:17" x14ac:dyDescent="0.3">
      <c r="P6673" s="349"/>
      <c r="Q6673" s="349"/>
    </row>
    <row r="6674" spans="16:17" x14ac:dyDescent="0.3">
      <c r="P6674" s="349"/>
      <c r="Q6674" s="349"/>
    </row>
    <row r="6675" spans="16:17" x14ac:dyDescent="0.3">
      <c r="P6675" s="349"/>
      <c r="Q6675" s="349"/>
    </row>
    <row r="6676" spans="16:17" x14ac:dyDescent="0.3">
      <c r="P6676" s="349"/>
      <c r="Q6676" s="349"/>
    </row>
    <row r="6677" spans="16:17" x14ac:dyDescent="0.3">
      <c r="P6677" s="349"/>
      <c r="Q6677" s="349"/>
    </row>
    <row r="6678" spans="16:17" x14ac:dyDescent="0.3">
      <c r="P6678" s="349"/>
      <c r="Q6678" s="349"/>
    </row>
    <row r="6679" spans="16:17" x14ac:dyDescent="0.3">
      <c r="P6679" s="349"/>
      <c r="Q6679" s="349"/>
    </row>
    <row r="6680" spans="16:17" x14ac:dyDescent="0.3">
      <c r="P6680" s="349"/>
      <c r="Q6680" s="349"/>
    </row>
    <row r="6681" spans="16:17" x14ac:dyDescent="0.3">
      <c r="P6681" s="349"/>
      <c r="Q6681" s="349"/>
    </row>
    <row r="6682" spans="16:17" x14ac:dyDescent="0.3">
      <c r="P6682" s="349"/>
      <c r="Q6682" s="349"/>
    </row>
    <row r="6683" spans="16:17" x14ac:dyDescent="0.3">
      <c r="P6683" s="349"/>
      <c r="Q6683" s="349"/>
    </row>
    <row r="6684" spans="16:17" x14ac:dyDescent="0.3">
      <c r="P6684" s="349"/>
      <c r="Q6684" s="349"/>
    </row>
    <row r="6685" spans="16:17" x14ac:dyDescent="0.3">
      <c r="P6685" s="349"/>
      <c r="Q6685" s="349"/>
    </row>
    <row r="6686" spans="16:17" x14ac:dyDescent="0.3">
      <c r="P6686" s="349"/>
      <c r="Q6686" s="349"/>
    </row>
    <row r="6687" spans="16:17" x14ac:dyDescent="0.3">
      <c r="P6687" s="349"/>
      <c r="Q6687" s="349"/>
    </row>
    <row r="6688" spans="16:17" x14ac:dyDescent="0.3">
      <c r="P6688" s="349"/>
      <c r="Q6688" s="349"/>
    </row>
    <row r="6689" spans="16:17" x14ac:dyDescent="0.3">
      <c r="P6689" s="349"/>
      <c r="Q6689" s="349"/>
    </row>
    <row r="6690" spans="16:17" x14ac:dyDescent="0.3">
      <c r="P6690" s="349"/>
      <c r="Q6690" s="349"/>
    </row>
    <row r="6691" spans="16:17" x14ac:dyDescent="0.3">
      <c r="P6691" s="349"/>
      <c r="Q6691" s="349"/>
    </row>
    <row r="6692" spans="16:17" x14ac:dyDescent="0.3">
      <c r="P6692" s="349"/>
      <c r="Q6692" s="349"/>
    </row>
    <row r="6693" spans="16:17" x14ac:dyDescent="0.3">
      <c r="P6693" s="349"/>
      <c r="Q6693" s="349"/>
    </row>
    <row r="6694" spans="16:17" x14ac:dyDescent="0.3">
      <c r="P6694" s="349"/>
      <c r="Q6694" s="349"/>
    </row>
    <row r="6695" spans="16:17" x14ac:dyDescent="0.3">
      <c r="P6695" s="349"/>
      <c r="Q6695" s="349"/>
    </row>
    <row r="6696" spans="16:17" x14ac:dyDescent="0.3">
      <c r="P6696" s="349"/>
      <c r="Q6696" s="349"/>
    </row>
    <row r="6697" spans="16:17" x14ac:dyDescent="0.3">
      <c r="P6697" s="349"/>
      <c r="Q6697" s="349"/>
    </row>
    <row r="6698" spans="16:17" x14ac:dyDescent="0.3">
      <c r="P6698" s="349"/>
      <c r="Q6698" s="349"/>
    </row>
    <row r="6699" spans="16:17" x14ac:dyDescent="0.3">
      <c r="P6699" s="349"/>
      <c r="Q6699" s="349"/>
    </row>
    <row r="6700" spans="16:17" x14ac:dyDescent="0.3">
      <c r="P6700" s="349"/>
      <c r="Q6700" s="349"/>
    </row>
    <row r="6701" spans="16:17" x14ac:dyDescent="0.3">
      <c r="P6701" s="349"/>
      <c r="Q6701" s="349"/>
    </row>
    <row r="6702" spans="16:17" x14ac:dyDescent="0.3">
      <c r="P6702" s="349"/>
      <c r="Q6702" s="349"/>
    </row>
    <row r="6703" spans="16:17" x14ac:dyDescent="0.3">
      <c r="P6703" s="349"/>
      <c r="Q6703" s="349"/>
    </row>
    <row r="6704" spans="16:17" x14ac:dyDescent="0.3">
      <c r="P6704" s="349"/>
      <c r="Q6704" s="349"/>
    </row>
    <row r="6705" spans="16:17" x14ac:dyDescent="0.3">
      <c r="P6705" s="349"/>
      <c r="Q6705" s="349"/>
    </row>
    <row r="6706" spans="16:17" x14ac:dyDescent="0.3">
      <c r="P6706" s="349"/>
      <c r="Q6706" s="349"/>
    </row>
    <row r="6707" spans="16:17" x14ac:dyDescent="0.3">
      <c r="P6707" s="349"/>
      <c r="Q6707" s="349"/>
    </row>
    <row r="6708" spans="16:17" x14ac:dyDescent="0.3">
      <c r="P6708" s="349"/>
      <c r="Q6708" s="349"/>
    </row>
    <row r="6709" spans="16:17" x14ac:dyDescent="0.3">
      <c r="P6709" s="349"/>
      <c r="Q6709" s="349"/>
    </row>
    <row r="6710" spans="16:17" x14ac:dyDescent="0.3">
      <c r="P6710" s="349"/>
      <c r="Q6710" s="349"/>
    </row>
    <row r="6711" spans="16:17" x14ac:dyDescent="0.3">
      <c r="P6711" s="349"/>
      <c r="Q6711" s="349"/>
    </row>
    <row r="6712" spans="16:17" x14ac:dyDescent="0.3">
      <c r="P6712" s="349"/>
      <c r="Q6712" s="349"/>
    </row>
    <row r="6713" spans="16:17" x14ac:dyDescent="0.3">
      <c r="P6713" s="349"/>
      <c r="Q6713" s="349"/>
    </row>
    <row r="6714" spans="16:17" x14ac:dyDescent="0.3">
      <c r="P6714" s="349"/>
      <c r="Q6714" s="349"/>
    </row>
    <row r="6715" spans="16:17" x14ac:dyDescent="0.3">
      <c r="P6715" s="349"/>
      <c r="Q6715" s="349"/>
    </row>
    <row r="6716" spans="16:17" x14ac:dyDescent="0.3">
      <c r="P6716" s="349"/>
      <c r="Q6716" s="349"/>
    </row>
    <row r="6717" spans="16:17" x14ac:dyDescent="0.3">
      <c r="P6717" s="349"/>
      <c r="Q6717" s="349"/>
    </row>
    <row r="6718" spans="16:17" x14ac:dyDescent="0.3">
      <c r="P6718" s="349"/>
      <c r="Q6718" s="349"/>
    </row>
    <row r="6719" spans="16:17" x14ac:dyDescent="0.3">
      <c r="P6719" s="349"/>
      <c r="Q6719" s="349"/>
    </row>
    <row r="6720" spans="16:17" x14ac:dyDescent="0.3">
      <c r="P6720" s="349"/>
      <c r="Q6720" s="349"/>
    </row>
    <row r="6721" spans="16:17" x14ac:dyDescent="0.3">
      <c r="P6721" s="349"/>
      <c r="Q6721" s="349"/>
    </row>
    <row r="6722" spans="16:17" x14ac:dyDescent="0.3">
      <c r="P6722" s="349"/>
      <c r="Q6722" s="349"/>
    </row>
    <row r="6723" spans="16:17" x14ac:dyDescent="0.3">
      <c r="P6723" s="349"/>
      <c r="Q6723" s="349"/>
    </row>
    <row r="6724" spans="16:17" x14ac:dyDescent="0.3">
      <c r="P6724" s="349"/>
      <c r="Q6724" s="349"/>
    </row>
    <row r="6725" spans="16:17" x14ac:dyDescent="0.3">
      <c r="P6725" s="349"/>
      <c r="Q6725" s="349"/>
    </row>
    <row r="6726" spans="16:17" x14ac:dyDescent="0.3">
      <c r="P6726" s="349"/>
      <c r="Q6726" s="349"/>
    </row>
    <row r="6727" spans="16:17" x14ac:dyDescent="0.3">
      <c r="P6727" s="349"/>
      <c r="Q6727" s="349"/>
    </row>
    <row r="6728" spans="16:17" x14ac:dyDescent="0.3">
      <c r="P6728" s="349"/>
      <c r="Q6728" s="349"/>
    </row>
    <row r="6729" spans="16:17" x14ac:dyDescent="0.3">
      <c r="P6729" s="349"/>
      <c r="Q6729" s="349"/>
    </row>
    <row r="6730" spans="16:17" x14ac:dyDescent="0.3">
      <c r="P6730" s="349"/>
      <c r="Q6730" s="349"/>
    </row>
    <row r="6731" spans="16:17" x14ac:dyDescent="0.3">
      <c r="P6731" s="349"/>
      <c r="Q6731" s="349"/>
    </row>
    <row r="6732" spans="16:17" x14ac:dyDescent="0.3">
      <c r="P6732" s="349"/>
      <c r="Q6732" s="349"/>
    </row>
    <row r="6733" spans="16:17" x14ac:dyDescent="0.3">
      <c r="P6733" s="349"/>
      <c r="Q6733" s="349"/>
    </row>
    <row r="6734" spans="16:17" x14ac:dyDescent="0.3">
      <c r="P6734" s="349"/>
      <c r="Q6734" s="349"/>
    </row>
    <row r="6735" spans="16:17" x14ac:dyDescent="0.3">
      <c r="P6735" s="349"/>
      <c r="Q6735" s="349"/>
    </row>
    <row r="6736" spans="16:17" x14ac:dyDescent="0.3">
      <c r="P6736" s="349"/>
      <c r="Q6736" s="349"/>
    </row>
    <row r="6737" spans="16:17" x14ac:dyDescent="0.3">
      <c r="P6737" s="349"/>
      <c r="Q6737" s="349"/>
    </row>
    <row r="6738" spans="16:17" x14ac:dyDescent="0.3">
      <c r="P6738" s="349"/>
      <c r="Q6738" s="349"/>
    </row>
    <row r="6739" spans="16:17" x14ac:dyDescent="0.3">
      <c r="P6739" s="349"/>
      <c r="Q6739" s="349"/>
    </row>
    <row r="6740" spans="16:17" x14ac:dyDescent="0.3">
      <c r="P6740" s="349"/>
      <c r="Q6740" s="349"/>
    </row>
    <row r="6741" spans="16:17" x14ac:dyDescent="0.3">
      <c r="P6741" s="349"/>
      <c r="Q6741" s="349"/>
    </row>
    <row r="6742" spans="16:17" x14ac:dyDescent="0.3">
      <c r="P6742" s="349"/>
      <c r="Q6742" s="349"/>
    </row>
    <row r="6743" spans="16:17" x14ac:dyDescent="0.3">
      <c r="P6743" s="349"/>
      <c r="Q6743" s="349"/>
    </row>
    <row r="6744" spans="16:17" x14ac:dyDescent="0.3">
      <c r="P6744" s="349"/>
      <c r="Q6744" s="349"/>
    </row>
    <row r="6745" spans="16:17" x14ac:dyDescent="0.3">
      <c r="P6745" s="349"/>
      <c r="Q6745" s="349"/>
    </row>
    <row r="6746" spans="16:17" x14ac:dyDescent="0.3">
      <c r="P6746" s="349"/>
      <c r="Q6746" s="349"/>
    </row>
    <row r="6747" spans="16:17" x14ac:dyDescent="0.3">
      <c r="P6747" s="349"/>
      <c r="Q6747" s="349"/>
    </row>
    <row r="6748" spans="16:17" x14ac:dyDescent="0.3">
      <c r="P6748" s="349"/>
      <c r="Q6748" s="349"/>
    </row>
    <row r="6749" spans="16:17" x14ac:dyDescent="0.3">
      <c r="P6749" s="349"/>
      <c r="Q6749" s="349"/>
    </row>
    <row r="6750" spans="16:17" x14ac:dyDescent="0.3">
      <c r="P6750" s="349"/>
      <c r="Q6750" s="349"/>
    </row>
    <row r="6751" spans="16:17" x14ac:dyDescent="0.3">
      <c r="P6751" s="349"/>
      <c r="Q6751" s="349"/>
    </row>
    <row r="6752" spans="16:17" x14ac:dyDescent="0.3">
      <c r="P6752" s="349"/>
      <c r="Q6752" s="349"/>
    </row>
    <row r="6753" spans="16:17" x14ac:dyDescent="0.3">
      <c r="P6753" s="349"/>
      <c r="Q6753" s="349"/>
    </row>
    <row r="6754" spans="16:17" x14ac:dyDescent="0.3">
      <c r="P6754" s="349"/>
      <c r="Q6754" s="349"/>
    </row>
    <row r="6755" spans="16:17" x14ac:dyDescent="0.3">
      <c r="P6755" s="349"/>
      <c r="Q6755" s="349"/>
    </row>
    <row r="6756" spans="16:17" x14ac:dyDescent="0.3">
      <c r="P6756" s="349"/>
      <c r="Q6756" s="349"/>
    </row>
    <row r="6757" spans="16:17" x14ac:dyDescent="0.3">
      <c r="P6757" s="349"/>
      <c r="Q6757" s="349"/>
    </row>
    <row r="6758" spans="16:17" x14ac:dyDescent="0.3">
      <c r="P6758" s="349"/>
      <c r="Q6758" s="349"/>
    </row>
    <row r="6759" spans="16:17" x14ac:dyDescent="0.3">
      <c r="P6759" s="349"/>
      <c r="Q6759" s="349"/>
    </row>
    <row r="6760" spans="16:17" x14ac:dyDescent="0.3">
      <c r="P6760" s="349"/>
      <c r="Q6760" s="349"/>
    </row>
    <row r="6761" spans="16:17" x14ac:dyDescent="0.3">
      <c r="P6761" s="349"/>
      <c r="Q6761" s="349"/>
    </row>
    <row r="6762" spans="16:17" x14ac:dyDescent="0.3">
      <c r="P6762" s="349"/>
      <c r="Q6762" s="349"/>
    </row>
    <row r="6763" spans="16:17" x14ac:dyDescent="0.3">
      <c r="P6763" s="349"/>
      <c r="Q6763" s="349"/>
    </row>
    <row r="6764" spans="16:17" x14ac:dyDescent="0.3">
      <c r="P6764" s="349"/>
      <c r="Q6764" s="349"/>
    </row>
    <row r="6765" spans="16:17" x14ac:dyDescent="0.3">
      <c r="P6765" s="349"/>
      <c r="Q6765" s="349"/>
    </row>
    <row r="6766" spans="16:17" x14ac:dyDescent="0.3">
      <c r="P6766" s="349"/>
      <c r="Q6766" s="349"/>
    </row>
    <row r="6767" spans="16:17" x14ac:dyDescent="0.3">
      <c r="P6767" s="349"/>
      <c r="Q6767" s="349"/>
    </row>
    <row r="6768" spans="16:17" x14ac:dyDescent="0.3">
      <c r="P6768" s="349"/>
      <c r="Q6768" s="349"/>
    </row>
    <row r="6769" spans="16:17" x14ac:dyDescent="0.3">
      <c r="P6769" s="349"/>
      <c r="Q6769" s="349"/>
    </row>
    <row r="6770" spans="16:17" x14ac:dyDescent="0.3">
      <c r="P6770" s="349"/>
      <c r="Q6770" s="349"/>
    </row>
    <row r="6771" spans="16:17" x14ac:dyDescent="0.3">
      <c r="P6771" s="349"/>
      <c r="Q6771" s="349"/>
    </row>
    <row r="6772" spans="16:17" x14ac:dyDescent="0.3">
      <c r="P6772" s="349"/>
      <c r="Q6772" s="349"/>
    </row>
    <row r="6773" spans="16:17" x14ac:dyDescent="0.3">
      <c r="P6773" s="349"/>
      <c r="Q6773" s="349"/>
    </row>
    <row r="6774" spans="16:17" x14ac:dyDescent="0.3">
      <c r="P6774" s="349"/>
      <c r="Q6774" s="349"/>
    </row>
    <row r="6775" spans="16:17" x14ac:dyDescent="0.3">
      <c r="P6775" s="349"/>
      <c r="Q6775" s="349"/>
    </row>
    <row r="6776" spans="16:17" x14ac:dyDescent="0.3">
      <c r="P6776" s="349"/>
      <c r="Q6776" s="349"/>
    </row>
    <row r="6777" spans="16:17" x14ac:dyDescent="0.3">
      <c r="P6777" s="349"/>
      <c r="Q6777" s="349"/>
    </row>
    <row r="6778" spans="16:17" x14ac:dyDescent="0.3">
      <c r="P6778" s="349"/>
      <c r="Q6778" s="349"/>
    </row>
    <row r="6779" spans="16:17" x14ac:dyDescent="0.3">
      <c r="P6779" s="349"/>
      <c r="Q6779" s="349"/>
    </row>
    <row r="6780" spans="16:17" x14ac:dyDescent="0.3">
      <c r="P6780" s="349"/>
      <c r="Q6780" s="349"/>
    </row>
    <row r="6781" spans="16:17" x14ac:dyDescent="0.3">
      <c r="P6781" s="349"/>
      <c r="Q6781" s="349"/>
    </row>
    <row r="6782" spans="16:17" x14ac:dyDescent="0.3">
      <c r="P6782" s="349"/>
      <c r="Q6782" s="349"/>
    </row>
    <row r="6783" spans="16:17" x14ac:dyDescent="0.3">
      <c r="P6783" s="349"/>
      <c r="Q6783" s="349"/>
    </row>
    <row r="6784" spans="16:17" x14ac:dyDescent="0.3">
      <c r="P6784" s="349"/>
      <c r="Q6784" s="349"/>
    </row>
    <row r="6785" spans="16:17" x14ac:dyDescent="0.3">
      <c r="P6785" s="349"/>
      <c r="Q6785" s="349"/>
    </row>
    <row r="6786" spans="16:17" x14ac:dyDescent="0.3">
      <c r="P6786" s="349"/>
      <c r="Q6786" s="349"/>
    </row>
    <row r="6787" spans="16:17" x14ac:dyDescent="0.3">
      <c r="P6787" s="349"/>
      <c r="Q6787" s="349"/>
    </row>
    <row r="6788" spans="16:17" x14ac:dyDescent="0.3">
      <c r="P6788" s="349"/>
      <c r="Q6788" s="349"/>
    </row>
    <row r="6789" spans="16:17" x14ac:dyDescent="0.3">
      <c r="P6789" s="349"/>
      <c r="Q6789" s="349"/>
    </row>
    <row r="6790" spans="16:17" x14ac:dyDescent="0.3">
      <c r="P6790" s="349"/>
      <c r="Q6790" s="349"/>
    </row>
    <row r="6791" spans="16:17" x14ac:dyDescent="0.3">
      <c r="P6791" s="349"/>
      <c r="Q6791" s="349"/>
    </row>
    <row r="6792" spans="16:17" x14ac:dyDescent="0.3">
      <c r="P6792" s="349"/>
      <c r="Q6792" s="349"/>
    </row>
    <row r="6793" spans="16:17" x14ac:dyDescent="0.3">
      <c r="P6793" s="349"/>
      <c r="Q6793" s="349"/>
    </row>
    <row r="6794" spans="16:17" x14ac:dyDescent="0.3">
      <c r="P6794" s="349"/>
      <c r="Q6794" s="349"/>
    </row>
    <row r="6795" spans="16:17" x14ac:dyDescent="0.3">
      <c r="P6795" s="349"/>
      <c r="Q6795" s="349"/>
    </row>
    <row r="6796" spans="16:17" x14ac:dyDescent="0.3">
      <c r="P6796" s="349"/>
      <c r="Q6796" s="349"/>
    </row>
    <row r="6797" spans="16:17" x14ac:dyDescent="0.3">
      <c r="P6797" s="349"/>
      <c r="Q6797" s="349"/>
    </row>
    <row r="6798" spans="16:17" x14ac:dyDescent="0.3">
      <c r="P6798" s="349"/>
      <c r="Q6798" s="349"/>
    </row>
    <row r="6799" spans="16:17" x14ac:dyDescent="0.3">
      <c r="P6799" s="349"/>
      <c r="Q6799" s="349"/>
    </row>
    <row r="6800" spans="16:17" x14ac:dyDescent="0.3">
      <c r="P6800" s="349"/>
      <c r="Q6800" s="349"/>
    </row>
    <row r="6801" spans="16:17" x14ac:dyDescent="0.3">
      <c r="P6801" s="349"/>
      <c r="Q6801" s="349"/>
    </row>
    <row r="6802" spans="16:17" x14ac:dyDescent="0.3">
      <c r="P6802" s="349"/>
      <c r="Q6802" s="349"/>
    </row>
    <row r="6803" spans="16:17" x14ac:dyDescent="0.3">
      <c r="P6803" s="349"/>
      <c r="Q6803" s="349"/>
    </row>
    <row r="6804" spans="16:17" x14ac:dyDescent="0.3">
      <c r="P6804" s="349"/>
      <c r="Q6804" s="349"/>
    </row>
    <row r="6805" spans="16:17" x14ac:dyDescent="0.3">
      <c r="P6805" s="349"/>
      <c r="Q6805" s="349"/>
    </row>
    <row r="6806" spans="16:17" x14ac:dyDescent="0.3">
      <c r="P6806" s="349"/>
      <c r="Q6806" s="349"/>
    </row>
    <row r="6807" spans="16:17" x14ac:dyDescent="0.3">
      <c r="P6807" s="349"/>
      <c r="Q6807" s="349"/>
    </row>
    <row r="6808" spans="16:17" x14ac:dyDescent="0.3">
      <c r="P6808" s="349"/>
      <c r="Q6808" s="349"/>
    </row>
    <row r="6809" spans="16:17" x14ac:dyDescent="0.3">
      <c r="P6809" s="349"/>
      <c r="Q6809" s="349"/>
    </row>
    <row r="6810" spans="16:17" x14ac:dyDescent="0.3">
      <c r="P6810" s="349"/>
      <c r="Q6810" s="349"/>
    </row>
    <row r="6811" spans="16:17" x14ac:dyDescent="0.3">
      <c r="P6811" s="349"/>
      <c r="Q6811" s="349"/>
    </row>
    <row r="6812" spans="16:17" x14ac:dyDescent="0.3">
      <c r="P6812" s="349"/>
      <c r="Q6812" s="349"/>
    </row>
    <row r="6813" spans="16:17" x14ac:dyDescent="0.3">
      <c r="P6813" s="349"/>
      <c r="Q6813" s="349"/>
    </row>
    <row r="6814" spans="16:17" x14ac:dyDescent="0.3">
      <c r="P6814" s="349"/>
      <c r="Q6814" s="349"/>
    </row>
    <row r="6815" spans="16:17" x14ac:dyDescent="0.3">
      <c r="P6815" s="349"/>
      <c r="Q6815" s="349"/>
    </row>
    <row r="6816" spans="16:17" x14ac:dyDescent="0.3">
      <c r="P6816" s="349"/>
      <c r="Q6816" s="349"/>
    </row>
    <row r="6817" spans="16:17" x14ac:dyDescent="0.3">
      <c r="P6817" s="349"/>
      <c r="Q6817" s="349"/>
    </row>
    <row r="6818" spans="16:17" x14ac:dyDescent="0.3">
      <c r="P6818" s="349"/>
      <c r="Q6818" s="349"/>
    </row>
    <row r="6819" spans="16:17" x14ac:dyDescent="0.3">
      <c r="P6819" s="349"/>
      <c r="Q6819" s="349"/>
    </row>
    <row r="6820" spans="16:17" x14ac:dyDescent="0.3">
      <c r="P6820" s="349"/>
      <c r="Q6820" s="349"/>
    </row>
    <row r="6821" spans="16:17" x14ac:dyDescent="0.3">
      <c r="P6821" s="349"/>
      <c r="Q6821" s="349"/>
    </row>
    <row r="6822" spans="16:17" x14ac:dyDescent="0.3">
      <c r="P6822" s="349"/>
      <c r="Q6822" s="349"/>
    </row>
    <row r="6823" spans="16:17" x14ac:dyDescent="0.3">
      <c r="P6823" s="349"/>
      <c r="Q6823" s="349"/>
    </row>
    <row r="6824" spans="16:17" x14ac:dyDescent="0.3">
      <c r="P6824" s="349"/>
      <c r="Q6824" s="349"/>
    </row>
    <row r="6825" spans="16:17" x14ac:dyDescent="0.3">
      <c r="P6825" s="349"/>
      <c r="Q6825" s="349"/>
    </row>
    <row r="6826" spans="16:17" x14ac:dyDescent="0.3">
      <c r="P6826" s="349"/>
      <c r="Q6826" s="349"/>
    </row>
    <row r="6827" spans="16:17" x14ac:dyDescent="0.3">
      <c r="P6827" s="349"/>
      <c r="Q6827" s="349"/>
    </row>
    <row r="6828" spans="16:17" x14ac:dyDescent="0.3">
      <c r="P6828" s="349"/>
      <c r="Q6828" s="349"/>
    </row>
    <row r="6829" spans="16:17" x14ac:dyDescent="0.3">
      <c r="P6829" s="349"/>
      <c r="Q6829" s="349"/>
    </row>
    <row r="6830" spans="16:17" x14ac:dyDescent="0.3">
      <c r="P6830" s="349"/>
      <c r="Q6830" s="349"/>
    </row>
    <row r="6831" spans="16:17" x14ac:dyDescent="0.3">
      <c r="P6831" s="349"/>
      <c r="Q6831" s="349"/>
    </row>
    <row r="6832" spans="16:17" x14ac:dyDescent="0.3">
      <c r="P6832" s="349"/>
      <c r="Q6832" s="349"/>
    </row>
    <row r="6833" spans="16:17" x14ac:dyDescent="0.3">
      <c r="P6833" s="349"/>
      <c r="Q6833" s="349"/>
    </row>
    <row r="6834" spans="16:17" x14ac:dyDescent="0.3">
      <c r="P6834" s="349"/>
      <c r="Q6834" s="349"/>
    </row>
    <row r="6835" spans="16:17" x14ac:dyDescent="0.3">
      <c r="P6835" s="349"/>
      <c r="Q6835" s="349"/>
    </row>
    <row r="6836" spans="16:17" x14ac:dyDescent="0.3">
      <c r="P6836" s="349"/>
      <c r="Q6836" s="349"/>
    </row>
    <row r="6837" spans="16:17" x14ac:dyDescent="0.3">
      <c r="P6837" s="349"/>
      <c r="Q6837" s="349"/>
    </row>
    <row r="6838" spans="16:17" x14ac:dyDescent="0.3">
      <c r="P6838" s="349"/>
      <c r="Q6838" s="349"/>
    </row>
    <row r="6839" spans="16:17" x14ac:dyDescent="0.3">
      <c r="P6839" s="349"/>
      <c r="Q6839" s="349"/>
    </row>
    <row r="6840" spans="16:17" x14ac:dyDescent="0.3">
      <c r="P6840" s="349"/>
      <c r="Q6840" s="349"/>
    </row>
    <row r="6841" spans="16:17" x14ac:dyDescent="0.3">
      <c r="P6841" s="349"/>
      <c r="Q6841" s="349"/>
    </row>
    <row r="6842" spans="16:17" x14ac:dyDescent="0.3">
      <c r="P6842" s="349"/>
      <c r="Q6842" s="349"/>
    </row>
    <row r="6843" spans="16:17" x14ac:dyDescent="0.3">
      <c r="P6843" s="349"/>
      <c r="Q6843" s="349"/>
    </row>
    <row r="6844" spans="16:17" x14ac:dyDescent="0.3">
      <c r="P6844" s="349"/>
      <c r="Q6844" s="349"/>
    </row>
    <row r="6845" spans="16:17" x14ac:dyDescent="0.3">
      <c r="P6845" s="349"/>
      <c r="Q6845" s="349"/>
    </row>
    <row r="6846" spans="16:17" x14ac:dyDescent="0.3">
      <c r="P6846" s="349"/>
      <c r="Q6846" s="349"/>
    </row>
    <row r="6847" spans="16:17" x14ac:dyDescent="0.3">
      <c r="P6847" s="349"/>
      <c r="Q6847" s="349"/>
    </row>
    <row r="6848" spans="16:17" x14ac:dyDescent="0.3">
      <c r="P6848" s="349"/>
      <c r="Q6848" s="349"/>
    </row>
    <row r="6849" spans="16:17" x14ac:dyDescent="0.3">
      <c r="P6849" s="349"/>
      <c r="Q6849" s="349"/>
    </row>
    <row r="6850" spans="16:17" x14ac:dyDescent="0.3">
      <c r="P6850" s="349"/>
      <c r="Q6850" s="349"/>
    </row>
    <row r="6851" spans="16:17" x14ac:dyDescent="0.3">
      <c r="P6851" s="349"/>
      <c r="Q6851" s="349"/>
    </row>
    <row r="6852" spans="16:17" x14ac:dyDescent="0.3">
      <c r="P6852" s="349"/>
      <c r="Q6852" s="349"/>
    </row>
    <row r="6853" spans="16:17" x14ac:dyDescent="0.3">
      <c r="P6853" s="349"/>
      <c r="Q6853" s="349"/>
    </row>
    <row r="6854" spans="16:17" x14ac:dyDescent="0.3">
      <c r="P6854" s="349"/>
      <c r="Q6854" s="349"/>
    </row>
    <row r="6855" spans="16:17" x14ac:dyDescent="0.3">
      <c r="P6855" s="349"/>
      <c r="Q6855" s="349"/>
    </row>
    <row r="6856" spans="16:17" x14ac:dyDescent="0.3">
      <c r="P6856" s="349"/>
      <c r="Q6856" s="349"/>
    </row>
    <row r="6857" spans="16:17" x14ac:dyDescent="0.3">
      <c r="P6857" s="349"/>
      <c r="Q6857" s="349"/>
    </row>
    <row r="6858" spans="16:17" x14ac:dyDescent="0.3">
      <c r="P6858" s="349"/>
      <c r="Q6858" s="349"/>
    </row>
    <row r="6859" spans="16:17" x14ac:dyDescent="0.3">
      <c r="P6859" s="349"/>
      <c r="Q6859" s="349"/>
    </row>
    <row r="6860" spans="16:17" x14ac:dyDescent="0.3">
      <c r="P6860" s="349"/>
      <c r="Q6860" s="349"/>
    </row>
    <row r="6861" spans="16:17" x14ac:dyDescent="0.3">
      <c r="P6861" s="349"/>
      <c r="Q6861" s="349"/>
    </row>
    <row r="6862" spans="16:17" x14ac:dyDescent="0.3">
      <c r="P6862" s="349"/>
      <c r="Q6862" s="349"/>
    </row>
    <row r="6863" spans="16:17" x14ac:dyDescent="0.3">
      <c r="P6863" s="349"/>
      <c r="Q6863" s="349"/>
    </row>
    <row r="6864" spans="16:17" x14ac:dyDescent="0.3">
      <c r="P6864" s="349"/>
      <c r="Q6864" s="349"/>
    </row>
    <row r="6865" spans="16:17" x14ac:dyDescent="0.3">
      <c r="P6865" s="349"/>
      <c r="Q6865" s="349"/>
    </row>
    <row r="6866" spans="16:17" x14ac:dyDescent="0.3">
      <c r="P6866" s="349"/>
      <c r="Q6866" s="349"/>
    </row>
    <row r="6867" spans="16:17" x14ac:dyDescent="0.3">
      <c r="P6867" s="349"/>
      <c r="Q6867" s="349"/>
    </row>
    <row r="6868" spans="16:17" x14ac:dyDescent="0.3">
      <c r="P6868" s="349"/>
      <c r="Q6868" s="349"/>
    </row>
    <row r="6869" spans="16:17" x14ac:dyDescent="0.3">
      <c r="P6869" s="349"/>
      <c r="Q6869" s="349"/>
    </row>
    <row r="6870" spans="16:17" x14ac:dyDescent="0.3">
      <c r="P6870" s="349"/>
      <c r="Q6870" s="349"/>
    </row>
    <row r="6871" spans="16:17" x14ac:dyDescent="0.3">
      <c r="P6871" s="349"/>
      <c r="Q6871" s="349"/>
    </row>
    <row r="6872" spans="16:17" x14ac:dyDescent="0.3">
      <c r="P6872" s="349"/>
      <c r="Q6872" s="349"/>
    </row>
    <row r="6873" spans="16:17" x14ac:dyDescent="0.3">
      <c r="P6873" s="349"/>
      <c r="Q6873" s="349"/>
    </row>
    <row r="6874" spans="16:17" x14ac:dyDescent="0.3">
      <c r="P6874" s="349"/>
      <c r="Q6874" s="349"/>
    </row>
    <row r="6875" spans="16:17" x14ac:dyDescent="0.3">
      <c r="P6875" s="349"/>
      <c r="Q6875" s="349"/>
    </row>
    <row r="6876" spans="16:17" x14ac:dyDescent="0.3">
      <c r="P6876" s="349"/>
      <c r="Q6876" s="349"/>
    </row>
    <row r="6877" spans="16:17" x14ac:dyDescent="0.3">
      <c r="P6877" s="349"/>
      <c r="Q6877" s="349"/>
    </row>
    <row r="6878" spans="16:17" x14ac:dyDescent="0.3">
      <c r="P6878" s="349"/>
      <c r="Q6878" s="349"/>
    </row>
    <row r="6879" spans="16:17" x14ac:dyDescent="0.3">
      <c r="P6879" s="349"/>
      <c r="Q6879" s="349"/>
    </row>
    <row r="6880" spans="16:17" x14ac:dyDescent="0.3">
      <c r="P6880" s="349"/>
      <c r="Q6880" s="349"/>
    </row>
    <row r="6881" spans="16:17" x14ac:dyDescent="0.3">
      <c r="P6881" s="349"/>
      <c r="Q6881" s="349"/>
    </row>
    <row r="6882" spans="16:17" x14ac:dyDescent="0.3">
      <c r="P6882" s="349"/>
      <c r="Q6882" s="349"/>
    </row>
    <row r="6883" spans="16:17" x14ac:dyDescent="0.3">
      <c r="P6883" s="349"/>
      <c r="Q6883" s="349"/>
    </row>
    <row r="6884" spans="16:17" x14ac:dyDescent="0.3">
      <c r="P6884" s="349"/>
      <c r="Q6884" s="349"/>
    </row>
    <row r="6885" spans="16:17" x14ac:dyDescent="0.3">
      <c r="P6885" s="349"/>
      <c r="Q6885" s="349"/>
    </row>
    <row r="6886" spans="16:17" x14ac:dyDescent="0.3">
      <c r="P6886" s="349"/>
      <c r="Q6886" s="349"/>
    </row>
    <row r="6887" spans="16:17" x14ac:dyDescent="0.3">
      <c r="P6887" s="349"/>
      <c r="Q6887" s="349"/>
    </row>
    <row r="6888" spans="16:17" x14ac:dyDescent="0.3">
      <c r="P6888" s="349"/>
      <c r="Q6888" s="349"/>
    </row>
    <row r="6889" spans="16:17" x14ac:dyDescent="0.3">
      <c r="P6889" s="349"/>
      <c r="Q6889" s="349"/>
    </row>
    <row r="6890" spans="16:17" x14ac:dyDescent="0.3">
      <c r="P6890" s="349"/>
      <c r="Q6890" s="349"/>
    </row>
    <row r="6891" spans="16:17" x14ac:dyDescent="0.3">
      <c r="P6891" s="349"/>
      <c r="Q6891" s="349"/>
    </row>
    <row r="6892" spans="16:17" x14ac:dyDescent="0.3">
      <c r="P6892" s="349"/>
      <c r="Q6892" s="349"/>
    </row>
    <row r="6893" spans="16:17" x14ac:dyDescent="0.3">
      <c r="P6893" s="349"/>
      <c r="Q6893" s="349"/>
    </row>
    <row r="6894" spans="16:17" x14ac:dyDescent="0.3">
      <c r="P6894" s="349"/>
      <c r="Q6894" s="349"/>
    </row>
    <row r="6895" spans="16:17" x14ac:dyDescent="0.3">
      <c r="P6895" s="349"/>
      <c r="Q6895" s="349"/>
    </row>
    <row r="6896" spans="16:17" x14ac:dyDescent="0.3">
      <c r="P6896" s="349"/>
      <c r="Q6896" s="349"/>
    </row>
    <row r="6897" spans="16:17" x14ac:dyDescent="0.3">
      <c r="P6897" s="349"/>
      <c r="Q6897" s="349"/>
    </row>
    <row r="6898" spans="16:17" x14ac:dyDescent="0.3">
      <c r="P6898" s="349"/>
      <c r="Q6898" s="349"/>
    </row>
    <row r="6899" spans="16:17" x14ac:dyDescent="0.3">
      <c r="P6899" s="349"/>
      <c r="Q6899" s="349"/>
    </row>
    <row r="6900" spans="16:17" x14ac:dyDescent="0.3">
      <c r="P6900" s="349"/>
      <c r="Q6900" s="349"/>
    </row>
    <row r="6901" spans="16:17" x14ac:dyDescent="0.3">
      <c r="P6901" s="349"/>
      <c r="Q6901" s="349"/>
    </row>
    <row r="6902" spans="16:17" x14ac:dyDescent="0.3">
      <c r="P6902" s="349"/>
      <c r="Q6902" s="349"/>
    </row>
    <row r="6903" spans="16:17" x14ac:dyDescent="0.3">
      <c r="P6903" s="349"/>
      <c r="Q6903" s="349"/>
    </row>
    <row r="6904" spans="16:17" x14ac:dyDescent="0.3">
      <c r="P6904" s="349"/>
      <c r="Q6904" s="349"/>
    </row>
    <row r="6905" spans="16:17" x14ac:dyDescent="0.3">
      <c r="P6905" s="349"/>
      <c r="Q6905" s="349"/>
    </row>
    <row r="6906" spans="16:17" x14ac:dyDescent="0.3">
      <c r="P6906" s="349"/>
      <c r="Q6906" s="349"/>
    </row>
    <row r="6907" spans="16:17" x14ac:dyDescent="0.3">
      <c r="P6907" s="349"/>
      <c r="Q6907" s="349"/>
    </row>
    <row r="6908" spans="16:17" x14ac:dyDescent="0.3">
      <c r="P6908" s="349"/>
      <c r="Q6908" s="349"/>
    </row>
    <row r="6909" spans="16:17" x14ac:dyDescent="0.3">
      <c r="P6909" s="349"/>
      <c r="Q6909" s="349"/>
    </row>
    <row r="6910" spans="16:17" x14ac:dyDescent="0.3">
      <c r="P6910" s="349"/>
      <c r="Q6910" s="349"/>
    </row>
    <row r="6911" spans="16:17" x14ac:dyDescent="0.3">
      <c r="P6911" s="349"/>
      <c r="Q6911" s="349"/>
    </row>
    <row r="6912" spans="16:17" x14ac:dyDescent="0.3">
      <c r="P6912" s="349"/>
      <c r="Q6912" s="349"/>
    </row>
    <row r="6913" spans="16:17" x14ac:dyDescent="0.3">
      <c r="P6913" s="349"/>
      <c r="Q6913" s="349"/>
    </row>
    <row r="6914" spans="16:17" x14ac:dyDescent="0.3">
      <c r="P6914" s="349"/>
      <c r="Q6914" s="349"/>
    </row>
    <row r="6915" spans="16:17" x14ac:dyDescent="0.3">
      <c r="P6915" s="349"/>
      <c r="Q6915" s="349"/>
    </row>
    <row r="6916" spans="16:17" x14ac:dyDescent="0.3">
      <c r="P6916" s="349"/>
      <c r="Q6916" s="349"/>
    </row>
    <row r="6917" spans="16:17" x14ac:dyDescent="0.3">
      <c r="P6917" s="349"/>
      <c r="Q6917" s="349"/>
    </row>
    <row r="6918" spans="16:17" x14ac:dyDescent="0.3">
      <c r="P6918" s="349"/>
      <c r="Q6918" s="349"/>
    </row>
    <row r="6919" spans="16:17" x14ac:dyDescent="0.3">
      <c r="P6919" s="349"/>
      <c r="Q6919" s="349"/>
    </row>
    <row r="6920" spans="16:17" x14ac:dyDescent="0.3">
      <c r="P6920" s="349"/>
      <c r="Q6920" s="349"/>
    </row>
    <row r="6921" spans="16:17" x14ac:dyDescent="0.3">
      <c r="P6921" s="349"/>
      <c r="Q6921" s="349"/>
    </row>
    <row r="6922" spans="16:17" x14ac:dyDescent="0.3">
      <c r="P6922" s="349"/>
      <c r="Q6922" s="349"/>
    </row>
    <row r="6923" spans="16:17" x14ac:dyDescent="0.3">
      <c r="P6923" s="349"/>
      <c r="Q6923" s="349"/>
    </row>
    <row r="6924" spans="16:17" x14ac:dyDescent="0.3">
      <c r="P6924" s="349"/>
      <c r="Q6924" s="349"/>
    </row>
    <row r="6925" spans="16:17" x14ac:dyDescent="0.3">
      <c r="P6925" s="349"/>
      <c r="Q6925" s="349"/>
    </row>
    <row r="6926" spans="16:17" x14ac:dyDescent="0.3">
      <c r="P6926" s="349"/>
      <c r="Q6926" s="349"/>
    </row>
    <row r="6927" spans="16:17" x14ac:dyDescent="0.3">
      <c r="P6927" s="349"/>
      <c r="Q6927" s="349"/>
    </row>
    <row r="6928" spans="16:17" x14ac:dyDescent="0.3">
      <c r="P6928" s="349"/>
      <c r="Q6928" s="349"/>
    </row>
    <row r="6929" spans="16:17" x14ac:dyDescent="0.3">
      <c r="P6929" s="349"/>
      <c r="Q6929" s="349"/>
    </row>
    <row r="6930" spans="16:17" x14ac:dyDescent="0.3">
      <c r="P6930" s="349"/>
      <c r="Q6930" s="349"/>
    </row>
    <row r="6931" spans="16:17" x14ac:dyDescent="0.3">
      <c r="P6931" s="349"/>
      <c r="Q6931" s="349"/>
    </row>
    <row r="6932" spans="16:17" x14ac:dyDescent="0.3">
      <c r="P6932" s="349"/>
      <c r="Q6932" s="349"/>
    </row>
    <row r="6933" spans="16:17" x14ac:dyDescent="0.3">
      <c r="P6933" s="349"/>
      <c r="Q6933" s="349"/>
    </row>
    <row r="6934" spans="16:17" x14ac:dyDescent="0.3">
      <c r="P6934" s="349"/>
      <c r="Q6934" s="349"/>
    </row>
    <row r="6935" spans="16:17" x14ac:dyDescent="0.3">
      <c r="P6935" s="349"/>
      <c r="Q6935" s="349"/>
    </row>
    <row r="6936" spans="16:17" x14ac:dyDescent="0.3">
      <c r="P6936" s="349"/>
      <c r="Q6936" s="349"/>
    </row>
    <row r="6937" spans="16:17" x14ac:dyDescent="0.3">
      <c r="P6937" s="349"/>
      <c r="Q6937" s="349"/>
    </row>
    <row r="6938" spans="16:17" x14ac:dyDescent="0.3">
      <c r="P6938" s="349"/>
      <c r="Q6938" s="349"/>
    </row>
    <row r="6939" spans="16:17" x14ac:dyDescent="0.3">
      <c r="P6939" s="349"/>
      <c r="Q6939" s="349"/>
    </row>
    <row r="6940" spans="16:17" x14ac:dyDescent="0.3">
      <c r="P6940" s="349"/>
      <c r="Q6940" s="349"/>
    </row>
    <row r="6941" spans="16:17" x14ac:dyDescent="0.3">
      <c r="P6941" s="349"/>
      <c r="Q6941" s="349"/>
    </row>
    <row r="6942" spans="16:17" x14ac:dyDescent="0.3">
      <c r="P6942" s="349"/>
      <c r="Q6942" s="349"/>
    </row>
    <row r="6943" spans="16:17" x14ac:dyDescent="0.3">
      <c r="P6943" s="349"/>
      <c r="Q6943" s="349"/>
    </row>
    <row r="6944" spans="16:17" x14ac:dyDescent="0.3">
      <c r="P6944" s="349"/>
      <c r="Q6944" s="349"/>
    </row>
    <row r="6945" spans="16:17" x14ac:dyDescent="0.3">
      <c r="P6945" s="349"/>
      <c r="Q6945" s="349"/>
    </row>
    <row r="6946" spans="16:17" x14ac:dyDescent="0.3">
      <c r="P6946" s="349"/>
      <c r="Q6946" s="349"/>
    </row>
    <row r="6947" spans="16:17" x14ac:dyDescent="0.3">
      <c r="P6947" s="349"/>
      <c r="Q6947" s="349"/>
    </row>
    <row r="6948" spans="16:17" x14ac:dyDescent="0.3">
      <c r="P6948" s="349"/>
      <c r="Q6948" s="349"/>
    </row>
    <row r="6949" spans="16:17" x14ac:dyDescent="0.3">
      <c r="P6949" s="349"/>
      <c r="Q6949" s="349"/>
    </row>
    <row r="6950" spans="16:17" x14ac:dyDescent="0.3">
      <c r="P6950" s="349"/>
      <c r="Q6950" s="349"/>
    </row>
    <row r="6951" spans="16:17" x14ac:dyDescent="0.3">
      <c r="P6951" s="349"/>
      <c r="Q6951" s="349"/>
    </row>
    <row r="6952" spans="16:17" x14ac:dyDescent="0.3">
      <c r="P6952" s="349"/>
      <c r="Q6952" s="349"/>
    </row>
    <row r="6953" spans="16:17" x14ac:dyDescent="0.3">
      <c r="P6953" s="349"/>
      <c r="Q6953" s="349"/>
    </row>
    <row r="6954" spans="16:17" x14ac:dyDescent="0.3">
      <c r="P6954" s="349"/>
      <c r="Q6954" s="349"/>
    </row>
    <row r="6955" spans="16:17" x14ac:dyDescent="0.3">
      <c r="P6955" s="349"/>
      <c r="Q6955" s="349"/>
    </row>
    <row r="6956" spans="16:17" x14ac:dyDescent="0.3">
      <c r="P6956" s="349"/>
      <c r="Q6956" s="349"/>
    </row>
    <row r="6957" spans="16:17" x14ac:dyDescent="0.3">
      <c r="P6957" s="349"/>
      <c r="Q6957" s="349"/>
    </row>
    <row r="6958" spans="16:17" x14ac:dyDescent="0.3">
      <c r="P6958" s="349"/>
      <c r="Q6958" s="349"/>
    </row>
    <row r="6959" spans="16:17" x14ac:dyDescent="0.3">
      <c r="P6959" s="349"/>
      <c r="Q6959" s="349"/>
    </row>
    <row r="6960" spans="16:17" x14ac:dyDescent="0.3">
      <c r="P6960" s="349"/>
      <c r="Q6960" s="349"/>
    </row>
    <row r="6961" spans="16:17" x14ac:dyDescent="0.3">
      <c r="P6961" s="349"/>
      <c r="Q6961" s="349"/>
    </row>
    <row r="6962" spans="16:17" x14ac:dyDescent="0.3">
      <c r="P6962" s="349"/>
      <c r="Q6962" s="349"/>
    </row>
    <row r="6963" spans="16:17" x14ac:dyDescent="0.3">
      <c r="P6963" s="349"/>
      <c r="Q6963" s="349"/>
    </row>
    <row r="6964" spans="16:17" x14ac:dyDescent="0.3">
      <c r="P6964" s="349"/>
      <c r="Q6964" s="349"/>
    </row>
    <row r="6965" spans="16:17" x14ac:dyDescent="0.3">
      <c r="P6965" s="349"/>
      <c r="Q6965" s="349"/>
    </row>
    <row r="6966" spans="16:17" x14ac:dyDescent="0.3">
      <c r="P6966" s="349"/>
      <c r="Q6966" s="349"/>
    </row>
    <row r="6967" spans="16:17" x14ac:dyDescent="0.3">
      <c r="P6967" s="349"/>
      <c r="Q6967" s="349"/>
    </row>
    <row r="6968" spans="16:17" x14ac:dyDescent="0.3">
      <c r="P6968" s="349"/>
      <c r="Q6968" s="349"/>
    </row>
    <row r="6969" spans="16:17" x14ac:dyDescent="0.3">
      <c r="P6969" s="349"/>
      <c r="Q6969" s="349"/>
    </row>
    <row r="6970" spans="16:17" x14ac:dyDescent="0.3">
      <c r="P6970" s="349"/>
      <c r="Q6970" s="349"/>
    </row>
    <row r="6971" spans="16:17" x14ac:dyDescent="0.3">
      <c r="P6971" s="349"/>
      <c r="Q6971" s="349"/>
    </row>
    <row r="6972" spans="16:17" x14ac:dyDescent="0.3">
      <c r="P6972" s="349"/>
      <c r="Q6972" s="349"/>
    </row>
    <row r="6973" spans="16:17" x14ac:dyDescent="0.3">
      <c r="P6973" s="349"/>
      <c r="Q6973" s="349"/>
    </row>
    <row r="6974" spans="16:17" x14ac:dyDescent="0.3">
      <c r="P6974" s="349"/>
      <c r="Q6974" s="349"/>
    </row>
    <row r="6975" spans="16:17" x14ac:dyDescent="0.3">
      <c r="P6975" s="349"/>
      <c r="Q6975" s="349"/>
    </row>
    <row r="6976" spans="16:17" x14ac:dyDescent="0.3">
      <c r="P6976" s="349"/>
      <c r="Q6976" s="349"/>
    </row>
    <row r="6977" spans="16:17" x14ac:dyDescent="0.3">
      <c r="P6977" s="349"/>
      <c r="Q6977" s="349"/>
    </row>
    <row r="6978" spans="16:17" x14ac:dyDescent="0.3">
      <c r="P6978" s="349"/>
      <c r="Q6978" s="349"/>
    </row>
    <row r="6979" spans="16:17" x14ac:dyDescent="0.3">
      <c r="P6979" s="349"/>
      <c r="Q6979" s="349"/>
    </row>
    <row r="6980" spans="16:17" x14ac:dyDescent="0.3">
      <c r="P6980" s="349"/>
      <c r="Q6980" s="349"/>
    </row>
    <row r="6981" spans="16:17" x14ac:dyDescent="0.3">
      <c r="P6981" s="349"/>
      <c r="Q6981" s="349"/>
    </row>
    <row r="6982" spans="16:17" x14ac:dyDescent="0.3">
      <c r="P6982" s="349"/>
      <c r="Q6982" s="349"/>
    </row>
    <row r="6983" spans="16:17" x14ac:dyDescent="0.3">
      <c r="P6983" s="349"/>
      <c r="Q6983" s="349"/>
    </row>
    <row r="6984" spans="16:17" x14ac:dyDescent="0.3">
      <c r="P6984" s="349"/>
      <c r="Q6984" s="349"/>
    </row>
    <row r="6985" spans="16:17" x14ac:dyDescent="0.3">
      <c r="P6985" s="349"/>
      <c r="Q6985" s="349"/>
    </row>
    <row r="6986" spans="16:17" x14ac:dyDescent="0.3">
      <c r="P6986" s="349"/>
      <c r="Q6986" s="349"/>
    </row>
    <row r="6987" spans="16:17" x14ac:dyDescent="0.3">
      <c r="P6987" s="349"/>
      <c r="Q6987" s="349"/>
    </row>
    <row r="6988" spans="16:17" x14ac:dyDescent="0.3">
      <c r="P6988" s="349"/>
      <c r="Q6988" s="349"/>
    </row>
    <row r="6989" spans="16:17" x14ac:dyDescent="0.3">
      <c r="P6989" s="349"/>
      <c r="Q6989" s="349"/>
    </row>
    <row r="6990" spans="16:17" x14ac:dyDescent="0.3">
      <c r="P6990" s="349"/>
      <c r="Q6990" s="349"/>
    </row>
    <row r="6991" spans="16:17" x14ac:dyDescent="0.3">
      <c r="P6991" s="349"/>
      <c r="Q6991" s="349"/>
    </row>
    <row r="6992" spans="16:17" x14ac:dyDescent="0.3">
      <c r="P6992" s="349"/>
      <c r="Q6992" s="349"/>
    </row>
    <row r="6993" spans="16:17" x14ac:dyDescent="0.3">
      <c r="P6993" s="349"/>
      <c r="Q6993" s="349"/>
    </row>
    <row r="6994" spans="16:17" x14ac:dyDescent="0.3">
      <c r="P6994" s="349"/>
      <c r="Q6994" s="349"/>
    </row>
    <row r="6995" spans="16:17" x14ac:dyDescent="0.3">
      <c r="P6995" s="349"/>
      <c r="Q6995" s="349"/>
    </row>
    <row r="6996" spans="16:17" x14ac:dyDescent="0.3">
      <c r="P6996" s="349"/>
      <c r="Q6996" s="349"/>
    </row>
    <row r="6997" spans="16:17" x14ac:dyDescent="0.3">
      <c r="P6997" s="349"/>
      <c r="Q6997" s="349"/>
    </row>
    <row r="6998" spans="16:17" x14ac:dyDescent="0.3">
      <c r="P6998" s="349"/>
      <c r="Q6998" s="349"/>
    </row>
    <row r="6999" spans="16:17" x14ac:dyDescent="0.3">
      <c r="P6999" s="349"/>
      <c r="Q6999" s="349"/>
    </row>
    <row r="7000" spans="16:17" x14ac:dyDescent="0.3">
      <c r="P7000" s="349"/>
      <c r="Q7000" s="349"/>
    </row>
    <row r="7001" spans="16:17" x14ac:dyDescent="0.3">
      <c r="P7001" s="349"/>
      <c r="Q7001" s="349"/>
    </row>
    <row r="7002" spans="16:17" x14ac:dyDescent="0.3">
      <c r="P7002" s="349"/>
      <c r="Q7002" s="349"/>
    </row>
    <row r="7003" spans="16:17" x14ac:dyDescent="0.3">
      <c r="P7003" s="349"/>
      <c r="Q7003" s="349"/>
    </row>
    <row r="7004" spans="16:17" x14ac:dyDescent="0.3">
      <c r="P7004" s="349"/>
      <c r="Q7004" s="349"/>
    </row>
    <row r="7005" spans="16:17" x14ac:dyDescent="0.3">
      <c r="P7005" s="349"/>
      <c r="Q7005" s="349"/>
    </row>
    <row r="7006" spans="16:17" x14ac:dyDescent="0.3">
      <c r="P7006" s="349"/>
      <c r="Q7006" s="349"/>
    </row>
    <row r="7007" spans="16:17" x14ac:dyDescent="0.3">
      <c r="P7007" s="349"/>
      <c r="Q7007" s="349"/>
    </row>
    <row r="7008" spans="16:17" x14ac:dyDescent="0.3">
      <c r="P7008" s="349"/>
      <c r="Q7008" s="349"/>
    </row>
    <row r="7009" spans="16:17" x14ac:dyDescent="0.3">
      <c r="P7009" s="349"/>
      <c r="Q7009" s="349"/>
    </row>
    <row r="7010" spans="16:17" x14ac:dyDescent="0.3">
      <c r="P7010" s="349"/>
      <c r="Q7010" s="349"/>
    </row>
    <row r="7011" spans="16:17" x14ac:dyDescent="0.3">
      <c r="P7011" s="349"/>
      <c r="Q7011" s="349"/>
    </row>
    <row r="7012" spans="16:17" x14ac:dyDescent="0.3">
      <c r="P7012" s="349"/>
      <c r="Q7012" s="349"/>
    </row>
    <row r="7013" spans="16:17" x14ac:dyDescent="0.3">
      <c r="P7013" s="349"/>
      <c r="Q7013" s="349"/>
    </row>
    <row r="7014" spans="16:17" x14ac:dyDescent="0.3">
      <c r="P7014" s="349"/>
      <c r="Q7014" s="349"/>
    </row>
    <row r="7015" spans="16:17" x14ac:dyDescent="0.3">
      <c r="P7015" s="349"/>
      <c r="Q7015" s="349"/>
    </row>
    <row r="7016" spans="16:17" x14ac:dyDescent="0.3">
      <c r="P7016" s="349"/>
      <c r="Q7016" s="349"/>
    </row>
    <row r="7017" spans="16:17" x14ac:dyDescent="0.3">
      <c r="P7017" s="349"/>
      <c r="Q7017" s="349"/>
    </row>
    <row r="7018" spans="16:17" x14ac:dyDescent="0.3">
      <c r="P7018" s="349"/>
      <c r="Q7018" s="349"/>
    </row>
    <row r="7019" spans="16:17" x14ac:dyDescent="0.3">
      <c r="P7019" s="349"/>
      <c r="Q7019" s="349"/>
    </row>
    <row r="7020" spans="16:17" x14ac:dyDescent="0.3">
      <c r="P7020" s="349"/>
      <c r="Q7020" s="349"/>
    </row>
    <row r="7021" spans="16:17" x14ac:dyDescent="0.3">
      <c r="P7021" s="349"/>
      <c r="Q7021" s="349"/>
    </row>
    <row r="7022" spans="16:17" x14ac:dyDescent="0.3">
      <c r="P7022" s="349"/>
      <c r="Q7022" s="349"/>
    </row>
    <row r="7023" spans="16:17" x14ac:dyDescent="0.3">
      <c r="P7023" s="349"/>
      <c r="Q7023" s="349"/>
    </row>
    <row r="7024" spans="16:17" x14ac:dyDescent="0.3">
      <c r="P7024" s="349"/>
      <c r="Q7024" s="349"/>
    </row>
    <row r="7025" spans="16:17" x14ac:dyDescent="0.3">
      <c r="P7025" s="349"/>
      <c r="Q7025" s="349"/>
    </row>
    <row r="7026" spans="16:17" x14ac:dyDescent="0.3">
      <c r="P7026" s="349"/>
      <c r="Q7026" s="349"/>
    </row>
    <row r="7027" spans="16:17" x14ac:dyDescent="0.3">
      <c r="P7027" s="349"/>
      <c r="Q7027" s="349"/>
    </row>
    <row r="7028" spans="16:17" x14ac:dyDescent="0.3">
      <c r="P7028" s="349"/>
      <c r="Q7028" s="349"/>
    </row>
    <row r="7029" spans="16:17" x14ac:dyDescent="0.3">
      <c r="P7029" s="349"/>
      <c r="Q7029" s="349"/>
    </row>
    <row r="7030" spans="16:17" x14ac:dyDescent="0.3">
      <c r="P7030" s="349"/>
      <c r="Q7030" s="349"/>
    </row>
    <row r="7031" spans="16:17" x14ac:dyDescent="0.3">
      <c r="P7031" s="349"/>
      <c r="Q7031" s="349"/>
    </row>
    <row r="7032" spans="16:17" x14ac:dyDescent="0.3">
      <c r="P7032" s="349"/>
      <c r="Q7032" s="349"/>
    </row>
    <row r="7033" spans="16:17" x14ac:dyDescent="0.3">
      <c r="P7033" s="349"/>
      <c r="Q7033" s="349"/>
    </row>
    <row r="7034" spans="16:17" x14ac:dyDescent="0.3">
      <c r="P7034" s="349"/>
      <c r="Q7034" s="349"/>
    </row>
    <row r="7035" spans="16:17" x14ac:dyDescent="0.3">
      <c r="P7035" s="349"/>
      <c r="Q7035" s="349"/>
    </row>
    <row r="7036" spans="16:17" x14ac:dyDescent="0.3">
      <c r="P7036" s="349"/>
      <c r="Q7036" s="349"/>
    </row>
    <row r="7037" spans="16:17" x14ac:dyDescent="0.3">
      <c r="P7037" s="349"/>
      <c r="Q7037" s="349"/>
    </row>
    <row r="7038" spans="16:17" x14ac:dyDescent="0.3">
      <c r="P7038" s="349"/>
      <c r="Q7038" s="349"/>
    </row>
    <row r="7039" spans="16:17" x14ac:dyDescent="0.3">
      <c r="P7039" s="349"/>
      <c r="Q7039" s="349"/>
    </row>
    <row r="7040" spans="16:17" x14ac:dyDescent="0.3">
      <c r="P7040" s="349"/>
      <c r="Q7040" s="349"/>
    </row>
    <row r="7041" spans="16:17" x14ac:dyDescent="0.3">
      <c r="P7041" s="349"/>
      <c r="Q7041" s="349"/>
    </row>
    <row r="7042" spans="16:17" x14ac:dyDescent="0.3">
      <c r="P7042" s="349"/>
      <c r="Q7042" s="349"/>
    </row>
    <row r="7043" spans="16:17" x14ac:dyDescent="0.3">
      <c r="P7043" s="349"/>
      <c r="Q7043" s="349"/>
    </row>
    <row r="7044" spans="16:17" x14ac:dyDescent="0.3">
      <c r="P7044" s="349"/>
      <c r="Q7044" s="349"/>
    </row>
    <row r="7045" spans="16:17" x14ac:dyDescent="0.3">
      <c r="P7045" s="349"/>
      <c r="Q7045" s="349"/>
    </row>
    <row r="7046" spans="16:17" x14ac:dyDescent="0.3">
      <c r="P7046" s="349"/>
      <c r="Q7046" s="349"/>
    </row>
    <row r="7047" spans="16:17" x14ac:dyDescent="0.3">
      <c r="P7047" s="349"/>
      <c r="Q7047" s="349"/>
    </row>
    <row r="7048" spans="16:17" x14ac:dyDescent="0.3">
      <c r="P7048" s="349"/>
      <c r="Q7048" s="349"/>
    </row>
    <row r="7049" spans="16:17" x14ac:dyDescent="0.3">
      <c r="P7049" s="349"/>
      <c r="Q7049" s="349"/>
    </row>
    <row r="7050" spans="16:17" x14ac:dyDescent="0.3">
      <c r="P7050" s="349"/>
      <c r="Q7050" s="349"/>
    </row>
    <row r="7051" spans="16:17" x14ac:dyDescent="0.3">
      <c r="P7051" s="349"/>
      <c r="Q7051" s="349"/>
    </row>
    <row r="7052" spans="16:17" x14ac:dyDescent="0.3">
      <c r="P7052" s="349"/>
      <c r="Q7052" s="349"/>
    </row>
    <row r="7053" spans="16:17" x14ac:dyDescent="0.3">
      <c r="P7053" s="349"/>
      <c r="Q7053" s="349"/>
    </row>
    <row r="7054" spans="16:17" x14ac:dyDescent="0.3">
      <c r="P7054" s="349"/>
      <c r="Q7054" s="349"/>
    </row>
    <row r="7055" spans="16:17" x14ac:dyDescent="0.3">
      <c r="P7055" s="349"/>
      <c r="Q7055" s="349"/>
    </row>
    <row r="7056" spans="16:17" x14ac:dyDescent="0.3">
      <c r="P7056" s="349"/>
      <c r="Q7056" s="349"/>
    </row>
    <row r="7057" spans="16:17" x14ac:dyDescent="0.3">
      <c r="P7057" s="349"/>
      <c r="Q7057" s="349"/>
    </row>
    <row r="7058" spans="16:17" x14ac:dyDescent="0.3">
      <c r="P7058" s="349"/>
      <c r="Q7058" s="349"/>
    </row>
    <row r="7059" spans="16:17" x14ac:dyDescent="0.3">
      <c r="P7059" s="349"/>
      <c r="Q7059" s="349"/>
    </row>
    <row r="7060" spans="16:17" x14ac:dyDescent="0.3">
      <c r="P7060" s="349"/>
      <c r="Q7060" s="349"/>
    </row>
    <row r="7061" spans="16:17" x14ac:dyDescent="0.3">
      <c r="P7061" s="349"/>
      <c r="Q7061" s="349"/>
    </row>
    <row r="7062" spans="16:17" x14ac:dyDescent="0.3">
      <c r="P7062" s="349"/>
      <c r="Q7062" s="349"/>
    </row>
    <row r="7063" spans="16:17" x14ac:dyDescent="0.3">
      <c r="P7063" s="349"/>
      <c r="Q7063" s="349"/>
    </row>
    <row r="7064" spans="16:17" x14ac:dyDescent="0.3">
      <c r="P7064" s="349"/>
      <c r="Q7064" s="349"/>
    </row>
    <row r="7065" spans="16:17" x14ac:dyDescent="0.3">
      <c r="P7065" s="349"/>
      <c r="Q7065" s="349"/>
    </row>
    <row r="7066" spans="16:17" x14ac:dyDescent="0.3">
      <c r="P7066" s="349"/>
      <c r="Q7066" s="349"/>
    </row>
    <row r="7067" spans="16:17" x14ac:dyDescent="0.3">
      <c r="P7067" s="349"/>
      <c r="Q7067" s="349"/>
    </row>
    <row r="7068" spans="16:17" x14ac:dyDescent="0.3">
      <c r="P7068" s="349"/>
      <c r="Q7068" s="349"/>
    </row>
    <row r="7069" spans="16:17" x14ac:dyDescent="0.3">
      <c r="P7069" s="349"/>
      <c r="Q7069" s="349"/>
    </row>
    <row r="7070" spans="16:17" x14ac:dyDescent="0.3">
      <c r="P7070" s="349"/>
      <c r="Q7070" s="349"/>
    </row>
    <row r="7071" spans="16:17" x14ac:dyDescent="0.3">
      <c r="P7071" s="349"/>
      <c r="Q7071" s="349"/>
    </row>
    <row r="7072" spans="16:17" x14ac:dyDescent="0.3">
      <c r="P7072" s="349"/>
      <c r="Q7072" s="349"/>
    </row>
    <row r="7073" spans="16:17" x14ac:dyDescent="0.3">
      <c r="P7073" s="349"/>
      <c r="Q7073" s="349"/>
    </row>
    <row r="7074" spans="16:17" x14ac:dyDescent="0.3">
      <c r="P7074" s="349"/>
      <c r="Q7074" s="349"/>
    </row>
    <row r="7075" spans="16:17" x14ac:dyDescent="0.3">
      <c r="P7075" s="349"/>
      <c r="Q7075" s="349"/>
    </row>
    <row r="7076" spans="16:17" x14ac:dyDescent="0.3">
      <c r="P7076" s="349"/>
      <c r="Q7076" s="349"/>
    </row>
    <row r="7077" spans="16:17" x14ac:dyDescent="0.3">
      <c r="P7077" s="349"/>
      <c r="Q7077" s="349"/>
    </row>
    <row r="7078" spans="16:17" x14ac:dyDescent="0.3">
      <c r="P7078" s="349"/>
      <c r="Q7078" s="349"/>
    </row>
    <row r="7079" spans="16:17" x14ac:dyDescent="0.3">
      <c r="P7079" s="349"/>
      <c r="Q7079" s="349"/>
    </row>
    <row r="7080" spans="16:17" x14ac:dyDescent="0.3">
      <c r="P7080" s="349"/>
      <c r="Q7080" s="349"/>
    </row>
    <row r="7081" spans="16:17" x14ac:dyDescent="0.3">
      <c r="P7081" s="349"/>
      <c r="Q7081" s="349"/>
    </row>
    <row r="7082" spans="16:17" x14ac:dyDescent="0.3">
      <c r="P7082" s="349"/>
      <c r="Q7082" s="349"/>
    </row>
    <row r="7083" spans="16:17" x14ac:dyDescent="0.3">
      <c r="P7083" s="349"/>
      <c r="Q7083" s="349"/>
    </row>
    <row r="7084" spans="16:17" x14ac:dyDescent="0.3">
      <c r="P7084" s="349"/>
      <c r="Q7084" s="349"/>
    </row>
    <row r="7085" spans="16:17" x14ac:dyDescent="0.3">
      <c r="P7085" s="349"/>
      <c r="Q7085" s="349"/>
    </row>
    <row r="7086" spans="16:17" x14ac:dyDescent="0.3">
      <c r="P7086" s="349"/>
      <c r="Q7086" s="349"/>
    </row>
    <row r="7087" spans="16:17" x14ac:dyDescent="0.3">
      <c r="P7087" s="349"/>
      <c r="Q7087" s="349"/>
    </row>
    <row r="7088" spans="16:17" x14ac:dyDescent="0.3">
      <c r="P7088" s="349"/>
      <c r="Q7088" s="349"/>
    </row>
    <row r="7089" spans="16:17" x14ac:dyDescent="0.3">
      <c r="P7089" s="349"/>
      <c r="Q7089" s="349"/>
    </row>
    <row r="7090" spans="16:17" x14ac:dyDescent="0.3">
      <c r="P7090" s="349"/>
      <c r="Q7090" s="349"/>
    </row>
    <row r="7091" spans="16:17" x14ac:dyDescent="0.3">
      <c r="P7091" s="349"/>
      <c r="Q7091" s="349"/>
    </row>
    <row r="7092" spans="16:17" x14ac:dyDescent="0.3">
      <c r="P7092" s="349"/>
      <c r="Q7092" s="349"/>
    </row>
    <row r="7093" spans="16:17" x14ac:dyDescent="0.3">
      <c r="P7093" s="349"/>
      <c r="Q7093" s="349"/>
    </row>
    <row r="7094" spans="16:17" x14ac:dyDescent="0.3">
      <c r="P7094" s="349"/>
      <c r="Q7094" s="349"/>
    </row>
    <row r="7095" spans="16:17" x14ac:dyDescent="0.3">
      <c r="P7095" s="349"/>
      <c r="Q7095" s="349"/>
    </row>
    <row r="7096" spans="16:17" x14ac:dyDescent="0.3">
      <c r="P7096" s="349"/>
      <c r="Q7096" s="349"/>
    </row>
    <row r="7097" spans="16:17" x14ac:dyDescent="0.3">
      <c r="P7097" s="349"/>
      <c r="Q7097" s="349"/>
    </row>
    <row r="7098" spans="16:17" x14ac:dyDescent="0.3">
      <c r="P7098" s="349"/>
      <c r="Q7098" s="349"/>
    </row>
    <row r="7099" spans="16:17" x14ac:dyDescent="0.3">
      <c r="P7099" s="349"/>
      <c r="Q7099" s="349"/>
    </row>
    <row r="7100" spans="16:17" x14ac:dyDescent="0.3">
      <c r="P7100" s="349"/>
      <c r="Q7100" s="349"/>
    </row>
    <row r="7101" spans="16:17" x14ac:dyDescent="0.3">
      <c r="P7101" s="349"/>
      <c r="Q7101" s="349"/>
    </row>
    <row r="7102" spans="16:17" x14ac:dyDescent="0.3">
      <c r="P7102" s="349"/>
      <c r="Q7102" s="349"/>
    </row>
    <row r="7103" spans="16:17" x14ac:dyDescent="0.3">
      <c r="P7103" s="349"/>
      <c r="Q7103" s="349"/>
    </row>
    <row r="7104" spans="16:17" x14ac:dyDescent="0.3">
      <c r="P7104" s="349"/>
      <c r="Q7104" s="349"/>
    </row>
    <row r="7105" spans="16:17" x14ac:dyDescent="0.3">
      <c r="P7105" s="349"/>
      <c r="Q7105" s="349"/>
    </row>
    <row r="7106" spans="16:17" x14ac:dyDescent="0.3">
      <c r="P7106" s="349"/>
      <c r="Q7106" s="349"/>
    </row>
    <row r="7107" spans="16:17" x14ac:dyDescent="0.3">
      <c r="P7107" s="349"/>
      <c r="Q7107" s="349"/>
    </row>
    <row r="7108" spans="16:17" x14ac:dyDescent="0.3">
      <c r="P7108" s="349"/>
      <c r="Q7108" s="349"/>
    </row>
    <row r="7109" spans="16:17" x14ac:dyDescent="0.3">
      <c r="P7109" s="349"/>
      <c r="Q7109" s="349"/>
    </row>
    <row r="7110" spans="16:17" x14ac:dyDescent="0.3">
      <c r="P7110" s="349"/>
      <c r="Q7110" s="349"/>
    </row>
    <row r="7111" spans="16:17" x14ac:dyDescent="0.3">
      <c r="P7111" s="349"/>
      <c r="Q7111" s="349"/>
    </row>
    <row r="7112" spans="16:17" x14ac:dyDescent="0.3">
      <c r="P7112" s="349"/>
      <c r="Q7112" s="349"/>
    </row>
    <row r="7113" spans="16:17" x14ac:dyDescent="0.3">
      <c r="P7113" s="349"/>
      <c r="Q7113" s="349"/>
    </row>
    <row r="7114" spans="16:17" x14ac:dyDescent="0.3">
      <c r="P7114" s="349"/>
      <c r="Q7114" s="349"/>
    </row>
    <row r="7115" spans="16:17" x14ac:dyDescent="0.3">
      <c r="P7115" s="349"/>
      <c r="Q7115" s="349"/>
    </row>
    <row r="7116" spans="16:17" x14ac:dyDescent="0.3">
      <c r="P7116" s="349"/>
      <c r="Q7116" s="349"/>
    </row>
    <row r="7117" spans="16:17" x14ac:dyDescent="0.3">
      <c r="P7117" s="349"/>
      <c r="Q7117" s="349"/>
    </row>
    <row r="7118" spans="16:17" x14ac:dyDescent="0.3">
      <c r="P7118" s="349"/>
      <c r="Q7118" s="349"/>
    </row>
    <row r="7119" spans="16:17" x14ac:dyDescent="0.3">
      <c r="P7119" s="349"/>
      <c r="Q7119" s="349"/>
    </row>
    <row r="7120" spans="16:17" x14ac:dyDescent="0.3">
      <c r="P7120" s="349"/>
      <c r="Q7120" s="349"/>
    </row>
    <row r="7121" spans="16:17" x14ac:dyDescent="0.3">
      <c r="P7121" s="349"/>
      <c r="Q7121" s="349"/>
    </row>
    <row r="7122" spans="16:17" x14ac:dyDescent="0.3">
      <c r="P7122" s="349"/>
      <c r="Q7122" s="349"/>
    </row>
    <row r="7123" spans="16:17" x14ac:dyDescent="0.3">
      <c r="P7123" s="349"/>
      <c r="Q7123" s="349"/>
    </row>
    <row r="7124" spans="16:17" x14ac:dyDescent="0.3">
      <c r="P7124" s="349"/>
      <c r="Q7124" s="349"/>
    </row>
    <row r="7125" spans="16:17" x14ac:dyDescent="0.3">
      <c r="P7125" s="349"/>
      <c r="Q7125" s="349"/>
    </row>
    <row r="7126" spans="16:17" x14ac:dyDescent="0.3">
      <c r="P7126" s="349"/>
      <c r="Q7126" s="349"/>
    </row>
    <row r="7127" spans="16:17" x14ac:dyDescent="0.3">
      <c r="P7127" s="349"/>
      <c r="Q7127" s="349"/>
    </row>
    <row r="7128" spans="16:17" x14ac:dyDescent="0.3">
      <c r="P7128" s="349"/>
      <c r="Q7128" s="349"/>
    </row>
    <row r="7129" spans="16:17" x14ac:dyDescent="0.3">
      <c r="P7129" s="349"/>
      <c r="Q7129" s="349"/>
    </row>
    <row r="7130" spans="16:17" x14ac:dyDescent="0.3">
      <c r="P7130" s="349"/>
      <c r="Q7130" s="349"/>
    </row>
    <row r="7131" spans="16:17" x14ac:dyDescent="0.3">
      <c r="P7131" s="349"/>
      <c r="Q7131" s="349"/>
    </row>
    <row r="7132" spans="16:17" x14ac:dyDescent="0.3">
      <c r="P7132" s="349"/>
      <c r="Q7132" s="349"/>
    </row>
    <row r="7133" spans="16:17" x14ac:dyDescent="0.3">
      <c r="P7133" s="349"/>
      <c r="Q7133" s="349"/>
    </row>
    <row r="7134" spans="16:17" x14ac:dyDescent="0.3">
      <c r="P7134" s="349"/>
      <c r="Q7134" s="349"/>
    </row>
    <row r="7135" spans="16:17" x14ac:dyDescent="0.3">
      <c r="P7135" s="349"/>
      <c r="Q7135" s="349"/>
    </row>
    <row r="7136" spans="16:17" x14ac:dyDescent="0.3">
      <c r="P7136" s="349"/>
      <c r="Q7136" s="349"/>
    </row>
    <row r="7137" spans="16:17" x14ac:dyDescent="0.3">
      <c r="P7137" s="349"/>
      <c r="Q7137" s="349"/>
    </row>
    <row r="7138" spans="16:17" x14ac:dyDescent="0.3">
      <c r="P7138" s="349"/>
      <c r="Q7138" s="349"/>
    </row>
    <row r="7139" spans="16:17" x14ac:dyDescent="0.3">
      <c r="P7139" s="349"/>
      <c r="Q7139" s="349"/>
    </row>
    <row r="7140" spans="16:17" x14ac:dyDescent="0.3">
      <c r="P7140" s="349"/>
      <c r="Q7140" s="349"/>
    </row>
    <row r="7141" spans="16:17" x14ac:dyDescent="0.3">
      <c r="P7141" s="349"/>
      <c r="Q7141" s="349"/>
    </row>
    <row r="7142" spans="16:17" x14ac:dyDescent="0.3">
      <c r="P7142" s="349"/>
      <c r="Q7142" s="349"/>
    </row>
    <row r="7143" spans="16:17" x14ac:dyDescent="0.3">
      <c r="P7143" s="349"/>
      <c r="Q7143" s="349"/>
    </row>
    <row r="7144" spans="16:17" x14ac:dyDescent="0.3">
      <c r="P7144" s="349"/>
      <c r="Q7144" s="349"/>
    </row>
    <row r="7145" spans="16:17" x14ac:dyDescent="0.3">
      <c r="P7145" s="349"/>
      <c r="Q7145" s="349"/>
    </row>
    <row r="7146" spans="16:17" x14ac:dyDescent="0.3">
      <c r="P7146" s="349"/>
      <c r="Q7146" s="349"/>
    </row>
    <row r="7147" spans="16:17" x14ac:dyDescent="0.3">
      <c r="P7147" s="349"/>
      <c r="Q7147" s="349"/>
    </row>
    <row r="7148" spans="16:17" x14ac:dyDescent="0.3">
      <c r="P7148" s="349"/>
      <c r="Q7148" s="349"/>
    </row>
    <row r="7149" spans="16:17" x14ac:dyDescent="0.3">
      <c r="P7149" s="349"/>
      <c r="Q7149" s="349"/>
    </row>
    <row r="7150" spans="16:17" x14ac:dyDescent="0.3">
      <c r="P7150" s="349"/>
      <c r="Q7150" s="349"/>
    </row>
    <row r="7151" spans="16:17" x14ac:dyDescent="0.3">
      <c r="P7151" s="349"/>
      <c r="Q7151" s="349"/>
    </row>
    <row r="7152" spans="16:17" x14ac:dyDescent="0.3">
      <c r="P7152" s="349"/>
      <c r="Q7152" s="349"/>
    </row>
    <row r="7153" spans="16:17" x14ac:dyDescent="0.3">
      <c r="P7153" s="349"/>
      <c r="Q7153" s="349"/>
    </row>
    <row r="7154" spans="16:17" x14ac:dyDescent="0.3">
      <c r="P7154" s="349"/>
      <c r="Q7154" s="349"/>
    </row>
    <row r="7155" spans="16:17" x14ac:dyDescent="0.3">
      <c r="P7155" s="349"/>
      <c r="Q7155" s="349"/>
    </row>
    <row r="7156" spans="16:17" x14ac:dyDescent="0.3">
      <c r="P7156" s="349"/>
      <c r="Q7156" s="349"/>
    </row>
    <row r="7157" spans="16:17" x14ac:dyDescent="0.3">
      <c r="P7157" s="349"/>
      <c r="Q7157" s="349"/>
    </row>
    <row r="7158" spans="16:17" x14ac:dyDescent="0.3">
      <c r="P7158" s="349"/>
      <c r="Q7158" s="349"/>
    </row>
    <row r="7159" spans="16:17" x14ac:dyDescent="0.3">
      <c r="P7159" s="349"/>
      <c r="Q7159" s="349"/>
    </row>
    <row r="7160" spans="16:17" x14ac:dyDescent="0.3">
      <c r="P7160" s="349"/>
      <c r="Q7160" s="349"/>
    </row>
    <row r="7161" spans="16:17" x14ac:dyDescent="0.3">
      <c r="P7161" s="349"/>
      <c r="Q7161" s="349"/>
    </row>
    <row r="7162" spans="16:17" x14ac:dyDescent="0.3">
      <c r="P7162" s="349"/>
      <c r="Q7162" s="349"/>
    </row>
    <row r="7163" spans="16:17" x14ac:dyDescent="0.3">
      <c r="P7163" s="349"/>
      <c r="Q7163" s="349"/>
    </row>
    <row r="7164" spans="16:17" x14ac:dyDescent="0.3">
      <c r="P7164" s="349"/>
      <c r="Q7164" s="349"/>
    </row>
    <row r="7165" spans="16:17" x14ac:dyDescent="0.3">
      <c r="P7165" s="349"/>
      <c r="Q7165" s="349"/>
    </row>
    <row r="7166" spans="16:17" x14ac:dyDescent="0.3">
      <c r="P7166" s="349"/>
      <c r="Q7166" s="349"/>
    </row>
    <row r="7167" spans="16:17" x14ac:dyDescent="0.3">
      <c r="P7167" s="349"/>
      <c r="Q7167" s="349"/>
    </row>
    <row r="7168" spans="16:17" x14ac:dyDescent="0.3">
      <c r="P7168" s="349"/>
      <c r="Q7168" s="349"/>
    </row>
    <row r="7169" spans="16:17" x14ac:dyDescent="0.3">
      <c r="P7169" s="349"/>
      <c r="Q7169" s="349"/>
    </row>
    <row r="7170" spans="16:17" x14ac:dyDescent="0.3">
      <c r="P7170" s="349"/>
      <c r="Q7170" s="349"/>
    </row>
    <row r="7171" spans="16:17" x14ac:dyDescent="0.3">
      <c r="P7171" s="349"/>
      <c r="Q7171" s="349"/>
    </row>
    <row r="7172" spans="16:17" x14ac:dyDescent="0.3">
      <c r="P7172" s="349"/>
      <c r="Q7172" s="349"/>
    </row>
    <row r="7173" spans="16:17" x14ac:dyDescent="0.3">
      <c r="P7173" s="349"/>
      <c r="Q7173" s="349"/>
    </row>
    <row r="7174" spans="16:17" x14ac:dyDescent="0.3">
      <c r="P7174" s="349"/>
      <c r="Q7174" s="349"/>
    </row>
    <row r="7175" spans="16:17" x14ac:dyDescent="0.3">
      <c r="P7175" s="349"/>
      <c r="Q7175" s="349"/>
    </row>
    <row r="7176" spans="16:17" x14ac:dyDescent="0.3">
      <c r="P7176" s="349"/>
      <c r="Q7176" s="349"/>
    </row>
    <row r="7177" spans="16:17" x14ac:dyDescent="0.3">
      <c r="P7177" s="349"/>
      <c r="Q7177" s="349"/>
    </row>
    <row r="7178" spans="16:17" x14ac:dyDescent="0.3">
      <c r="P7178" s="349"/>
      <c r="Q7178" s="349"/>
    </row>
    <row r="7179" spans="16:17" x14ac:dyDescent="0.3">
      <c r="P7179" s="349"/>
      <c r="Q7179" s="349"/>
    </row>
    <row r="7180" spans="16:17" x14ac:dyDescent="0.3">
      <c r="P7180" s="349"/>
      <c r="Q7180" s="349"/>
    </row>
    <row r="7181" spans="16:17" x14ac:dyDescent="0.3">
      <c r="P7181" s="349"/>
      <c r="Q7181" s="349"/>
    </row>
    <row r="7182" spans="16:17" x14ac:dyDescent="0.3">
      <c r="P7182" s="349"/>
      <c r="Q7182" s="349"/>
    </row>
    <row r="7183" spans="16:17" x14ac:dyDescent="0.3">
      <c r="P7183" s="349"/>
      <c r="Q7183" s="349"/>
    </row>
    <row r="7184" spans="16:17" x14ac:dyDescent="0.3">
      <c r="P7184" s="349"/>
      <c r="Q7184" s="349"/>
    </row>
    <row r="7185" spans="16:17" x14ac:dyDescent="0.3">
      <c r="P7185" s="349"/>
      <c r="Q7185" s="349"/>
    </row>
    <row r="7186" spans="16:17" x14ac:dyDescent="0.3">
      <c r="P7186" s="349"/>
      <c r="Q7186" s="349"/>
    </row>
    <row r="7187" spans="16:17" x14ac:dyDescent="0.3">
      <c r="P7187" s="349"/>
      <c r="Q7187" s="349"/>
    </row>
    <row r="7188" spans="16:17" x14ac:dyDescent="0.3">
      <c r="P7188" s="349"/>
      <c r="Q7188" s="349"/>
    </row>
    <row r="7189" spans="16:17" x14ac:dyDescent="0.3">
      <c r="P7189" s="349"/>
      <c r="Q7189" s="349"/>
    </row>
    <row r="7190" spans="16:17" x14ac:dyDescent="0.3">
      <c r="P7190" s="349"/>
      <c r="Q7190" s="349"/>
    </row>
    <row r="7191" spans="16:17" x14ac:dyDescent="0.3">
      <c r="P7191" s="349"/>
      <c r="Q7191" s="349"/>
    </row>
    <row r="7192" spans="16:17" x14ac:dyDescent="0.3">
      <c r="P7192" s="349"/>
      <c r="Q7192" s="349"/>
    </row>
    <row r="7193" spans="16:17" x14ac:dyDescent="0.3">
      <c r="P7193" s="349"/>
      <c r="Q7193" s="349"/>
    </row>
    <row r="7194" spans="16:17" x14ac:dyDescent="0.3">
      <c r="P7194" s="349"/>
      <c r="Q7194" s="349"/>
    </row>
    <row r="7195" spans="16:17" x14ac:dyDescent="0.3">
      <c r="P7195" s="349"/>
      <c r="Q7195" s="349"/>
    </row>
    <row r="7196" spans="16:17" x14ac:dyDescent="0.3">
      <c r="P7196" s="349"/>
      <c r="Q7196" s="349"/>
    </row>
    <row r="7197" spans="16:17" x14ac:dyDescent="0.3">
      <c r="P7197" s="349"/>
      <c r="Q7197" s="349"/>
    </row>
    <row r="7198" spans="16:17" x14ac:dyDescent="0.3">
      <c r="P7198" s="349"/>
      <c r="Q7198" s="349"/>
    </row>
    <row r="7199" spans="16:17" x14ac:dyDescent="0.3">
      <c r="P7199" s="349"/>
      <c r="Q7199" s="349"/>
    </row>
    <row r="7200" spans="16:17" x14ac:dyDescent="0.3">
      <c r="P7200" s="349"/>
      <c r="Q7200" s="349"/>
    </row>
    <row r="7201" spans="16:17" x14ac:dyDescent="0.3">
      <c r="P7201" s="349"/>
      <c r="Q7201" s="349"/>
    </row>
    <row r="7202" spans="16:17" x14ac:dyDescent="0.3">
      <c r="P7202" s="349"/>
      <c r="Q7202" s="349"/>
    </row>
    <row r="7203" spans="16:17" x14ac:dyDescent="0.3">
      <c r="P7203" s="349"/>
      <c r="Q7203" s="349"/>
    </row>
    <row r="7204" spans="16:17" x14ac:dyDescent="0.3">
      <c r="P7204" s="349"/>
      <c r="Q7204" s="349"/>
    </row>
    <row r="7205" spans="16:17" x14ac:dyDescent="0.3">
      <c r="P7205" s="349"/>
      <c r="Q7205" s="349"/>
    </row>
    <row r="7206" spans="16:17" x14ac:dyDescent="0.3">
      <c r="P7206" s="349"/>
      <c r="Q7206" s="349"/>
    </row>
    <row r="7207" spans="16:17" x14ac:dyDescent="0.3">
      <c r="P7207" s="349"/>
      <c r="Q7207" s="349"/>
    </row>
    <row r="7208" spans="16:17" x14ac:dyDescent="0.3">
      <c r="P7208" s="349"/>
      <c r="Q7208" s="349"/>
    </row>
    <row r="7209" spans="16:17" x14ac:dyDescent="0.3">
      <c r="P7209" s="349"/>
      <c r="Q7209" s="349"/>
    </row>
    <row r="7210" spans="16:17" x14ac:dyDescent="0.3">
      <c r="P7210" s="349"/>
      <c r="Q7210" s="349"/>
    </row>
    <row r="7211" spans="16:17" x14ac:dyDescent="0.3">
      <c r="P7211" s="349"/>
      <c r="Q7211" s="349"/>
    </row>
    <row r="7212" spans="16:17" x14ac:dyDescent="0.3">
      <c r="P7212" s="349"/>
      <c r="Q7212" s="349"/>
    </row>
    <row r="7213" spans="16:17" x14ac:dyDescent="0.3">
      <c r="P7213" s="349"/>
      <c r="Q7213" s="349"/>
    </row>
    <row r="7214" spans="16:17" x14ac:dyDescent="0.3">
      <c r="P7214" s="349"/>
      <c r="Q7214" s="349"/>
    </row>
    <row r="7215" spans="16:17" x14ac:dyDescent="0.3">
      <c r="P7215" s="349"/>
      <c r="Q7215" s="349"/>
    </row>
    <row r="7216" spans="16:17" x14ac:dyDescent="0.3">
      <c r="P7216" s="349"/>
      <c r="Q7216" s="349"/>
    </row>
    <row r="7217" spans="16:17" x14ac:dyDescent="0.3">
      <c r="P7217" s="349"/>
      <c r="Q7217" s="349"/>
    </row>
    <row r="7218" spans="16:17" x14ac:dyDescent="0.3">
      <c r="P7218" s="349"/>
      <c r="Q7218" s="349"/>
    </row>
    <row r="7219" spans="16:17" x14ac:dyDescent="0.3">
      <c r="P7219" s="349"/>
      <c r="Q7219" s="349"/>
    </row>
    <row r="7220" spans="16:17" x14ac:dyDescent="0.3">
      <c r="P7220" s="349"/>
      <c r="Q7220" s="349"/>
    </row>
    <row r="7221" spans="16:17" x14ac:dyDescent="0.3">
      <c r="P7221" s="349"/>
      <c r="Q7221" s="349"/>
    </row>
    <row r="7222" spans="16:17" x14ac:dyDescent="0.3">
      <c r="P7222" s="349"/>
      <c r="Q7222" s="349"/>
    </row>
    <row r="7223" spans="16:17" x14ac:dyDescent="0.3">
      <c r="P7223" s="349"/>
      <c r="Q7223" s="349"/>
    </row>
    <row r="7224" spans="16:17" x14ac:dyDescent="0.3">
      <c r="P7224" s="349"/>
      <c r="Q7224" s="349"/>
    </row>
    <row r="7225" spans="16:17" x14ac:dyDescent="0.3">
      <c r="P7225" s="349"/>
      <c r="Q7225" s="349"/>
    </row>
  </sheetData>
  <phoneticPr fontId="26" type="noConversion"/>
  <conditionalFormatting sqref="R10 B10:I365">
    <cfRule type="expression" dxfId="41" priority="74">
      <formula>$D10&lt;&gt;""</formula>
    </cfRule>
  </conditionalFormatting>
  <conditionalFormatting sqref="H11:I365">
    <cfRule type="expression" dxfId="40" priority="104">
      <formula>AND($H11="")</formula>
    </cfRule>
  </conditionalFormatting>
  <conditionalFormatting sqref="R371">
    <cfRule type="expression" dxfId="39" priority="105">
      <formula>AND($D365&lt;&gt;"",$G365="")</formula>
    </cfRule>
  </conditionalFormatting>
  <conditionalFormatting sqref="K371:R371">
    <cfRule type="expression" dxfId="38" priority="112">
      <formula>$D365&lt;&gt;""</formula>
    </cfRule>
  </conditionalFormatting>
  <conditionalFormatting sqref="K274:R274 K315:R315 K314:O314 R314 K317:R317 K316:O316 R316 K319:R343 K318:O318 R318 K345:R370 K344:P344 R344 K275:O277 Q275:R275 R276:R277 K278:R313">
    <cfRule type="expression" dxfId="37" priority="113">
      <formula>#REF!&lt;&gt;""</formula>
    </cfRule>
  </conditionalFormatting>
  <conditionalFormatting sqref="Q371">
    <cfRule type="expression" dxfId="36" priority="126">
      <formula>AND($H365="")</formula>
    </cfRule>
  </conditionalFormatting>
  <conditionalFormatting sqref="Q274:Q275 Q315 Q317 Q319:Q343 Q345:Q370 Q278:Q313">
    <cfRule type="expression" dxfId="35" priority="127">
      <formula>AND(#REF!="")</formula>
    </cfRule>
  </conditionalFormatting>
  <conditionalFormatting sqref="P371">
    <cfRule type="expression" dxfId="34" priority="130">
      <formula>AND($D365&lt;&gt;"",$G365="")</formula>
    </cfRule>
  </conditionalFormatting>
  <conditionalFormatting sqref="P274 R274:R370 P315 P317 P319:P370 P278:P313">
    <cfRule type="expression" dxfId="33" priority="131">
      <formula>AND(#REF!&lt;&gt;"",#REF!="")</formula>
    </cfRule>
  </conditionalFormatting>
  <conditionalFormatting sqref="Q210">
    <cfRule type="duplicateValues" dxfId="32" priority="31"/>
  </conditionalFormatting>
  <conditionalFormatting sqref="R148:R273 K212:Q222 Q344 P380:Q380 P318:Q318 P316:Q316 P314:Q314 K96:R96 K128:R129 Q127:R127 K134:O136 R134:R136 K223:O223 K224:Q225 K208:Q209 K207:O207 K230:O230 K116:R119 R115 K121:R121 K120:O120 R120 K125:R125 K126:O127 R126 R130:R131 K175:O175 K210:O211 K227:Q227 K226:O226 K269:Q271 K268:O268 K273:Q273 K272:O272 K98:R112 K97:O97 R97 K122:O124 R122:R124 K198:Q206 K197:O197 K229:Q229 K228:O228 K266:Q267 K265:O265 K133:R133 K137:R143 K176:Q177 K150:Q174 K113:O115 Q114:R114 K130:O132 K145:R147 K144:O144 K148:O149 K179:Q196 K178:O178 Q178 K237:Q237 R113 K231:P236 K245:Q245 K238:P244 K247:Q264 K246:P246 Q132:R132 Q144:R144 Q148:Q149">
    <cfRule type="expression" dxfId="31" priority="340">
      <formula>#REF!&lt;&gt;""</formula>
    </cfRule>
  </conditionalFormatting>
  <conditionalFormatting sqref="Q344 Q380 Q318 Q316 Q314 Q212:Q222 Q208:Q209 Q96 Q116:Q119 Q121 Q125 Q127:Q129 Q227 Q269:Q271 Q273 Q98:Q112 Q198:Q206 Q229 Q266:Q267 Q176:Q196 Q237 Q224:Q225 Q114 Q245 Q247:Q264 Q132:Q133 Q137:Q174">
    <cfRule type="expression" dxfId="30" priority="349">
      <formula>AND(#REF!="")</formula>
    </cfRule>
  </conditionalFormatting>
  <conditionalFormatting sqref="P212:P222 P380 P318 P316 P314 R96:R273 P96 P128:P129 P224:P225 P208:P209 P116:P119 P121 P125 P133 P227 P269:P271 P273 P98:P112 P198:P206 P229 P266:P267 P176:P177 P137:P143 P145:P147 P150:P174 P179:P196 P231:P264">
    <cfRule type="expression" dxfId="29" priority="355">
      <formula>AND(#REF!&lt;&gt;"",#REF!="")</formula>
    </cfRule>
  </conditionalFormatting>
  <conditionalFormatting sqref="G366">
    <cfRule type="expression" dxfId="28" priority="10">
      <formula>$D366&lt;&gt;""</formula>
    </cfRule>
  </conditionalFormatting>
  <conditionalFormatting sqref="P127 P230:Q230 P115:Q115 P120:Q120 P126:Q126 P130:Q131 P175:Q175 P211:Q211 P226:Q226 P268:Q268 P272:Q272 P97:Q97 P122:Q124 P197:Q197 P228:Q228 P265:Q265 P207:Q207 P113:P114 P132 P144 P148:P149 P178 P275 Q113 Q231:Q236 Q238:Q244 Q246 P134:Q136 P223:Q223 P276:Q277 K11:R95">
    <cfRule type="expression" dxfId="27" priority="357">
      <formula>#REF!&lt;&gt;""</formula>
    </cfRule>
  </conditionalFormatting>
  <conditionalFormatting sqref="Q115 Q120 Q126 Q130:Q131 Q175 Q211 Q226 Q268 Q272 Q97 Q122:Q124 Q197 Q228 Q265 Q207 Q113 Q230:Q236 Q238:Q244 Q246 Q134:Q136 Q223 Q276:Q277 Q11:Q95">
    <cfRule type="expression" dxfId="26" priority="364">
      <formula>AND(#REF!="")</formula>
    </cfRule>
  </conditionalFormatting>
  <conditionalFormatting sqref="R11:R95 P230 P120 P126:P127 P175 P211 P226 P268 P272 P97 P122:P124 P197 P228 P265 P207 P113:P115 P130:P132 P144 P148:P149 P178 P134:P136 P223 P275:P277 P11:P95">
    <cfRule type="expression" dxfId="25" priority="367">
      <formula>AND(#REF!&lt;&gt;"",#REF!="")</formula>
    </cfRule>
  </conditionalFormatting>
  <conditionalFormatting sqref="E366">
    <cfRule type="expression" dxfId="24" priority="7">
      <formula>$D366&lt;&gt;""</formula>
    </cfRule>
  </conditionalFormatting>
  <conditionalFormatting sqref="F366">
    <cfRule type="expression" dxfId="23" priority="4">
      <formula>$D366&lt;&gt;""</formula>
    </cfRule>
  </conditionalFormatting>
  <conditionalFormatting sqref="G11:G366">
    <cfRule type="expression" dxfId="22" priority="392">
      <formula>AND($D11&lt;&gt;"",$G11="")</formula>
    </cfRule>
  </conditionalFormatting>
  <conditionalFormatting sqref="D114 D116:D117 D134 D136 D154 D156:D157 D163 D180:D181 D184:D185 D195:D203 D207:D211 D213 D216:D219 D235:D238 D243 D247 D250:D253 D259 D265 D277 D279:D281 D286 D288 D296 D299 D303:D304 D313 D325:D327 D330 D336:D337 D339 D342 D345:D349">
    <cfRule type="duplicateValues" dxfId="1" priority="1"/>
  </conditionalFormatting>
  <dataValidations count="2">
    <dataValidation type="list" allowBlank="1" showInputMessage="1" showErrorMessage="1" sqref="P380 R11:R371 G11:G365 P11:P371">
      <formula1>fsgroup</formula1>
    </dataValidation>
    <dataValidation type="list" allowBlank="1" showInputMessage="1" showErrorMessage="1" sqref="Q380 H11:H365 Q11:Q371">
      <formula1>INDIRECT(SUBSTITUTE(G11," ","_"))</formula1>
    </dataValidation>
  </dataValidations>
  <pageMargins left="0.70866141732283472" right="0.70866141732283472" top="0.74803149606299213" bottom="0.74803149606299213" header="0.31496062992125984" footer="0.31496062992125984"/>
  <pageSetup paperSize="5" scale="10" orientation="portrait" r:id="rId1"/>
  <drawing r:id="rId2"/>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nhiderow48">
    <pageSetUpPr fitToPage="1"/>
  </sheetPr>
  <dimension ref="C8:U84"/>
  <sheetViews>
    <sheetView showGridLines="0" tabSelected="1" view="pageBreakPreview" zoomScale="71" zoomScaleNormal="90" zoomScaleSheetLayoutView="90" workbookViewId="0"/>
  </sheetViews>
  <sheetFormatPr defaultColWidth="9.140625" defaultRowHeight="16.5" x14ac:dyDescent="0.25"/>
  <cols>
    <col min="1" max="2" width="3.7109375" style="41" customWidth="1"/>
    <col min="3" max="3" width="7.140625" style="41" bestFit="1" customWidth="1"/>
    <col min="4" max="4" width="65.85546875" style="41" customWidth="1"/>
    <col min="5" max="5" width="10.140625" style="41" customWidth="1"/>
    <col min="6" max="6" width="26" style="841" customWidth="1"/>
    <col min="7" max="7" width="25.42578125" style="1210" bestFit="1" customWidth="1"/>
    <col min="8" max="8" width="3.7109375" style="41" customWidth="1"/>
    <col min="9" max="9" width="13.42578125" style="41" hidden="1" customWidth="1"/>
    <col min="10" max="10" width="18.7109375" style="41" hidden="1" customWidth="1"/>
    <col min="11" max="11" width="18.7109375" style="41" customWidth="1"/>
    <col min="12" max="12" width="19" style="41" bestFit="1" customWidth="1"/>
    <col min="13" max="13" width="19.5703125" style="41" bestFit="1" customWidth="1"/>
    <col min="14" max="14" width="14.28515625" style="41" bestFit="1" customWidth="1"/>
    <col min="15" max="15" width="13.7109375" style="41" customWidth="1"/>
    <col min="16" max="18" width="9.140625" style="41" customWidth="1"/>
    <col min="19" max="19" width="23.140625" customWidth="1"/>
    <col min="20" max="20" width="17.140625" customWidth="1"/>
    <col min="21" max="21" width="18.140625" style="41" bestFit="1" customWidth="1"/>
    <col min="22" max="22" width="12.7109375" style="41" bestFit="1" customWidth="1"/>
    <col min="23" max="23" width="13.7109375" style="41" bestFit="1" customWidth="1"/>
    <col min="24" max="16384" width="9.140625" style="41"/>
  </cols>
  <sheetData>
    <row r="8" spans="3:13" x14ac:dyDescent="0.25">
      <c r="I8" s="41" t="s">
        <v>1022</v>
      </c>
    </row>
    <row r="9" spans="3:13" x14ac:dyDescent="0.25">
      <c r="C9" s="42" t="str">
        <f>Company_Name</f>
        <v>Sample Company</v>
      </c>
      <c r="I9" s="41" t="s">
        <v>990</v>
      </c>
      <c r="J9" s="41" t="str">
        <f ca="1">IF(AND(I14="No",I41="No"),"No","Yes")</f>
        <v>Yes</v>
      </c>
    </row>
    <row r="10" spans="3:13" x14ac:dyDescent="0.25">
      <c r="C10" s="42" t="str">
        <f>+"CIN: "&amp;'Master Data'!C10</f>
        <v>CIN: 1234567890</v>
      </c>
    </row>
    <row r="11" spans="3:13" x14ac:dyDescent="0.25">
      <c r="C11" s="42" t="str">
        <f>"Balance Sheet "&amp; BSCY</f>
        <v>Balance Sheet As At 31st March 2025</v>
      </c>
      <c r="I11" s="41" t="s">
        <v>990</v>
      </c>
      <c r="J11" s="41" t="str">
        <f ca="1">IF(AND(I14="No",I41="No"),"No","Yes")</f>
        <v>Yes</v>
      </c>
    </row>
    <row r="12" spans="3:13" x14ac:dyDescent="0.25">
      <c r="G12" s="2520" t="s">
        <v>3616</v>
      </c>
      <c r="H12" s="214"/>
      <c r="I12" s="41" t="s">
        <v>990</v>
      </c>
      <c r="J12" s="41" t="str">
        <f ca="1">IF(AND(I14="No",I41="No"),"No","Yes")</f>
        <v>Yes</v>
      </c>
    </row>
    <row r="13" spans="3:13" ht="30" x14ac:dyDescent="0.25">
      <c r="C13" s="2711" t="s">
        <v>20</v>
      </c>
      <c r="D13" s="2712"/>
      <c r="E13" s="1935" t="s">
        <v>0</v>
      </c>
      <c r="F13" s="1960" t="str">
        <f>BSCY</f>
        <v>As At 31st March 2025</v>
      </c>
      <c r="G13" s="1951" t="str">
        <f>BSPY</f>
        <v>As At 31st March 2024</v>
      </c>
      <c r="H13" s="172"/>
      <c r="I13" s="289" t="str">
        <f ca="1">IF(AND(I14="No",I41="No"),"No","Yes")</f>
        <v>Yes</v>
      </c>
      <c r="J13" s="289"/>
      <c r="K13" s="289"/>
      <c r="L13" s="289"/>
    </row>
    <row r="14" spans="3:13" x14ac:dyDescent="0.25">
      <c r="C14" s="684" t="str">
        <f>IF(I14="No","A","A")</f>
        <v>A</v>
      </c>
      <c r="D14" s="210" t="s">
        <v>3</v>
      </c>
      <c r="E14" s="48"/>
      <c r="F14" s="845"/>
      <c r="G14" s="1213"/>
      <c r="I14" s="41" t="str">
        <f>IF(AND(I16="No",I21="No",I23="No",I30="No"),"No","Yes")</f>
        <v>Yes</v>
      </c>
    </row>
    <row r="15" spans="3:13" x14ac:dyDescent="0.25">
      <c r="C15" s="48"/>
      <c r="D15" s="210"/>
      <c r="E15" s="48"/>
      <c r="F15" s="845"/>
      <c r="G15" s="1213"/>
      <c r="I15" s="41" t="str">
        <f>IF(AND(I16="No",I21="No",I28="No",I37="No"),"No","Yes")</f>
        <v>Yes</v>
      </c>
    </row>
    <row r="16" spans="3:13" x14ac:dyDescent="0.25">
      <c r="C16" s="246">
        <f>IF(I15="No",0,1)</f>
        <v>1</v>
      </c>
      <c r="D16" s="210" t="s">
        <v>4</v>
      </c>
      <c r="E16" s="48"/>
      <c r="F16" s="845"/>
      <c r="G16" s="1213"/>
      <c r="I16" s="41" t="str">
        <f>IF(AND(I17="No",I18="No",I19="No"),"No","Yes")</f>
        <v>Yes</v>
      </c>
      <c r="M16" s="1778"/>
    </row>
    <row r="17" spans="3:20" x14ac:dyDescent="0.25">
      <c r="C17" s="48"/>
      <c r="D17" s="286" t="s">
        <v>5</v>
      </c>
      <c r="E17" s="285">
        <v>3</v>
      </c>
      <c r="F17" s="831">
        <f>Liabilities!F45</f>
        <v>150000</v>
      </c>
      <c r="G17" s="1213">
        <f>Liabilities!H45</f>
        <v>150000</v>
      </c>
      <c r="H17" s="291"/>
      <c r="I17" s="41" t="str">
        <f>IF(AND(F17=0,G17=0),"No","Yes")</f>
        <v>Yes</v>
      </c>
      <c r="J17" s="291"/>
      <c r="K17" s="291"/>
      <c r="M17" s="935"/>
    </row>
    <row r="18" spans="3:20" x14ac:dyDescent="0.25">
      <c r="C18" s="48"/>
      <c r="D18" s="286" t="str">
        <f>IF(I18="No","(b) Reserves and surplus",IF(COUNTIF(I17,"Yes")=0,"(a) Reserves and surplus",IF(COUNTIF(I17,"Yes")=1,"(b) Reserves and surplus","(b) Reserves and surplus")))</f>
        <v>(b) Reserves and surplus</v>
      </c>
      <c r="E18" s="285">
        <f>IF(I18="No",E17,E17+1)</f>
        <v>4</v>
      </c>
      <c r="F18" s="831">
        <f>+Liabilities!E457</f>
        <v>1134760.2430380497</v>
      </c>
      <c r="G18" s="831">
        <f>+Liabilities!F457</f>
        <v>808742.69529999793</v>
      </c>
      <c r="H18" s="291"/>
      <c r="I18" s="41" t="str">
        <f>IF(AND(F18=0,G18=0),"No","Yes")</f>
        <v>Yes</v>
      </c>
      <c r="J18" s="291"/>
      <c r="K18" s="291"/>
      <c r="L18" s="935"/>
      <c r="M18" s="1778"/>
    </row>
    <row r="19" spans="3:20" hidden="1" x14ac:dyDescent="0.25">
      <c r="C19" s="48"/>
      <c r="D19" s="286" t="str">
        <f>IF(I19="No","(c) Money received against share warrants",IF(COUNTIF($I$17:$I$18,"Yes")=0,"(a) Money received against share warrants",IF(COUNTIF($I$17:$I$18,"Yes")=1,"(b) Money received against share warrants",IF(COUNTIF($I$17:$I$18,"Yes")=2,"(c) Money received against share warrants","(c) Money received against share warrants"))))</f>
        <v>(c) Money received against share warrants</v>
      </c>
      <c r="E19" s="285">
        <f>IF(I19="No",E18,E18+1)</f>
        <v>4</v>
      </c>
      <c r="F19" s="942"/>
      <c r="G19" s="1213"/>
      <c r="I19" s="41" t="str">
        <f>IF(AND(F19=0,G19=0),"No","Yes")</f>
        <v>No</v>
      </c>
      <c r="J19" s="291"/>
      <c r="K19" s="291"/>
      <c r="M19" s="935"/>
    </row>
    <row r="20" spans="3:20" x14ac:dyDescent="0.25">
      <c r="C20" s="48"/>
      <c r="D20" s="141"/>
      <c r="E20" s="48"/>
      <c r="F20" s="1505">
        <f>SUM(F17:F19)</f>
        <v>1284760.2430380497</v>
      </c>
      <c r="G20" s="1214">
        <f>SUM(G17:G19)</f>
        <v>958742.69529999793</v>
      </c>
      <c r="I20" s="41" t="str">
        <f>IF(AND(F20=0,G20=0),"No","Yes")</f>
        <v>Yes</v>
      </c>
      <c r="J20" s="291"/>
      <c r="K20" s="291"/>
    </row>
    <row r="21" spans="3:20" hidden="1" x14ac:dyDescent="0.25">
      <c r="C21" s="246">
        <f>IF(I21="Yes",C16+1,C16)</f>
        <v>1</v>
      </c>
      <c r="D21" s="210" t="s">
        <v>6</v>
      </c>
      <c r="E21" s="285">
        <f>IF(I21="No",E19,E19+1)</f>
        <v>4</v>
      </c>
      <c r="F21" s="845"/>
      <c r="G21" s="1213"/>
      <c r="I21" s="41" t="str">
        <f>IF(AND(F21=0,G21=0),"No","Yes")</f>
        <v>No</v>
      </c>
      <c r="J21" s="291"/>
      <c r="K21" s="291"/>
    </row>
    <row r="22" spans="3:20" hidden="1" x14ac:dyDescent="0.25">
      <c r="C22" s="246"/>
      <c r="D22" s="210"/>
      <c r="E22" s="48"/>
      <c r="F22" s="845"/>
      <c r="G22" s="1213"/>
      <c r="I22" s="41" t="str">
        <f>IF(I21="No","No","Yes")</f>
        <v>No</v>
      </c>
      <c r="J22" s="291"/>
      <c r="K22" s="291"/>
    </row>
    <row r="23" spans="3:20" hidden="1" x14ac:dyDescent="0.25">
      <c r="C23" s="246">
        <f>IF(I23="No",C21,C21+1)</f>
        <v>1</v>
      </c>
      <c r="D23" s="210" t="s">
        <v>7</v>
      </c>
      <c r="E23" s="48"/>
      <c r="F23" s="845"/>
      <c r="G23" s="1213"/>
      <c r="I23" s="41" t="str">
        <f>IF(I28="No","No","Yes")</f>
        <v>No</v>
      </c>
      <c r="J23" s="291"/>
      <c r="K23" s="291"/>
    </row>
    <row r="24" spans="3:20" s="307" customFormat="1" hidden="1" x14ac:dyDescent="0.25">
      <c r="C24" s="685"/>
      <c r="D24" s="567" t="str">
        <f>IF(I24="No","(a) Long-term borrowings","(a) Long-term borrowings")</f>
        <v>(a) Long-term borrowings</v>
      </c>
      <c r="E24" s="285">
        <f>IF(I24="No",E21,E21+1)</f>
        <v>4</v>
      </c>
      <c r="F24" s="1506">
        <f>Liabilities!E508</f>
        <v>0</v>
      </c>
      <c r="G24" s="1215">
        <f>Liabilities!G508</f>
        <v>0</v>
      </c>
      <c r="H24" s="455"/>
      <c r="I24" s="41" t="str">
        <f>IF(AND(F24=0,G24=0),"No","Yes")</f>
        <v>No</v>
      </c>
      <c r="J24" s="291"/>
      <c r="K24" s="291"/>
      <c r="S24"/>
      <c r="T24"/>
    </row>
    <row r="25" spans="3:20" s="307" customFormat="1" hidden="1" x14ac:dyDescent="0.25">
      <c r="C25" s="685"/>
      <c r="D25" s="567" t="str">
        <f>IF(I25="No","(b) Deferred tax liabilities (net)",IF(COUNTIF(I24,"Yes")=0,"(a) Deferred tax liabilities (net)",IF(COUNTIF(I24,"Yes")=1,"(b) Deferred tax liabilities (net)","(b) Deferred tax liabilities (net)")))</f>
        <v>(b) Deferred tax liabilities (net)</v>
      </c>
      <c r="E25" s="285" t="str">
        <f>+MID('AS 22 Disclosures'!C11,6,1)</f>
        <v>2</v>
      </c>
      <c r="F25" s="1506">
        <f>+-IF(IF('AS 22 Disclosures'!D36&lt;0,'AS 22 Disclosures'!D36,0)="",0,IF('AS 22 Disclosures'!D36&lt;0,'AS 22 Disclosures'!D36,0))</f>
        <v>0</v>
      </c>
      <c r="G25" s="1215">
        <f>+-IF(IF('AS 22 Disclosures'!E36&lt;0,'AS 22 Disclosures'!E36,0)="",0,IF('AS 22 Disclosures'!E36&lt;0,'AS 22 Disclosures'!E36,0))</f>
        <v>0</v>
      </c>
      <c r="I25" s="41" t="str">
        <f>IF(AND(F25=0,G25=0),"No","Yes")</f>
        <v>No</v>
      </c>
      <c r="J25" s="291"/>
      <c r="K25" s="291"/>
      <c r="S25"/>
      <c r="T25"/>
    </row>
    <row r="26" spans="3:20" s="307" customFormat="1" hidden="1" x14ac:dyDescent="0.25">
      <c r="C26" s="685"/>
      <c r="D26" s="567" t="str">
        <f>IF(I26="No","(c) Other long-term liabilities",IF(COUNTIF($I$24:$I$25,"Yes")=0,"(a) Other long-term liabilities",IF(COUNTIF($I$24:$I$25,"Yes")=1,"(b) Other long-term liabilities",IF(COUNTIF($I$24:$I$25,"Yes")=2,"(c) Other long-term liabilities","(c) Other long-term liabilities"))))</f>
        <v>(c) Other long-term liabilities</v>
      </c>
      <c r="E26" s="285">
        <f>IF(I26="No",E24,E24+1)</f>
        <v>4</v>
      </c>
      <c r="F26" s="1506">
        <f>Liabilities!E606</f>
        <v>0</v>
      </c>
      <c r="G26" s="1216">
        <f>Liabilities!F606</f>
        <v>0</v>
      </c>
      <c r="I26" s="41" t="str">
        <f>IF(AND(F26=0,G26=0),"No","Yes")</f>
        <v>No</v>
      </c>
      <c r="J26" s="291"/>
      <c r="K26" s="291"/>
      <c r="S26"/>
      <c r="T26"/>
    </row>
    <row r="27" spans="3:20" s="307" customFormat="1" hidden="1" x14ac:dyDescent="0.25">
      <c r="C27" s="685"/>
      <c r="D27" s="567" t="str">
        <f>IF(I27="No","(d) Long-term provisions", IF(COUNTIF($I$24:$I$26,"Yes")=0,"(a) Long-term provisions", IF(COUNTIF($I$24:$I$26,"Yes")=1,"(b) Long-term provisions", IF(COUNTIF($I$24:$I$26,"Yes")=2,"(c) Long-term provisions", IF(COUNTIF($I$24:$I$26,"Yes")=3,"(d) Long-term provisions", "(d) Long-term provisions")))))</f>
        <v>(d) Long-term provisions</v>
      </c>
      <c r="E27" s="285">
        <v>5</v>
      </c>
      <c r="F27" s="1506">
        <f>Liabilities!E634</f>
        <v>0</v>
      </c>
      <c r="G27" s="1216">
        <f>Liabilities!G634</f>
        <v>0</v>
      </c>
      <c r="I27" s="41" t="str">
        <f>IF(AND(F27=0,G27=0),"No","Yes")</f>
        <v>No</v>
      </c>
      <c r="J27" s="291"/>
      <c r="K27" s="291"/>
      <c r="S27"/>
      <c r="T27"/>
    </row>
    <row r="28" spans="3:20" hidden="1" x14ac:dyDescent="0.25">
      <c r="C28" s="48"/>
      <c r="D28" s="141"/>
      <c r="E28" s="48"/>
      <c r="F28" s="1505">
        <f>SUM(F24:F27)</f>
        <v>0</v>
      </c>
      <c r="G28" s="843">
        <f>SUM(G24:G27)</f>
        <v>0</v>
      </c>
      <c r="I28" s="41" t="str">
        <f>IF(AND(F28=0,G28=0),"No","Yes")</f>
        <v>No</v>
      </c>
      <c r="J28" s="291"/>
      <c r="K28" s="291"/>
    </row>
    <row r="29" spans="3:20" hidden="1" x14ac:dyDescent="0.25">
      <c r="C29" s="48"/>
      <c r="D29" s="141"/>
      <c r="E29" s="48"/>
      <c r="F29" s="845"/>
      <c r="G29" s="1213"/>
      <c r="I29" s="41" t="str">
        <f>IF(I27="No","No","Yes")</f>
        <v>No</v>
      </c>
      <c r="J29" s="291"/>
      <c r="K29" s="291"/>
    </row>
    <row r="30" spans="3:20" x14ac:dyDescent="0.25">
      <c r="C30" s="246">
        <f>IF(I30="No",C23,C23+1)</f>
        <v>2</v>
      </c>
      <c r="D30" s="210" t="s">
        <v>8</v>
      </c>
      <c r="E30" s="48"/>
      <c r="F30" s="845"/>
      <c r="G30" s="1213"/>
      <c r="I30" s="41" t="str">
        <f>IF(I37="No","No","Yes")</f>
        <v>Yes</v>
      </c>
      <c r="J30" s="291"/>
      <c r="K30" s="291"/>
    </row>
    <row r="31" spans="3:20" hidden="1" x14ac:dyDescent="0.25">
      <c r="C31" s="48"/>
      <c r="D31" s="286" t="str">
        <f>IF(I31="No","(a) Short-term borrowings","(a) Short-term borrowings")</f>
        <v>(a) Short-term borrowings</v>
      </c>
      <c r="E31" s="285">
        <f>IF(I31="No",E27,IF(I24="Yes",E24,E27+1))</f>
        <v>5</v>
      </c>
      <c r="F31" s="845">
        <f>Liabilities!F508</f>
        <v>0</v>
      </c>
      <c r="G31" s="1213">
        <f>+Liabilities!H508</f>
        <v>0</v>
      </c>
      <c r="I31" s="41" t="str">
        <f>IF(AND(F31=0,G31=0),"No","Yes")</f>
        <v>No</v>
      </c>
      <c r="J31" s="291"/>
      <c r="K31" s="291"/>
    </row>
    <row r="32" spans="3:20" x14ac:dyDescent="0.25">
      <c r="C32" s="48"/>
      <c r="D32" s="567" t="str">
        <f>IF(I32="No","(b) Trade Payables",IF(COUNTIF(I31,"Yes")=0,"(a) Trade Payables",IF(COUNTIF(I31,"Yes")=1,"(b) Trade Payables","(b) Trade Payables")))</f>
        <v>(a) Trade Payables</v>
      </c>
      <c r="E32" s="285">
        <f>IF(I32="No",IF(AND(I31="Yes",I24="Yes"),E27,IF(AND(I31="Yes",I24="No"),E31,IF(AND(I31="No",I24="Yes"),E31,E31))),IF(AND(I31="Yes",I24="Yes"),E27+1,IF(AND(I31="Yes",I24="No"),E31+1,IF(AND(I31="No",I24="Yes"),E31+1,E31+1))))</f>
        <v>6</v>
      </c>
      <c r="F32" s="845"/>
      <c r="G32" s="1213"/>
      <c r="I32" s="41" t="str">
        <f>IF(AND(I33="No",I34="No"),"No","Yes")</f>
        <v>Yes</v>
      </c>
      <c r="J32" s="291"/>
      <c r="K32" s="291"/>
      <c r="L32" s="834"/>
      <c r="M32" s="2379"/>
    </row>
    <row r="33" spans="3:15" ht="33" x14ac:dyDescent="0.25">
      <c r="C33" s="48"/>
      <c r="D33" s="605" t="str">
        <f>IF(I33="No","(i) total outstanding dues of micro enterprises and small enterprises","(i) total outstanding dues of micro enterprises and small enterprises")</f>
        <v>(i) total outstanding dues of micro enterprises and small enterprises</v>
      </c>
      <c r="E33" s="285"/>
      <c r="F33" s="831">
        <f>Liabilities!E647</f>
        <v>21010.052500000002</v>
      </c>
      <c r="G33" s="1213">
        <f>Liabilities!F647</f>
        <v>0</v>
      </c>
      <c r="I33" s="41" t="str">
        <f>IF(AND(F33=0,G33=0),"No","Yes")</f>
        <v>Yes</v>
      </c>
      <c r="J33" s="291"/>
      <c r="K33" s="291"/>
      <c r="L33" s="844"/>
    </row>
    <row r="34" spans="3:15" ht="33" x14ac:dyDescent="0.25">
      <c r="C34" s="48"/>
      <c r="D34" s="605" t="str">
        <f>IF(I34="No","(ii) total outstanding dues of creditors other than micro enterprises and small enterprises",IF(COUNTIF(I33,"Yes")=0,"(i) total outstanding dues of creditors other than micro enterprises and small enterprises",IF(COUNTIF(I33,"Yes")=1,"(ii) total outstanding dues of creditors other than micro enterprises and small enterprises","(ii) total outstanding dues of creditors other than micro enterprises and small enterprises")))</f>
        <v>(ii) total outstanding dues of creditors other than micro enterprises and small enterprises</v>
      </c>
      <c r="E34" s="285"/>
      <c r="F34" s="831">
        <f>Liabilities!E648</f>
        <v>489514.37319999991</v>
      </c>
      <c r="G34" s="1213">
        <f>Liabilities!F648</f>
        <v>296883.98800000007</v>
      </c>
      <c r="I34" s="41" t="str">
        <f>IF(AND(F34=0,G34=0),"No","Yes")</f>
        <v>Yes</v>
      </c>
      <c r="J34" s="291"/>
      <c r="K34" s="291"/>
      <c r="L34" s="935"/>
      <c r="M34" s="935"/>
      <c r="O34" s="840"/>
    </row>
    <row r="35" spans="3:15" x14ac:dyDescent="0.25">
      <c r="C35" s="48"/>
      <c r="D35" s="567" t="str">
        <f>IF(I35="No","(c) Other current liabilities",IF(COUNTIF($I$31:$I$32,"Yes")=0,"(a) Other current liabilities",IF(COUNTIF($I$31:$I$32,"Yes")=1,"(b) Other current liabilities",IF(COUNTIF($I$31:$I$32,"Yes")=2,"(c) Other current liabilities","(c) Other current liabilities"))))</f>
        <v>(b) Other current liabilities</v>
      </c>
      <c r="E35" s="285">
        <f>IF(I35="No",E32,E32+1)</f>
        <v>7</v>
      </c>
      <c r="F35" s="831">
        <f>Liabilities!E700</f>
        <v>104923.02239999999</v>
      </c>
      <c r="G35" s="1213">
        <f>Liabilities!F700</f>
        <v>70069.877300000007</v>
      </c>
      <c r="I35" s="41" t="str">
        <f>IF(AND(F35=0,G35=0),"No","Yes")</f>
        <v>Yes</v>
      </c>
      <c r="J35" s="291"/>
      <c r="K35" s="291"/>
      <c r="L35" s="2380"/>
      <c r="M35" s="935"/>
    </row>
    <row r="36" spans="3:15" x14ac:dyDescent="0.25">
      <c r="C36" s="48"/>
      <c r="D36" s="567" t="str">
        <f>IF(I36="No","(d) Short-term provisions",IF(AND(I31="No",I32="No",I35="No"),"(a) Short-term provisions",IF(AND(I31="Yes",I32="No",I35="No"),"(b) Short-term provisions",IF(AND(I31="No",I32="Yes",I35="No"),"(b) Short-term provisions",IF(AND(I31="No",I32="No",I35="Yes"),"(b) Short-term provisions",IF(AND(I31="No",I32="Yes",I35="Yes"),"(c) Short-term provisions",IF(AND(I31="Yes",I32="Yes",I35="No"),"(c) Short-term provisions",IF(AND(I31="Yes",I32="No",I35="Yes"),"(c) Short-term provisions",IF(AND(I31="Yes",I32="Yes",I35="Yes"),"(d) Short-term provisions")))))))))</f>
        <v>(c) Short-term provisions</v>
      </c>
      <c r="E36" s="285">
        <v>5</v>
      </c>
      <c r="F36" s="831">
        <f>Liabilities!F634</f>
        <v>112324.19080000001</v>
      </c>
      <c r="G36" s="1213">
        <f>Liabilities!H634</f>
        <v>62771.850299999991</v>
      </c>
      <c r="I36" s="41" t="str">
        <f>IF(AND(F36=0,G36=0),"No","Yes")</f>
        <v>Yes</v>
      </c>
      <c r="J36" s="291"/>
      <c r="K36" s="291"/>
      <c r="L36" s="935"/>
    </row>
    <row r="37" spans="3:15" x14ac:dyDescent="0.25">
      <c r="C37" s="48"/>
      <c r="D37" s="141"/>
      <c r="E37" s="48"/>
      <c r="F37" s="843">
        <f>SUM(F31:F36)-1</f>
        <v>727770.6388999999</v>
      </c>
      <c r="G37" s="843">
        <f>SUM(G31:G36)</f>
        <v>429725.71560000005</v>
      </c>
      <c r="I37" s="41" t="str">
        <f>IF(AND(F37=0,G37=0),"No","Yes")</f>
        <v>Yes</v>
      </c>
      <c r="J37" s="291"/>
      <c r="K37" s="291"/>
      <c r="L37" s="844"/>
    </row>
    <row r="38" spans="3:15" x14ac:dyDescent="0.25">
      <c r="C38" s="48"/>
      <c r="D38" s="141"/>
      <c r="E38" s="48"/>
      <c r="F38" s="1213"/>
      <c r="G38" s="1213"/>
      <c r="I38" s="41" t="str">
        <f>IF(I37="No","No","Yes")</f>
        <v>Yes</v>
      </c>
      <c r="J38" s="291"/>
      <c r="K38" s="291"/>
    </row>
    <row r="39" spans="3:15" ht="17.25" thickBot="1" x14ac:dyDescent="0.3">
      <c r="C39" s="48"/>
      <c r="D39" s="141"/>
      <c r="E39" s="48"/>
      <c r="F39" s="1217">
        <f>F20+F21+F28+F37</f>
        <v>2012530.8819380496</v>
      </c>
      <c r="G39" s="1217">
        <f>G20+G21+G28+G37</f>
        <v>1388468.4108999979</v>
      </c>
      <c r="I39" s="41" t="str">
        <f>IF(AND(F39=0,G39=0),"No","Yes")</f>
        <v>Yes</v>
      </c>
      <c r="J39" s="291"/>
      <c r="K39" s="291"/>
      <c r="L39" s="935"/>
      <c r="M39" s="844"/>
    </row>
    <row r="40" spans="3:15" x14ac:dyDescent="0.25">
      <c r="C40" s="48"/>
      <c r="D40" s="141"/>
      <c r="E40" s="48"/>
      <c r="F40" s="831"/>
      <c r="G40" s="1213"/>
      <c r="I40" s="41" t="str">
        <f>IF(I39="No","No","Yes")</f>
        <v>Yes</v>
      </c>
      <c r="J40" s="291"/>
      <c r="K40" s="291"/>
    </row>
    <row r="41" spans="3:15" x14ac:dyDescent="0.25">
      <c r="C41" s="246" t="str">
        <f ca="1">IF(I41="No","A","B")</f>
        <v>B</v>
      </c>
      <c r="D41" s="210" t="s">
        <v>10</v>
      </c>
      <c r="E41" s="48"/>
      <c r="F41" s="831"/>
      <c r="G41" s="1213"/>
      <c r="I41" s="41" t="str">
        <f ca="1">IF(AND(I43="No",I56="No"),"No","Yes")</f>
        <v>Yes</v>
      </c>
      <c r="J41" s="291"/>
      <c r="K41" s="291"/>
    </row>
    <row r="42" spans="3:15" x14ac:dyDescent="0.25">
      <c r="C42" s="48"/>
      <c r="D42" s="141"/>
      <c r="E42" s="48"/>
      <c r="F42" s="831"/>
      <c r="G42" s="1213"/>
      <c r="I42" s="41" t="str">
        <f ca="1">IF(AND(I43="No",I56="No"),"No","Yes")</f>
        <v>Yes</v>
      </c>
      <c r="J42" s="291"/>
      <c r="K42" s="291"/>
    </row>
    <row r="43" spans="3:15" x14ac:dyDescent="0.25">
      <c r="C43" s="48">
        <f>IF(I43="No",1,1)</f>
        <v>1</v>
      </c>
      <c r="D43" s="210" t="s">
        <v>11</v>
      </c>
      <c r="E43" s="48"/>
      <c r="F43" s="831"/>
      <c r="G43" s="1213"/>
      <c r="I43" s="41" t="str">
        <f>IF(AND(F54=0,G54=0),"No","Yes")</f>
        <v>Yes</v>
      </c>
      <c r="J43" s="291"/>
      <c r="K43" s="291"/>
    </row>
    <row r="44" spans="3:15" x14ac:dyDescent="0.25">
      <c r="C44" s="48"/>
      <c r="D44" s="686" t="str">
        <f>IF(I44="No","(a) Property, Plant and Equipment and Intangible assets","(a) Property, Plant and Equipment and Intangible assets")</f>
        <v>(a) Property, Plant and Equipment and Intangible assets</v>
      </c>
      <c r="E44" s="285"/>
      <c r="F44" s="831"/>
      <c r="G44" s="1213"/>
      <c r="I44" s="41" t="str">
        <f>IF(AND(I45="No",I46="No",I47="No",I48="No"),"No","Yes")</f>
        <v>Yes</v>
      </c>
      <c r="J44" s="291"/>
      <c r="K44" s="291"/>
    </row>
    <row r="45" spans="3:15" x14ac:dyDescent="0.25">
      <c r="C45" s="48"/>
      <c r="D45" s="317" t="str">
        <f>IF(I45="No","(i) Property, Plant and Equipment","(i) Property, Plant and Equipment")</f>
        <v>(i) Property, Plant and Equipment</v>
      </c>
      <c r="E45" s="48">
        <v>8</v>
      </c>
      <c r="F45" s="831">
        <f>+FAR!W46</f>
        <v>2403.8209999999999</v>
      </c>
      <c r="G45" s="1213">
        <f>-FAR!W47</f>
        <v>701</v>
      </c>
      <c r="I45" s="41" t="str">
        <f>IF(AND(F45=0,G45=0),"No","Yes")</f>
        <v>Yes</v>
      </c>
      <c r="J45" s="291"/>
      <c r="K45" s="291"/>
    </row>
    <row r="46" spans="3:15" x14ac:dyDescent="0.25">
      <c r="C46" s="48"/>
      <c r="D46" s="290" t="str">
        <f>IF(I46="No","(ii) Intangible assets",IF(COUNTIF(I45,"Yes")=0,"(i) Intangible assets",IF(COUNTIF(I45,"Yes")=1,"(ii) Intangible assets")))</f>
        <v>(ii) Intangible assets</v>
      </c>
      <c r="E46" s="48" t="s">
        <v>3900</v>
      </c>
      <c r="F46" s="831">
        <f>+FAR!W112</f>
        <v>0</v>
      </c>
      <c r="G46" s="1213">
        <f>-FAR!W113</f>
        <v>114</v>
      </c>
      <c r="I46" s="41" t="str">
        <f>IF(AND(F46=0,G46=0),"No","Yes")</f>
        <v>Yes</v>
      </c>
      <c r="J46" s="291"/>
      <c r="K46" s="291"/>
      <c r="M46" s="840"/>
    </row>
    <row r="47" spans="3:15" hidden="1" x14ac:dyDescent="0.25">
      <c r="C47" s="48"/>
      <c r="D47" s="290" t="str">
        <f>IF(I47="No","(iii) Capital work-in-progress",IF(COUNTIF($I$45:$I$46,"Yes")=0,"(i) Capital work-in-progress",IF(COUNTIF($I$45:$I$46,"Yes")=1,"(ii) Capital work-in-progress",IF(COUNTIF($I$45:$I$46,"Yes")=2,"(iii) Capital work-in-progress","(iii) Capital work-in-progress"))))</f>
        <v>(iii) Capital work-in-progress</v>
      </c>
      <c r="E47" s="48">
        <v>8</v>
      </c>
      <c r="F47" s="831">
        <f>+'Add. Regulatory Disc.'!I62</f>
        <v>0</v>
      </c>
      <c r="G47" s="1213">
        <f>+'Add. Regulatory Disc.'!P62</f>
        <v>0</v>
      </c>
      <c r="I47" s="41" t="str">
        <f>IF(AND(F47=0,G47=0),"No","Yes")</f>
        <v>No</v>
      </c>
      <c r="J47" s="291"/>
      <c r="K47" s="291"/>
    </row>
    <row r="48" spans="3:15" hidden="1" x14ac:dyDescent="0.25">
      <c r="C48" s="48"/>
      <c r="D48" s="290" t="str">
        <f>IF(I48="No","(iv) Intangible assets under development",IF(COUNTIF($I$45:$I47,"Yes")=0,"(i) Intangible assets under development",IF(COUNTIF($I$45:$I47,"Yes")=1,"(ii) Intangible assets under development",IF(COUNTIF($I$45:$I47,"Yes")=2,"(iii) Intangible assets under development",IF(COUNTIF($I$45:$I47,"Yes")=3,"(iv) Intangible assets under development","(iv) Intangible assets under development")))))</f>
        <v>(iv) Intangible assets under development</v>
      </c>
      <c r="E48" s="48">
        <v>8</v>
      </c>
      <c r="F48" s="831">
        <f>+'Add. Regulatory Disc.'!I99</f>
        <v>0</v>
      </c>
      <c r="G48" s="1213">
        <f>+'Add. Regulatory Disc.'!P99</f>
        <v>0</v>
      </c>
      <c r="I48" s="41" t="str">
        <f>IF(AND(F48=0,G48=0),"No","Yes")</f>
        <v>No</v>
      </c>
      <c r="J48" s="291"/>
      <c r="K48" s="291"/>
    </row>
    <row r="49" spans="3:21" x14ac:dyDescent="0.25">
      <c r="C49" s="48"/>
      <c r="D49" s="286"/>
      <c r="E49" s="48"/>
      <c r="F49" s="831"/>
      <c r="G49" s="831"/>
      <c r="I49" s="41" t="str">
        <f>+IF(COUNTIF($I$45:$I$48,"Yes")&gt;0,"Yes","No")</f>
        <v>Yes</v>
      </c>
      <c r="J49" s="291"/>
      <c r="K49" s="291"/>
    </row>
    <row r="50" spans="3:21" hidden="1" x14ac:dyDescent="0.25">
      <c r="C50" s="48"/>
      <c r="D50" s="286" t="str">
        <f>+IF(I50="No","(b) Non-current investments",IF(COUNTIF(I49,"Yes")=0,"(a) Non-current investments",IF(COUNTIF(I49,"Yes")=1,"(b) Non-current investments","(b) Non-current investments")))</f>
        <v>(b) Non-current investments</v>
      </c>
      <c r="E50" s="285">
        <v>8</v>
      </c>
      <c r="F50" s="831">
        <f>Assets!D80</f>
        <v>0</v>
      </c>
      <c r="G50" s="831">
        <f>Assets!E80</f>
        <v>0</v>
      </c>
      <c r="I50" s="41" t="str">
        <f>IF(AND(F50=0,G50=0),"No","Yes")</f>
        <v>No</v>
      </c>
      <c r="J50" s="291"/>
      <c r="K50" s="291"/>
    </row>
    <row r="51" spans="3:21" x14ac:dyDescent="0.25">
      <c r="C51" s="48"/>
      <c r="D51" s="286" t="str">
        <f>IF(I51="No","(c) Deferred tax assets (net)",IF(COUNTIF($I$49:$I50,"Yes")=0,"(a) Deferred tax assets (net)",IF(COUNTIF($I$49:$I50,"Yes")=1,"(b) Deferred tax assets (net)",IF(COUNTIF($I$49:$I50,"Yes")=2,"(c) Deferred tax assets (net)","(c) Deferred tax assets (net)"))))</f>
        <v>(b) Deferred tax assets (net)</v>
      </c>
      <c r="E51" s="48">
        <v>23</v>
      </c>
      <c r="F51" s="831">
        <f>+IF(IF('AS 22 Disclosures'!D36&gt;0,'AS 22 Disclosures'!D36,0)="",0,IF('AS 22 Disclosures'!D36&gt;0,'AS 22 Disclosures'!D36,0))</f>
        <v>1611.8391380520002</v>
      </c>
      <c r="G51" s="831">
        <f>+IF(IF('AS 22 Disclosures'!E36&gt;0,'AS 22 Disclosures'!E36,0)="",0,IF('AS 22 Disclosures'!E36&gt;0,'AS 22 Disclosures'!E36,0))</f>
        <v>359.41</v>
      </c>
      <c r="I51" s="41" t="str">
        <f>IF(AND(F51=0,G51=0),"No","Yes")</f>
        <v>Yes</v>
      </c>
      <c r="J51" s="291"/>
      <c r="K51" s="291"/>
    </row>
    <row r="52" spans="3:21" hidden="1" x14ac:dyDescent="0.25">
      <c r="C52" s="48"/>
      <c r="D52" s="286" t="str">
        <f>IF(I52="No","(d) Long-term loans and advances",IF(COUNTIF($I$49:$I51,"Yes")=0,"(a) Long-term loans and advances",IF(COUNTIF($I$49:$I51,"Yes")=1,"(b) Long-term loans and advances",IF(COUNTIF($I$49:$I51,"Yes")=2,"(c) Long-term loans and advances",IF(COUNTIF($I$49:$I51,"Yes")=3,"(d) Long-term loans and advances","(d) Long-term loans and advances")))))</f>
        <v>(d) Long-term loans and advances</v>
      </c>
      <c r="E52" s="48">
        <v>9</v>
      </c>
      <c r="F52" s="831">
        <f>Assets!D169</f>
        <v>0</v>
      </c>
      <c r="G52" s="831">
        <f>Assets!F169</f>
        <v>0</v>
      </c>
      <c r="H52" s="291"/>
      <c r="I52" s="41" t="str">
        <f>IF(AND(F52=0,G52=0),"No","Yes")</f>
        <v>No</v>
      </c>
      <c r="J52" s="291"/>
      <c r="K52" s="291"/>
    </row>
    <row r="53" spans="3:21" x14ac:dyDescent="0.25">
      <c r="C53" s="48"/>
      <c r="D53" s="286" t="str">
        <f>IF(I53="No","(e) Other non-current assets",IF(COUNTIF($I$49:$I52,"Yes")=0,"(a) Other non-current assets",IF(COUNTIF($I$49:$I52,"Yes")=1,"(b) Other non-current assets",IF(COUNTIF($I$49:$I52,"Yes")=2,"(c) Other non-current assets",IF(COUNTIF($I$49:$I52,"Yes")=3,"(d) Other non-current assets",IF(COUNTIF($I$49:$I52,"Yes")=4,"(e) Other non-current assets","(e) Other non-current assets"))))))</f>
        <v>(c) Other non-current assets</v>
      </c>
      <c r="E53" s="48">
        <v>10</v>
      </c>
      <c r="F53" s="831">
        <f>Assets!D205</f>
        <v>18086</v>
      </c>
      <c r="G53" s="831">
        <f>Assets!E205</f>
        <v>16640</v>
      </c>
      <c r="H53" s="291"/>
      <c r="I53" s="41" t="str">
        <f>IF(AND(F53=0,G53=0),"No","Yes")</f>
        <v>Yes</v>
      </c>
      <c r="J53" s="291"/>
      <c r="K53" s="291"/>
    </row>
    <row r="54" spans="3:21" x14ac:dyDescent="0.25">
      <c r="C54" s="48"/>
      <c r="D54" s="141"/>
      <c r="E54" s="48"/>
      <c r="F54" s="843">
        <f>SUM(F45:F53)</f>
        <v>22101.660138052001</v>
      </c>
      <c r="G54" s="843">
        <f>SUM(G45:G53)</f>
        <v>17814.41</v>
      </c>
      <c r="I54" s="41" t="str">
        <f>IF(AND(F54=0,G54=0),"No","Yes")</f>
        <v>Yes</v>
      </c>
      <c r="J54" s="291"/>
      <c r="K54" s="291"/>
    </row>
    <row r="55" spans="3:21" x14ac:dyDescent="0.25">
      <c r="C55" s="48"/>
      <c r="D55" s="141"/>
      <c r="E55" s="48"/>
      <c r="F55" s="831"/>
      <c r="G55" s="1213"/>
      <c r="I55" s="41" t="str">
        <f>IF(AND(F54=0,G54=0),"No","Yes")</f>
        <v>Yes</v>
      </c>
      <c r="J55" s="291"/>
      <c r="K55" s="291"/>
    </row>
    <row r="56" spans="3:21" x14ac:dyDescent="0.25">
      <c r="C56" s="246">
        <f ca="1">IF(I56="No",C43,C43+1)</f>
        <v>2</v>
      </c>
      <c r="D56" s="210" t="s">
        <v>12</v>
      </c>
      <c r="E56" s="48"/>
      <c r="F56" s="831"/>
      <c r="G56" s="1213"/>
      <c r="I56" s="41" t="str">
        <f ca="1">IF(I63="No","No","Yes")</f>
        <v>Yes</v>
      </c>
      <c r="J56" s="291"/>
      <c r="K56" s="291"/>
    </row>
    <row r="57" spans="3:21" hidden="1" x14ac:dyDescent="0.25">
      <c r="C57" s="48"/>
      <c r="D57" s="686" t="str">
        <f>IF(I57="No","(a) Current investments","(a) Current investments")</f>
        <v>(a) Current investments</v>
      </c>
      <c r="E57" s="285">
        <v>9</v>
      </c>
      <c r="F57" s="831">
        <f>+Assets!D262</f>
        <v>0</v>
      </c>
      <c r="G57" s="831">
        <f>+Assets!E262</f>
        <v>0</v>
      </c>
      <c r="H57" s="291"/>
      <c r="I57" s="41" t="str">
        <f t="shared" ref="I57:I63" si="0">IF(AND(F57=0,G57=0),"No","Yes")</f>
        <v>No</v>
      </c>
      <c r="J57" s="291"/>
      <c r="K57" s="291"/>
    </row>
    <row r="58" spans="3:21" x14ac:dyDescent="0.25">
      <c r="C58" s="134"/>
      <c r="D58" s="286" t="str">
        <f>IF(I58="No","(b) Inventories",IF(COUNTIF(I57,"Yes")=0,"(a) Inventories",IF(COUNTIF(I57,"Yes")=1,"(b) Inventories","(b) Inventories")))</f>
        <v>(a) Inventories</v>
      </c>
      <c r="E58" s="48">
        <v>11</v>
      </c>
      <c r="F58" s="831">
        <f>+Assets!D295</f>
        <v>33397.197799999994</v>
      </c>
      <c r="G58" s="831">
        <f>+Assets!E295</f>
        <v>25264.693599999999</v>
      </c>
      <c r="H58" s="291"/>
      <c r="I58" s="41" t="str">
        <f t="shared" si="0"/>
        <v>Yes</v>
      </c>
      <c r="J58" s="291"/>
      <c r="K58" s="291"/>
      <c r="L58" s="935"/>
    </row>
    <row r="59" spans="3:21" x14ac:dyDescent="0.25">
      <c r="C59" s="134"/>
      <c r="D59" s="286" t="str">
        <f>IF(I59="No","(c) Trade receivables",IF(COUNTIF($I$57:$I58,"Yes")=0,"(a) Trade receivables",IF(COUNTIF($I$57:$I58,"Yes")=1,"(b) Trade receivables",IF(COUNTIF($I$57:$I58,"Yes")=2,"(c) Trade receivables","(c) Trade receivables"))))</f>
        <v>(b) Trade receivables</v>
      </c>
      <c r="E59" s="48">
        <v>12</v>
      </c>
      <c r="F59" s="831">
        <f>Assets!D345</f>
        <v>500364.16429999995</v>
      </c>
      <c r="G59" s="831">
        <f>Assets!E345</f>
        <v>326708.79410000006</v>
      </c>
      <c r="I59" s="41" t="str">
        <f t="shared" si="0"/>
        <v>Yes</v>
      </c>
      <c r="J59" s="291"/>
      <c r="K59" s="291"/>
      <c r="L59" s="844"/>
    </row>
    <row r="60" spans="3:21" x14ac:dyDescent="0.3">
      <c r="C60" s="134"/>
      <c r="D60" s="286" t="str">
        <f>IF(I60="No","(d) Cash and cash equivalents",IF(COUNTIF($I$57:$I59,"Yes")=0,"(a) Cash and cash equivalents",IF(COUNTIF($I$57:$I59,"Yes")=1,"(b) Cash and cash equivalents",IF(COUNTIF($I$57:$I59,"Yes")=2,"(c) Cash and cash equivalents",IF(COUNTIF($I$57:$I59,"Yes")=3,"(d) Cash and cash equivalents","(d) Cash and cash equivalents")))))</f>
        <v>(c) Cash and cash equivalents</v>
      </c>
      <c r="E60" s="48">
        <v>13</v>
      </c>
      <c r="F60" s="831">
        <f>Assets!D390</f>
        <v>1272753.9217999999</v>
      </c>
      <c r="G60" s="831">
        <f>Assets!E390</f>
        <v>984629.82819999999</v>
      </c>
      <c r="H60" s="291"/>
      <c r="I60" s="41" t="str">
        <f t="shared" si="0"/>
        <v>Yes</v>
      </c>
      <c r="J60" s="291"/>
      <c r="K60" s="291"/>
      <c r="L60" s="2381"/>
    </row>
    <row r="61" spans="3:21" x14ac:dyDescent="0.25">
      <c r="C61" s="134"/>
      <c r="D61" s="286" t="str">
        <f ca="1">IF(I61="No","(e) Short-term loans and advances",IF(COUNTIF($I$57:$I60,"Yes")=0,"(a) Short-term loans and advances",IF(COUNTIF($I$57:$I60,"Yes")=1,"(b) Short-term loans and advances",IF(COUNTIF($I$57:$I60,"Yes")=2,"(c) Short-term loans and advances",IF(COUNTIF($I$57:$I60,"Yes")=3,"(d) Short-term loans and advances",IF(COUNTIF($I$57:$I60,"Yes")=4,"(e) Short-term loans and advances","(e) Short-term loans and advances"))))))</f>
        <v>(d) Short-term loans and advances</v>
      </c>
      <c r="E61" s="48">
        <v>9</v>
      </c>
      <c r="F61" s="831">
        <f>+Assets!E169</f>
        <v>176270.90449999998</v>
      </c>
      <c r="G61" s="831">
        <f ca="1">Assets!G169</f>
        <v>19213.338000000003</v>
      </c>
      <c r="H61" s="291"/>
      <c r="I61" s="41" t="str">
        <f t="shared" ca="1" si="0"/>
        <v>Yes</v>
      </c>
      <c r="J61" s="291"/>
      <c r="K61" s="291"/>
      <c r="L61" s="2378"/>
      <c r="M61" s="680"/>
      <c r="U61" s="680"/>
    </row>
    <row r="62" spans="3:21" x14ac:dyDescent="0.25">
      <c r="C62" s="134"/>
      <c r="D62" s="286" t="str">
        <f ca="1">IF(I62="No","(f) Other current assets",IF(COUNTIF($I$57:$I61,"Yes")=0,"(a) Other current assets",IF(COUNTIF($I$57:$I61,"Yes")=1,"(b) Other current assets",IF(COUNTIF($I$57:$I61,"Yes")=2,"(c) Other current assets",IF(COUNTIF($I$57:$I61,"Yes")=3,"(d) Other current assets",IF(COUNTIF($I$57:$I61,"Yes")=4,"(e) Other current assets",IF(COUNTIF($I$57:$I61,"Yes")=5,"(f) Other current assets","(f) Other current assets")))))))</f>
        <v>(e) Other current assets</v>
      </c>
      <c r="E62" s="48">
        <v>14</v>
      </c>
      <c r="F62" s="831">
        <f>Assets!D421</f>
        <v>7642.93</v>
      </c>
      <c r="G62" s="831">
        <f>Assets!E421</f>
        <v>14837.4</v>
      </c>
      <c r="I62" s="41" t="str">
        <f t="shared" si="0"/>
        <v>Yes</v>
      </c>
      <c r="J62" s="291"/>
      <c r="K62" s="291"/>
      <c r="L62" s="2378"/>
      <c r="M62" s="680"/>
      <c r="N62" s="844"/>
    </row>
    <row r="63" spans="3:21" x14ac:dyDescent="0.25">
      <c r="C63" s="134"/>
      <c r="D63" s="141"/>
      <c r="E63" s="285"/>
      <c r="F63" s="843">
        <f>SUM(F57:F62)</f>
        <v>1990429.1183999996</v>
      </c>
      <c r="G63" s="843">
        <f ca="1">SUM(G57:G62)</f>
        <v>1370654.0538999999</v>
      </c>
      <c r="I63" s="41" t="str">
        <f t="shared" ca="1" si="0"/>
        <v>Yes</v>
      </c>
      <c r="J63" s="291"/>
      <c r="K63" s="291"/>
      <c r="M63" s="935"/>
    </row>
    <row r="64" spans="3:21" x14ac:dyDescent="0.25">
      <c r="C64" s="134"/>
      <c r="D64" s="141"/>
      <c r="E64" s="48"/>
      <c r="F64" s="845"/>
      <c r="G64" s="1213"/>
      <c r="I64" s="41" t="str">
        <f ca="1">IF(I63="No","No","Yes")</f>
        <v>Yes</v>
      </c>
      <c r="J64" s="291"/>
      <c r="K64" s="844">
        <f>+F39-F65</f>
        <v>0.10339999804273248</v>
      </c>
      <c r="L64" s="840">
        <f ca="1">+G39-G65</f>
        <v>-5.300000193528831E-2</v>
      </c>
      <c r="M64" s="844"/>
    </row>
    <row r="65" spans="3:20" ht="17.25" thickBot="1" x14ac:dyDescent="0.3">
      <c r="C65" s="134"/>
      <c r="D65" s="141"/>
      <c r="E65" s="48"/>
      <c r="F65" s="1507">
        <f>F54+F63</f>
        <v>2012530.7785380515</v>
      </c>
      <c r="G65" s="1217">
        <f ca="1">G54+G63</f>
        <v>1388468.4638999999</v>
      </c>
      <c r="I65" s="41" t="str">
        <f ca="1">IF(AND(F65=0,G65=0),"No","Yes")</f>
        <v>Yes</v>
      </c>
      <c r="J65" s="444">
        <f>+F39-F65</f>
        <v>0.10339999804273248</v>
      </c>
      <c r="K65" s="444">
        <f>+K64*100</f>
        <v>10.339999804273248</v>
      </c>
      <c r="L65" s="806">
        <f ca="1">+L64*100</f>
        <v>-5.300000193528831</v>
      </c>
      <c r="M65" s="935"/>
    </row>
    <row r="66" spans="3:20" ht="30" x14ac:dyDescent="0.25">
      <c r="C66" s="169"/>
      <c r="D66" s="687" t="s">
        <v>579</v>
      </c>
      <c r="E66" s="96"/>
      <c r="F66" s="942"/>
      <c r="G66" s="2567"/>
      <c r="I66" s="41" t="str">
        <f ca="1">+$I$65</f>
        <v>Yes</v>
      </c>
      <c r="J66" s="935">
        <f>+J65*100</f>
        <v>10.339999804273248</v>
      </c>
      <c r="K66" s="935"/>
      <c r="L66" s="935"/>
      <c r="M66" s="844"/>
      <c r="S66" s="932"/>
      <c r="T66" s="933"/>
    </row>
    <row r="67" spans="3:20" x14ac:dyDescent="0.25">
      <c r="C67" s="604" t="s">
        <v>13</v>
      </c>
      <c r="D67" s="529"/>
      <c r="E67" s="459"/>
      <c r="F67" s="1509"/>
      <c r="G67" s="1528"/>
      <c r="H67" s="318"/>
      <c r="I67" s="41" t="s">
        <v>990</v>
      </c>
      <c r="J67" s="935"/>
      <c r="K67" s="2367"/>
      <c r="L67" s="844"/>
    </row>
    <row r="68" spans="3:20" x14ac:dyDescent="0.25">
      <c r="C68" s="210" t="s">
        <v>3926</v>
      </c>
      <c r="D68" s="292"/>
      <c r="F68" s="2614" t="s">
        <v>14</v>
      </c>
      <c r="G68" s="1219"/>
      <c r="H68" s="42"/>
      <c r="I68" s="41" t="str">
        <f t="shared" ref="I68:I73" si="1">+$I$67</f>
        <v>Yes</v>
      </c>
      <c r="J68" s="844">
        <f>+J66-J70</f>
        <v>-370592.67890143674</v>
      </c>
      <c r="L68" s="844"/>
    </row>
    <row r="69" spans="3:20" x14ac:dyDescent="0.25">
      <c r="C69" s="141" t="s">
        <v>15</v>
      </c>
      <c r="D69" s="292"/>
      <c r="E69" s="278" t="s">
        <v>16</v>
      </c>
      <c r="F69" s="1771" t="str">
        <f>+C9</f>
        <v>Sample Company</v>
      </c>
      <c r="G69" s="1200"/>
      <c r="H69" s="279"/>
      <c r="I69" s="41" t="str">
        <f t="shared" si="1"/>
        <v>Yes</v>
      </c>
      <c r="L69" s="844"/>
    </row>
    <row r="70" spans="3:20" x14ac:dyDescent="0.25">
      <c r="C70" s="141" t="s">
        <v>3927</v>
      </c>
      <c r="D70" s="292"/>
      <c r="E70" s="278"/>
      <c r="F70" s="836"/>
      <c r="G70" s="1200"/>
      <c r="H70" s="279"/>
      <c r="I70" s="41" t="str">
        <f t="shared" si="1"/>
        <v>Yes</v>
      </c>
      <c r="J70" s="935">
        <v>370603.01890124101</v>
      </c>
    </row>
    <row r="71" spans="3:20" x14ac:dyDescent="0.3">
      <c r="C71" s="186" t="s">
        <v>3928</v>
      </c>
      <c r="D71" s="1"/>
      <c r="E71" s="1"/>
      <c r="F71" s="2615"/>
      <c r="G71" s="1220"/>
      <c r="H71" s="279"/>
      <c r="I71" s="41" t="str">
        <f t="shared" si="1"/>
        <v>Yes</v>
      </c>
    </row>
    <row r="72" spans="3:20" x14ac:dyDescent="0.3">
      <c r="C72" s="186"/>
      <c r="D72" s="1"/>
      <c r="E72" s="1"/>
      <c r="F72" s="2615"/>
      <c r="G72" s="1220"/>
      <c r="H72" s="281"/>
      <c r="I72" s="41" t="str">
        <f t="shared" si="1"/>
        <v>Yes</v>
      </c>
    </row>
    <row r="73" spans="3:20" x14ac:dyDescent="0.3">
      <c r="C73" s="186"/>
      <c r="D73" s="1"/>
      <c r="E73" s="1"/>
      <c r="F73" s="2615"/>
      <c r="G73" s="1220"/>
      <c r="H73" s="282"/>
      <c r="I73" s="41" t="str">
        <f t="shared" si="1"/>
        <v>Yes</v>
      </c>
    </row>
    <row r="74" spans="3:20" x14ac:dyDescent="0.3">
      <c r="C74" s="186"/>
      <c r="D74" s="1"/>
      <c r="E74" s="1"/>
      <c r="F74" s="2615"/>
      <c r="G74" s="1220"/>
      <c r="H74" s="42"/>
      <c r="I74" s="41" t="str">
        <f t="shared" ref="I74:I83" si="2">+$I$67</f>
        <v>Yes</v>
      </c>
      <c r="N74" s="217"/>
    </row>
    <row r="75" spans="3:20" x14ac:dyDescent="0.3">
      <c r="C75" s="186"/>
      <c r="D75" s="1"/>
      <c r="E75" s="1"/>
      <c r="F75" s="2615"/>
      <c r="G75" s="1220"/>
      <c r="I75" s="41" t="str">
        <f t="shared" si="2"/>
        <v>Yes</v>
      </c>
    </row>
    <row r="76" spans="3:20" x14ac:dyDescent="0.3">
      <c r="C76" s="186"/>
      <c r="D76" s="1"/>
      <c r="E76" s="1"/>
      <c r="F76" s="2615"/>
      <c r="G76" s="1220"/>
      <c r="H76" s="17"/>
      <c r="I76" s="41" t="str">
        <f t="shared" si="2"/>
        <v>Yes</v>
      </c>
    </row>
    <row r="77" spans="3:20" x14ac:dyDescent="0.25">
      <c r="C77" s="742" t="str">
        <f>'Master Data'!F9</f>
        <v>xxxx</v>
      </c>
      <c r="D77" s="743"/>
      <c r="F77" s="2614" t="str">
        <f>'Master Data'!F17</f>
        <v>xxxxx</v>
      </c>
      <c r="G77" s="1221" t="str">
        <f>'Master Data'!F23</f>
        <v>xxxxx</v>
      </c>
      <c r="H77" s="279"/>
      <c r="I77" s="41" t="str">
        <f t="shared" si="2"/>
        <v>Yes</v>
      </c>
    </row>
    <row r="78" spans="3:20" x14ac:dyDescent="0.25">
      <c r="C78" s="2713" t="s">
        <v>18</v>
      </c>
      <c r="D78" s="2714"/>
      <c r="F78" s="2614" t="str">
        <f>'Master Data'!F18</f>
        <v>Director</v>
      </c>
      <c r="G78" s="1219" t="str">
        <f>'Master Data'!F24</f>
        <v>Director</v>
      </c>
      <c r="H78" s="281"/>
      <c r="I78" s="41" t="str">
        <f t="shared" si="2"/>
        <v>Yes</v>
      </c>
    </row>
    <row r="79" spans="3:20" x14ac:dyDescent="0.3">
      <c r="C79" s="744" t="str">
        <f>"M.No."&amp;'Master Data'!F10</f>
        <v>M.No.xxxx</v>
      </c>
      <c r="D79" s="745"/>
      <c r="E79" s="14"/>
      <c r="F79" s="2616" t="str">
        <f>"DIN :"&amp;'Master Data'!F19</f>
        <v>DIN :xxxxx</v>
      </c>
      <c r="G79" s="1222" t="str">
        <f>"DIN :"&amp;'Master Data'!F25</f>
        <v>DIN :xxxxx</v>
      </c>
      <c r="H79" s="281"/>
      <c r="I79" s="41" t="str">
        <f t="shared" si="2"/>
        <v>Yes</v>
      </c>
    </row>
    <row r="80" spans="3:20" x14ac:dyDescent="0.3">
      <c r="C80" s="746" t="str">
        <f>"Place : "&amp;'Master Data'!F11</f>
        <v>Place : Pune</v>
      </c>
      <c r="D80" s="747" t="s">
        <v>3914</v>
      </c>
      <c r="E80" s="14"/>
      <c r="F80" s="1511" t="str">
        <f>"Place : "&amp;'Master Data'!F20</f>
        <v>Place : Australia</v>
      </c>
      <c r="G80" s="1223" t="str">
        <f>"Place : "&amp;'Master Data'!F26</f>
        <v>Place : Mumbai</v>
      </c>
      <c r="I80" s="41" t="str">
        <f t="shared" si="2"/>
        <v>Yes</v>
      </c>
    </row>
    <row r="81" spans="3:9" x14ac:dyDescent="0.3">
      <c r="C81" s="746" t="s">
        <v>3913</v>
      </c>
      <c r="D81" s="2702">
        <v>45905</v>
      </c>
      <c r="E81" s="14"/>
      <c r="F81" s="1511" t="s">
        <v>3916</v>
      </c>
      <c r="G81" s="1223" t="s">
        <v>3915</v>
      </c>
      <c r="I81" s="41" t="str">
        <f t="shared" si="2"/>
        <v>Yes</v>
      </c>
    </row>
    <row r="82" spans="3:9" x14ac:dyDescent="0.3">
      <c r="C82" s="746"/>
      <c r="D82" s="14"/>
      <c r="E82" s="14"/>
      <c r="F82" s="1511"/>
      <c r="G82" s="1222"/>
      <c r="I82" s="41" t="str">
        <f t="shared" si="2"/>
        <v>Yes</v>
      </c>
    </row>
    <row r="83" spans="3:9" x14ac:dyDescent="0.25">
      <c r="C83" s="142"/>
      <c r="D83" s="97"/>
      <c r="E83" s="97"/>
      <c r="F83" s="1512"/>
      <c r="G83" s="1533"/>
      <c r="I83" s="41" t="str">
        <f t="shared" si="2"/>
        <v>Yes</v>
      </c>
    </row>
    <row r="84" spans="3:9" x14ac:dyDescent="0.25">
      <c r="I84" s="41" t="s">
        <v>990</v>
      </c>
    </row>
  </sheetData>
  <mergeCells count="2">
    <mergeCell ref="C13:D13"/>
    <mergeCell ref="C78:D78"/>
  </mergeCells>
  <conditionalFormatting sqref="L60">
    <cfRule type="expression" dxfId="134" priority="1">
      <formula>#REF!&lt;&gt;""</formula>
    </cfRule>
  </conditionalFormatting>
  <pageMargins left="0.5" right="0.5" top="0.5" bottom="0.5" header="0.5" footer="0.5"/>
  <pageSetup paperSize="9" scale="65" orientation="portrait" r:id="rId1"/>
  <ignoredErrors>
    <ignoredError sqref="I49 E26" 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C9:N87"/>
  <sheetViews>
    <sheetView showGridLines="0" view="pageBreakPreview" topLeftCell="A22" zoomScale="80" zoomScaleNormal="80" zoomScaleSheetLayoutView="80" workbookViewId="0">
      <selection activeCell="J16" sqref="J16"/>
    </sheetView>
  </sheetViews>
  <sheetFormatPr defaultColWidth="9.140625" defaultRowHeight="16.5" x14ac:dyDescent="0.25"/>
  <cols>
    <col min="1" max="2" width="3.7109375" style="41" customWidth="1"/>
    <col min="3" max="3" width="7" style="81" customWidth="1"/>
    <col min="4" max="4" width="80.85546875" style="41" bestFit="1" customWidth="1"/>
    <col min="5" max="5" width="10.42578125" style="81" bestFit="1" customWidth="1"/>
    <col min="6" max="7" width="25.140625" style="841" customWidth="1"/>
    <col min="8" max="8" width="3.7109375" style="41" customWidth="1"/>
    <col min="9" max="9" width="9" style="81" hidden="1" customWidth="1"/>
    <col min="10" max="10" width="22.28515625" style="41" bestFit="1" customWidth="1"/>
    <col min="11" max="11" width="17.5703125" style="41" bestFit="1" customWidth="1"/>
    <col min="12" max="12" width="17.28515625" style="41" bestFit="1" customWidth="1"/>
    <col min="13" max="13" width="14.85546875" style="41" bestFit="1" customWidth="1"/>
    <col min="14" max="14" width="17.140625" style="41" bestFit="1" customWidth="1"/>
    <col min="15" max="16384" width="9.140625" style="41"/>
  </cols>
  <sheetData>
    <row r="9" spans="3:12" x14ac:dyDescent="0.25">
      <c r="C9" s="42" t="str">
        <f>Company_Name</f>
        <v>Sample Company</v>
      </c>
      <c r="D9" s="42"/>
      <c r="E9" s="42"/>
      <c r="F9" s="1510"/>
      <c r="G9" s="1510"/>
      <c r="H9" s="42"/>
    </row>
    <row r="10" spans="3:12" x14ac:dyDescent="0.25">
      <c r="C10" s="42" t="str">
        <f>+'Balance Sheet'!C10</f>
        <v>CIN: 1234567890</v>
      </c>
      <c r="D10" s="42"/>
      <c r="E10" s="42"/>
      <c r="F10" s="1510"/>
      <c r="G10" s="1510"/>
      <c r="H10" s="42"/>
    </row>
    <row r="11" spans="3:12" x14ac:dyDescent="0.25">
      <c r="C11" s="42" t="str">
        <f>"Statement of Profit and Loss "&amp; PLCY</f>
        <v>Statement of Profit and Loss For the Year ended 31st March 2025</v>
      </c>
      <c r="D11" s="42"/>
      <c r="E11" s="42"/>
      <c r="F11" s="1510"/>
      <c r="G11" s="1510"/>
      <c r="H11" s="42"/>
    </row>
    <row r="12" spans="3:12" x14ac:dyDescent="0.25">
      <c r="C12" s="42"/>
      <c r="D12" s="42"/>
      <c r="E12" s="42"/>
      <c r="F12" s="1510"/>
      <c r="G12" s="1524" t="str">
        <f>+'Balance Sheet'!G12</f>
        <v>Amount in Rs ' 00</v>
      </c>
      <c r="H12" s="357"/>
    </row>
    <row r="13" spans="3:12" ht="30" x14ac:dyDescent="0.25">
      <c r="C13" s="2715" t="s">
        <v>20</v>
      </c>
      <c r="D13" s="2716"/>
      <c r="E13" s="1929" t="s">
        <v>21</v>
      </c>
      <c r="F13" s="1951" t="str">
        <f>PLCY</f>
        <v>For the Year ended 31st March 2025</v>
      </c>
      <c r="G13" s="1951" t="str">
        <f>PLPY</f>
        <v>For the Year ended 31st March 2024</v>
      </c>
      <c r="H13" s="172"/>
      <c r="I13" s="81" t="s">
        <v>1022</v>
      </c>
    </row>
    <row r="14" spans="3:12" hidden="1" x14ac:dyDescent="0.25">
      <c r="C14" s="246" t="s">
        <v>2</v>
      </c>
      <c r="D14" s="210" t="s">
        <v>22</v>
      </c>
      <c r="E14" s="48"/>
      <c r="F14" s="845"/>
      <c r="G14" s="846"/>
      <c r="I14" s="81" t="str">
        <f>+IF(I50="No","No","Yes")</f>
        <v>No</v>
      </c>
    </row>
    <row r="15" spans="3:12" x14ac:dyDescent="0.25">
      <c r="C15" s="136"/>
      <c r="D15" s="42"/>
      <c r="E15" s="48"/>
      <c r="F15" s="845"/>
      <c r="G15" s="846"/>
      <c r="J15" s="1778"/>
      <c r="L15" s="844"/>
    </row>
    <row r="16" spans="3:12" x14ac:dyDescent="0.3">
      <c r="C16" s="246">
        <v>1</v>
      </c>
      <c r="D16" s="307" t="s">
        <v>748</v>
      </c>
      <c r="E16" s="331">
        <f>+MAX('Balance Sheet'!$E$17:$E$24,'Balance Sheet'!$E$26:$E$50,'Balance Sheet'!$E$52:$E$64)+1</f>
        <v>15</v>
      </c>
      <c r="F16" s="2329">
        <f>'Notes To P&amp;L'!E29</f>
        <v>5127672.6129999999</v>
      </c>
      <c r="G16" s="2329">
        <f>'Notes To P&amp;L'!F29</f>
        <v>4779400.8320000004</v>
      </c>
      <c r="H16" s="291"/>
      <c r="I16" s="81" t="str">
        <f>IF(AND(F16=0,G16=0),"No","Yes")</f>
        <v>Yes</v>
      </c>
      <c r="J16" s="935">
        <f>F16*100</f>
        <v>512767261.30000001</v>
      </c>
      <c r="K16" s="935"/>
      <c r="L16" s="844"/>
    </row>
    <row r="17" spans="3:12" x14ac:dyDescent="0.3">
      <c r="C17" s="246">
        <f>IF(I17="Yes",C16+1,C16)</f>
        <v>2</v>
      </c>
      <c r="D17" s="307" t="s">
        <v>23</v>
      </c>
      <c r="E17" s="285">
        <f>IF(I17="Yes",E16+1,E16)</f>
        <v>16</v>
      </c>
      <c r="F17" s="2329">
        <f>'Notes To P&amp;L'!E124</f>
        <v>57711.917700000005</v>
      </c>
      <c r="G17" s="2329">
        <f>'Notes To P&amp;L'!F124</f>
        <v>122819.364</v>
      </c>
      <c r="H17" s="291"/>
      <c r="I17" s="81" t="str">
        <f>IF(AND(F17=0,G17=0),"No","Yes")</f>
        <v>Yes</v>
      </c>
      <c r="J17" s="935">
        <f t="shared" ref="J17:J30" si="0">F17*100</f>
        <v>5771191.7700000005</v>
      </c>
      <c r="K17" s="935"/>
      <c r="L17" s="844"/>
    </row>
    <row r="18" spans="3:12" ht="17.25" thickBot="1" x14ac:dyDescent="0.35">
      <c r="C18" s="246">
        <f>C17+1</f>
        <v>3</v>
      </c>
      <c r="D18" s="330" t="str">
        <f>+IF(I17="Yes","Total Income (1+2)","Total Income")</f>
        <v>Total Income (1+2)</v>
      </c>
      <c r="E18" s="285"/>
      <c r="F18" s="2398">
        <f>IF(F17&gt;=0,SUM(F16:F17),F16)</f>
        <v>5185384.5307</v>
      </c>
      <c r="G18" s="2398">
        <f>IF(G17&gt;=0,SUM(G16:G17),G16)</f>
        <v>4902220.1960000005</v>
      </c>
      <c r="H18" s="291"/>
      <c r="I18" s="81" t="str">
        <f>IF(AND(F18=0,G18=0),"No","Yes")</f>
        <v>Yes</v>
      </c>
      <c r="J18" s="935">
        <f t="shared" si="0"/>
        <v>518538453.06999999</v>
      </c>
      <c r="K18" s="935"/>
    </row>
    <row r="19" spans="3:12" x14ac:dyDescent="0.3">
      <c r="C19" s="246"/>
      <c r="D19" s="210"/>
      <c r="E19" s="285"/>
      <c r="F19" s="1513"/>
      <c r="G19" s="1373"/>
      <c r="I19" s="81" t="str">
        <f>IF(AND(I21="No",I22="No",I23="No",I24="No",I25="No",I26="No",I27="No"),"No","Yes")</f>
        <v>Yes</v>
      </c>
      <c r="J19" s="935">
        <f t="shared" si="0"/>
        <v>0</v>
      </c>
      <c r="K19" s="844"/>
    </row>
    <row r="20" spans="3:12" x14ac:dyDescent="0.3">
      <c r="C20" s="246">
        <f>IF(I28="Yes",C18+1,C18)</f>
        <v>4</v>
      </c>
      <c r="D20" s="210" t="s">
        <v>24</v>
      </c>
      <c r="E20" s="285"/>
      <c r="F20" s="1513"/>
      <c r="G20" s="1373"/>
      <c r="I20" s="81" t="str">
        <f>IF(AND(I21="No",I22="No",I23="No",I24="No",I25="No",I26="No",I27="No",I28="No"),"No","Yes")</f>
        <v>Yes</v>
      </c>
      <c r="J20" s="935">
        <f t="shared" si="0"/>
        <v>0</v>
      </c>
    </row>
    <row r="21" spans="3:12" hidden="1" x14ac:dyDescent="0.3">
      <c r="C21" s="246"/>
      <c r="D21" s="1" t="str">
        <f>IF(I21="Yes","(a) Cost of materials consumed","(a) Cost of materials consumed")</f>
        <v>(a) Cost of materials consumed</v>
      </c>
      <c r="E21" s="285">
        <f>IF(I21="Yes",E17+1,E17)</f>
        <v>16</v>
      </c>
      <c r="F21" s="1376">
        <f>'Notes To P&amp;L'!E183</f>
        <v>0</v>
      </c>
      <c r="G21" s="1376">
        <f>'Notes To P&amp;L'!F183</f>
        <v>0</v>
      </c>
      <c r="I21" s="81" t="str">
        <f t="shared" ref="I21:I27" si="1">IF(AND(F21=0,G21=0),"No","Yes")</f>
        <v>No</v>
      </c>
      <c r="J21" s="935">
        <f t="shared" si="0"/>
        <v>0</v>
      </c>
    </row>
    <row r="22" spans="3:12" x14ac:dyDescent="0.3">
      <c r="C22" s="246"/>
      <c r="D22" s="1" t="str">
        <f>IF(I22="No","(b) Purchases of stock-in-trade (traded goods)",IF(COUNTIF($I$21:$I$21,"Yes")=0,"(a) Purchases of stock-in-trade (traded goods)",IF(COUNTIF($I$21:$I$21,"Yes")=1,"(b) Purchases of stock-in-trade (traded goods)","(b) Purchases of stock-in-trade (traded goods)")))</f>
        <v>(a) Purchases of stock-in-trade (traded goods)</v>
      </c>
      <c r="E22" s="285">
        <f>IF(I22="Yes",E21+1,E21)</f>
        <v>17</v>
      </c>
      <c r="F22" s="2399">
        <f>'Notes To P&amp;L'!E215</f>
        <v>1615132.9332999999</v>
      </c>
      <c r="G22" s="2399">
        <f>'Notes To P&amp;L'!F215</f>
        <v>1275219.3600000001</v>
      </c>
      <c r="H22" s="291"/>
      <c r="I22" s="81" t="str">
        <f t="shared" si="1"/>
        <v>Yes</v>
      </c>
      <c r="J22" s="935">
        <f t="shared" si="0"/>
        <v>161513293.32999998</v>
      </c>
      <c r="K22" s="844"/>
      <c r="L22" s="844"/>
    </row>
    <row r="23" spans="3:12" x14ac:dyDescent="0.3">
      <c r="C23" s="246"/>
      <c r="D23" s="1" t="str">
        <f>IF(I23="No","(c) Changes in inventories of finished goods, work-in-progress and stock-in-trade",IF(COUNTIF($I$21:$I$22,"Yes")=0,"(a) Changes in inventories of finished goods, work-in-progress and stock-in-trade",IF(COUNTIF($I$21:$I$22,"Yes")=1,"(b) Changes in inventories of finished goods, work-in-progress and stock-in-trade",IF(COUNTIF($I$21:$I$22,"Yes")=2,"(c) Changes in inventories of finished goods, work-in-progress and stock-in-trade ","(c) Changes in inventories of finished goods, work-in-progress and stock-in-trade "))))</f>
        <v>(b) Changes in inventories of finished goods, work-in-progress and stock-in-trade</v>
      </c>
      <c r="E23" s="285">
        <f>IF(I23="Yes",E22+1,E22)</f>
        <v>18</v>
      </c>
      <c r="F23" s="2399">
        <f>'Notes To P&amp;L'!E239</f>
        <v>-8132.5041999999958</v>
      </c>
      <c r="G23" s="2399">
        <f>'Notes To P&amp;L'!F239</f>
        <v>127595.1035</v>
      </c>
      <c r="I23" s="81" t="str">
        <f t="shared" si="1"/>
        <v>Yes</v>
      </c>
      <c r="J23" s="935">
        <f t="shared" si="0"/>
        <v>-813250.41999999958</v>
      </c>
      <c r="K23" s="844"/>
      <c r="L23" s="1778"/>
    </row>
    <row r="24" spans="3:12" x14ac:dyDescent="0.3">
      <c r="C24" s="246"/>
      <c r="D24" s="1" t="str">
        <f>IF(I24="No","(d) Employee benefits expense",IF(COUNTIF($I$21:$I$23,"Yes")=0,"(a) Employee benefits expense",IF(COUNTIF($I$21:$I$23,"Yes")=1,"(b) Employee benefits expense",IF(COUNTIF($I$21:$I$23,"Yes")=2,"(c) Employee benefits expense",IF(COUNTIF($I$21:$I$23,"Yes")=3,"(d) Employee benefits expense","(d) Employee benefits expense")))))</f>
        <v>(c) Employee benefits expense</v>
      </c>
      <c r="E24" s="285">
        <f>IF(I24="Yes",E23+1,E23)</f>
        <v>19</v>
      </c>
      <c r="F24" s="2399">
        <f>'Notes To P&amp;L'!E256</f>
        <v>1804494.7194000001</v>
      </c>
      <c r="G24" s="2399">
        <f>'Notes To P&amp;L'!F256</f>
        <v>1636043.5915000003</v>
      </c>
      <c r="I24" s="81" t="str">
        <f t="shared" si="1"/>
        <v>Yes</v>
      </c>
      <c r="J24" s="935">
        <f t="shared" si="0"/>
        <v>180449471.94</v>
      </c>
      <c r="K24" s="844"/>
      <c r="L24" s="935"/>
    </row>
    <row r="25" spans="3:12" hidden="1" x14ac:dyDescent="0.3">
      <c r="C25" s="246"/>
      <c r="D25" s="1" t="str">
        <f>IF(I25="No","(e) Finance Costs",IF(COUNTIF($I$21:$I$24,"Yes")=0,"(a)  Finance Costs",IF(COUNTIF($I$21:$I$24,"Yes")=1,"(b) Finance Costs",IF(COUNTIF($I$21:$I$24,"Yes")=2,"(c) Finance Costs",IF(COUNTIF($I$21:$I$24,"Yes")=3,"(d) Finance Costs",IF(COUNTIF($I$21:$I$24,"Yes")=4,"(e) Finance Costs","(e) Finance Costs"))))))</f>
        <v>(e) Finance Costs</v>
      </c>
      <c r="E25" s="285">
        <f>IF(I25="Yes",E24+1,E24)</f>
        <v>19</v>
      </c>
      <c r="F25" s="2399">
        <f>'Notes To P&amp;L'!E276</f>
        <v>0</v>
      </c>
      <c r="G25" s="2399">
        <f>'Notes To P&amp;L'!F276</f>
        <v>0</v>
      </c>
      <c r="I25" s="81" t="str">
        <f t="shared" si="1"/>
        <v>No</v>
      </c>
      <c r="J25" s="935">
        <f t="shared" si="0"/>
        <v>0</v>
      </c>
      <c r="K25" s="844"/>
    </row>
    <row r="26" spans="3:12" x14ac:dyDescent="0.3">
      <c r="C26" s="246"/>
      <c r="D26" s="41" t="str">
        <f>IF(I26="No","(e) Depreciation and amortisation expense",IF(COUNTIF($I$21:$I$25,"Yes")=0,"(a) Depreciation and amortisation expense",IF(COUNTIF($I$21:$I$25,"Yes")=1,"(b) Depreciation and amortisation expense",IF(COUNTIF($I$21:$I$25,"Yes")=2,"(c) Depreciation and amortisation expense",IF(COUNTIF($I$21:$I$25,"Yes")=3,"(d) Depreciation and amortisation expense",IF(COUNTIF($I$21:$I$25,"Yes")=4,"(e) Depreciation and amortisation expense",IF(COUNTIF($I$21:$I$25,"Yes")=5,"(f) Depreciation and amortisation expense","(f) Depreciation and amortisation expense")))))))</f>
        <v>(d) Depreciation and amortisation expense</v>
      </c>
      <c r="E26" s="285" t="str">
        <f>IF(I26="Yes",MID(FAR!D116,6,2),E25)</f>
        <v>8C</v>
      </c>
      <c r="F26" s="2399">
        <f>+FAR!E125</f>
        <v>890.83</v>
      </c>
      <c r="G26" s="2399">
        <f>+FAR!F125</f>
        <v>508</v>
      </c>
      <c r="H26" s="291"/>
      <c r="I26" s="81" t="str">
        <f t="shared" si="1"/>
        <v>Yes</v>
      </c>
      <c r="J26" s="935">
        <f t="shared" si="0"/>
        <v>89083</v>
      </c>
      <c r="K26" s="844"/>
    </row>
    <row r="27" spans="3:12" x14ac:dyDescent="0.3">
      <c r="C27" s="246"/>
      <c r="D27" s="41" t="str">
        <f>IF(I27="No","(e) Other Expenses",IF(COUNTIF($I$21:$I$26,"Yes")=0,"(a) Other Expenses",IF(COUNTIF($I$21:$I$26,"Yes")=1,"(b) Other Expenses",IF(COUNTIF($I$21:$I$26,"Yes")=2,"(c) Other Expenses",IF(COUNTIF($I$21:$I$26,"Yes")=3,"(d) Other Expenses",IF(COUNTIF($I$21:$I$26,"Yes")=4,"(e) Other Expenses",IF(COUNTIF($I$21:$I$26,"Yes")=5,"(f) Other Expenses",IF(COUNTIF($I$21:$I$26,"Yes")=6,"(g) Other Expenses","(g) Other Expenses"))))))))</f>
        <v>(e) Other Expenses</v>
      </c>
      <c r="E27" s="285">
        <f>IF(I27="Yes",E25+1,E25)</f>
        <v>20</v>
      </c>
      <c r="F27" s="2399">
        <f>'Notes To P&amp;L'!E343</f>
        <v>1408037.1584000001</v>
      </c>
      <c r="G27" s="2399">
        <f>'Notes To P&amp;L'!F343</f>
        <v>1578422.5781999999</v>
      </c>
      <c r="I27" s="81" t="str">
        <f t="shared" si="1"/>
        <v>Yes</v>
      </c>
      <c r="J27" s="935">
        <f t="shared" si="0"/>
        <v>140803715.84</v>
      </c>
      <c r="K27" s="935"/>
    </row>
    <row r="28" spans="3:12" ht="17.25" thickBot="1" x14ac:dyDescent="0.3">
      <c r="C28" s="246"/>
      <c r="D28" s="137" t="s">
        <v>25</v>
      </c>
      <c r="E28" s="285"/>
      <c r="F28" s="1514">
        <f>SUM(F21:F27)</f>
        <v>4820423.1369000003</v>
      </c>
      <c r="G28" s="1514">
        <f>SUM(G21:G27)</f>
        <v>4617788.633200001</v>
      </c>
      <c r="H28" s="42"/>
      <c r="I28" s="81" t="str">
        <f>IF(AND(I21="No",I22="No",I23="No",I24="No",I25="No",I26="No",I27="No"),"No","Yes")</f>
        <v>Yes</v>
      </c>
      <c r="J28" s="935">
        <f t="shared" si="0"/>
        <v>482042313.69000006</v>
      </c>
      <c r="K28" s="935"/>
      <c r="L28" s="844"/>
    </row>
    <row r="29" spans="3:12" x14ac:dyDescent="0.3">
      <c r="C29" s="246"/>
      <c r="D29" s="141"/>
      <c r="E29" s="285"/>
      <c r="F29" s="1513"/>
      <c r="G29" s="1373"/>
      <c r="J29" s="935">
        <f t="shared" si="0"/>
        <v>0</v>
      </c>
      <c r="K29" s="935"/>
    </row>
    <row r="30" spans="3:12" x14ac:dyDescent="0.3">
      <c r="C30" s="246">
        <f>C20+1</f>
        <v>5</v>
      </c>
      <c r="D30" s="332" t="str">
        <f>IF(F30&gt;=0,"Profit ","(Loss) ")&amp;"Before "&amp;IF(I32="Yes","Exceptional ","")&amp;IF(AND(I32="Yes",I36="Yes"),"&amp; ","")&amp;IF(I36="Yes","Extraordinary","")&amp;IF(AND(I32="No",I36="No"),"Tax"," items and Tax")&amp;" ( "&amp;C18&amp;" - "&amp;C20&amp;" )"</f>
        <v>Profit Before Exceptional  items and Tax ( 3 - 4 )</v>
      </c>
      <c r="E30" s="285"/>
      <c r="F30" s="1513">
        <f>F18-F28+1</f>
        <v>364962.39379999973</v>
      </c>
      <c r="G30" s="1513">
        <f>G18-G28</f>
        <v>284431.56279999949</v>
      </c>
      <c r="I30" s="81" t="str">
        <f>IF(I32="Yes","Yes","No")</f>
        <v>Yes</v>
      </c>
      <c r="J30" s="935">
        <f t="shared" si="0"/>
        <v>36496239.379999973</v>
      </c>
      <c r="K30" s="935"/>
    </row>
    <row r="31" spans="3:12" x14ac:dyDescent="0.3">
      <c r="C31" s="246"/>
      <c r="D31" s="141"/>
      <c r="E31" s="285"/>
      <c r="F31" s="1513"/>
      <c r="G31" s="1373"/>
      <c r="I31" s="81" t="str">
        <f>IF(I32="Yes","Yes","No")</f>
        <v>Yes</v>
      </c>
      <c r="J31" s="935"/>
      <c r="K31" s="935"/>
    </row>
    <row r="32" spans="3:12" x14ac:dyDescent="0.3">
      <c r="C32" s="246">
        <f>IF(I32="Yes",C30+1,C30)</f>
        <v>6</v>
      </c>
      <c r="D32" s="41" t="s">
        <v>3885</v>
      </c>
      <c r="E32" s="285">
        <f>IF(I32="Yes",E27+1,E27)</f>
        <v>21</v>
      </c>
      <c r="F32" s="1513">
        <f>'Notes To P&amp;L'!E386</f>
        <v>58726.74</v>
      </c>
      <c r="G32" s="1513">
        <f>'Notes To P&amp;L'!F386</f>
        <v>0</v>
      </c>
      <c r="I32" s="81" t="str">
        <f>IF(AND(F32=0,G32=0),"No","Yes")</f>
        <v>Yes</v>
      </c>
      <c r="J32" s="935"/>
      <c r="K32" s="935"/>
    </row>
    <row r="33" spans="3:12" x14ac:dyDescent="0.3">
      <c r="C33" s="246"/>
      <c r="D33" s="141"/>
      <c r="E33" s="285"/>
      <c r="F33" s="1513"/>
      <c r="G33" s="1373"/>
      <c r="I33" s="81" t="str">
        <f>IF(I32="Yes","Yes","No")</f>
        <v>Yes</v>
      </c>
      <c r="J33" s="935"/>
      <c r="K33" s="935"/>
    </row>
    <row r="34" spans="3:12" hidden="1" x14ac:dyDescent="0.3">
      <c r="C34" s="246">
        <f>IF(I32="No",C30,C32+1)</f>
        <v>7</v>
      </c>
      <c r="D34" s="114" t="str">
        <f>IF(I32="No",D30,IF(F34&gt;=0,"Profit","(Loss)")&amp;" Before "&amp;IF(I36="Yes","Extraordinary items and Tax ","Tax")&amp;" ("&amp;C30&amp;" - "&amp;C32&amp;")")</f>
        <v>Profit Before Tax (5 - 6)</v>
      </c>
      <c r="E34" s="285"/>
      <c r="F34" s="1515">
        <f>F30+F32</f>
        <v>423689.13379999972</v>
      </c>
      <c r="G34" s="1515">
        <f>G30+G32</f>
        <v>284431.56279999949</v>
      </c>
      <c r="I34" s="81" t="str">
        <f>IF(I36="Yes","Yes","No")</f>
        <v>No</v>
      </c>
      <c r="J34" s="935"/>
      <c r="K34" s="935"/>
    </row>
    <row r="35" spans="3:12" hidden="1" x14ac:dyDescent="0.3">
      <c r="C35" s="246"/>
      <c r="D35" s="141"/>
      <c r="E35" s="285"/>
      <c r="F35" s="1513"/>
      <c r="G35" s="1373"/>
      <c r="I35" s="81" t="str">
        <f>IF(I36="Yes","Yes","No")</f>
        <v>No</v>
      </c>
      <c r="J35" s="935"/>
      <c r="K35" s="935"/>
    </row>
    <row r="36" spans="3:12" hidden="1" x14ac:dyDescent="0.3">
      <c r="C36" s="246">
        <f>IF(I36="Yes",C34+1,C34)</f>
        <v>7</v>
      </c>
      <c r="D36" s="41" t="s">
        <v>26</v>
      </c>
      <c r="E36" s="285">
        <f>IF(I36="Yes",E32+1,E32)</f>
        <v>21</v>
      </c>
      <c r="F36" s="1513">
        <f>'Notes To P&amp;L'!E402</f>
        <v>0</v>
      </c>
      <c r="G36" s="1513">
        <f>'Notes To P&amp;L'!F402</f>
        <v>0</v>
      </c>
      <c r="I36" s="81" t="str">
        <f>IF(AND(F36=0,G36=0),"No","Yes")</f>
        <v>No</v>
      </c>
      <c r="J36" s="935"/>
      <c r="K36" s="935"/>
    </row>
    <row r="37" spans="3:12" hidden="1" x14ac:dyDescent="0.3">
      <c r="C37" s="246"/>
      <c r="D37" s="141"/>
      <c r="E37" s="285"/>
      <c r="F37" s="1513"/>
      <c r="G37" s="1373"/>
      <c r="I37" s="81" t="str">
        <f>IF(I36="Yes","Yes","No")</f>
        <v>No</v>
      </c>
      <c r="J37" s="935"/>
      <c r="K37" s="935"/>
    </row>
    <row r="38" spans="3:12" x14ac:dyDescent="0.3">
      <c r="C38" s="246">
        <f>IF(I36="No",C34,C36+1)</f>
        <v>7</v>
      </c>
      <c r="D38" s="210" t="str">
        <f>IF(I36="No",D34,IF(F30&gt;=0,"Profit ","(Loss) ")&amp;"Before tax"&amp;" ("&amp;C34&amp;" - "&amp;C36&amp;")")</f>
        <v>Profit Before Tax (5 - 6)</v>
      </c>
      <c r="E38" s="285"/>
      <c r="F38" s="1516">
        <f>F34+F36</f>
        <v>423689.13379999972</v>
      </c>
      <c r="G38" s="1516">
        <f>G34+G36</f>
        <v>284431.56279999949</v>
      </c>
      <c r="I38" s="81" t="str">
        <f>IF(AND(D38="Profit Before Tax ( 2 - 3 )",F38=0,G38=0),"No","Yes")</f>
        <v>Yes</v>
      </c>
      <c r="J38" s="935"/>
      <c r="K38" s="935"/>
    </row>
    <row r="39" spans="3:12" x14ac:dyDescent="0.3">
      <c r="C39" s="246"/>
      <c r="D39" s="141"/>
      <c r="E39" s="285"/>
      <c r="F39" s="1513"/>
      <c r="G39" s="1373"/>
      <c r="I39" s="81" t="str">
        <f>+IF(AND(F38=F48),"No","Yes")</f>
        <v>Yes</v>
      </c>
      <c r="J39" s="935"/>
    </row>
    <row r="40" spans="3:12" x14ac:dyDescent="0.3">
      <c r="C40" s="246">
        <f>IF(I40="Yes",C38+1,C38)</f>
        <v>8</v>
      </c>
      <c r="D40" s="210" t="s">
        <v>619</v>
      </c>
      <c r="E40" s="285"/>
      <c r="F40" s="1513"/>
      <c r="G40" s="1373"/>
      <c r="I40" s="81" t="str">
        <f>IF(AND(I41="No",I42="No",I43="No",I45="No"),"No","Yes")</f>
        <v>Yes</v>
      </c>
      <c r="J40" s="935"/>
    </row>
    <row r="41" spans="3:12" x14ac:dyDescent="0.3">
      <c r="C41" s="246"/>
      <c r="D41" s="286" t="str">
        <f>IF(I41="Yes","(a) Current tax expense ","(a) Current tax expense ")</f>
        <v xml:space="preserve">(a) Current tax expense </v>
      </c>
      <c r="E41" s="285"/>
      <c r="F41" s="1513">
        <f>+'Qualitative Disclosures'!E953</f>
        <v>109835.1035</v>
      </c>
      <c r="G41" s="1373">
        <f>+'Qualitative Disclosures'!F953</f>
        <v>80000</v>
      </c>
      <c r="I41" s="81" t="str">
        <f>IF(AND(F41=0,G41=0),"No","Yes")</f>
        <v>Yes</v>
      </c>
      <c r="J41" s="935"/>
    </row>
    <row r="42" spans="3:12" hidden="1" x14ac:dyDescent="0.3">
      <c r="C42" s="246"/>
      <c r="D42" s="286" t="str">
        <f>IF(I42="No","(b) (Less): MAT credit (where applicable)",IF(COUNTIF(I41,"Yes")=1,"(b) (Less): MAT credit (where applicable)","(a) (Less): MAT credit (where applicable)"))</f>
        <v>(b) (Less): MAT credit (where applicable)</v>
      </c>
      <c r="E42" s="285"/>
      <c r="F42" s="1513">
        <f>+'Qualitative Disclosures'!E954</f>
        <v>0</v>
      </c>
      <c r="G42" s="1373">
        <f>+'Qualitative Disclosures'!F954</f>
        <v>0</v>
      </c>
      <c r="I42" s="81" t="str">
        <f>IF(AND(F42=0,G42=0),"No","Yes")</f>
        <v>No</v>
      </c>
      <c r="J42" s="935"/>
      <c r="K42" s="935"/>
      <c r="L42" s="844"/>
    </row>
    <row r="43" spans="3:12" x14ac:dyDescent="0.3">
      <c r="C43" s="246"/>
      <c r="D43" s="287" t="str">
        <f>IF(I43="No","(c)  Short / (Excess) provision for tax relating to prior years",IF(COUNTIF($I$41:$I$42,"Yes")=0,"(a)  Short / (Excess) provision for tax relating to prior years",IF(COUNTIF($I$41:$I$42,"Yes")=1,"(b)  Short / (Excess) provision for tax relating to prior years",IF(COUNTIF($I$41:$I$42,"Yes")=2,"(c)  Short / (Excess) provision for tax relating to prior years","(c)  Short / (Excess) provision for tax relating to prior years"))))</f>
        <v>(b)  Short / (Excess) provision for tax relating to prior years</v>
      </c>
      <c r="E43" s="285"/>
      <c r="F43" s="1517">
        <f>+'Qualitative Disclosures'!E955</f>
        <v>-10911.088299999998</v>
      </c>
      <c r="G43" s="1525">
        <f>+'Qualitative Disclosures'!F955</f>
        <v>-4932.92</v>
      </c>
      <c r="I43" s="81" t="str">
        <f>IF(AND(F43=0,G43=0),"No","Yes")</f>
        <v>Yes</v>
      </c>
      <c r="J43" s="935"/>
      <c r="K43" s="935"/>
      <c r="L43" s="844"/>
    </row>
    <row r="44" spans="3:12" x14ac:dyDescent="0.3">
      <c r="C44" s="246"/>
      <c r="D44" s="286" t="str">
        <f>IF(I44="No","(d)  Net current tax expense ",IF(COUNTIF($I$41:$I$43,"Yes")=0,"(a)  Net current tax expense ",IF(COUNTIF($I$41:$I$43,"Yes")=1,"(b)  Net current tax expense ",IF(COUNTIF($I$41:$I$43,"Yes")=2,"(c)  Net current tax expense ",IF(COUNTIF($I$41:$I$43,"Yes")=3,"(d)  Net current tax expense ","(d)  Net current tax expense ")))))</f>
        <v xml:space="preserve">(c)  Net current tax expense </v>
      </c>
      <c r="E44" s="285"/>
      <c r="F44" s="1376">
        <f>+'Qualitative Disclosures'!E956</f>
        <v>98924.015199999994</v>
      </c>
      <c r="G44" s="1376">
        <f>+'Qualitative Disclosures'!F956</f>
        <v>75067.08</v>
      </c>
      <c r="I44" s="81" t="str">
        <f>IF(I45="No","No","Yes")</f>
        <v>Yes</v>
      </c>
      <c r="J44" s="935"/>
    </row>
    <row r="45" spans="3:12" x14ac:dyDescent="0.3">
      <c r="C45" s="246"/>
      <c r="D45" s="286" t="str">
        <f>IF(I45="No","(e)  Deferred tax",IF(COUNTIF($I$41:$I$44,"Yes")=0,"(a)  Deferred tax",IF(COUNTIF($I$41:$I$44,"Yes")=1,"(b)  Deferred tax",IF(COUNTIF($I$41:$I$44,"Yes")=2,"(c)  Deferred tax",IF(COUNTIF($I$41:$I$44,"Yes")=3,"(d)  Deferred tax",IF(COUNTIF($I$41:$I$44,"Yes")=4,"(e)  Deferred tax","(e)  Deferred tax"))))))</f>
        <v>(d)  Deferred tax</v>
      </c>
      <c r="E45" s="285"/>
      <c r="F45" s="1376">
        <f>+'Qualitative Disclosures'!E957</f>
        <v>-1252.4291380519999</v>
      </c>
      <c r="G45" s="1379">
        <f>+'Qualitative Disclosures'!F957</f>
        <v>19</v>
      </c>
      <c r="I45" s="81" t="str">
        <f>IF(AND(F45=0,G45=0),"No","Yes")</f>
        <v>Yes</v>
      </c>
      <c r="J45" s="935">
        <f>+J46-J47</f>
        <v>8.6194824427366257E-2</v>
      </c>
      <c r="K45" s="935">
        <f>+K47-K46</f>
        <v>211.38999994844198</v>
      </c>
    </row>
    <row r="46" spans="3:12" x14ac:dyDescent="0.25">
      <c r="C46" s="246"/>
      <c r="D46" s="141" t="s">
        <v>601</v>
      </c>
      <c r="E46" s="285"/>
      <c r="F46" s="1518">
        <f>+'Qualitative Disclosures'!E958</f>
        <v>97671.586061947994</v>
      </c>
      <c r="G46" s="1518">
        <f>+'Qualitative Disclosures'!F958</f>
        <v>75086.080000000002</v>
      </c>
      <c r="H46" s="42"/>
      <c r="I46" s="81" t="str">
        <f>IF(AND(F46=0,G46=0),"No","Yes")</f>
        <v>Yes</v>
      </c>
      <c r="J46" s="935">
        <v>32601654.859999999</v>
      </c>
      <c r="K46" s="935">
        <v>20934336.890000001</v>
      </c>
    </row>
    <row r="47" spans="3:12" x14ac:dyDescent="0.3">
      <c r="C47" s="246"/>
      <c r="D47" s="114"/>
      <c r="E47" s="285"/>
      <c r="F47" s="1379"/>
      <c r="G47" s="1379"/>
      <c r="J47" s="935">
        <f>+F48*100</f>
        <v>32601654.773805175</v>
      </c>
      <c r="K47" s="935">
        <f>+G48*100</f>
        <v>20934548.279999949</v>
      </c>
    </row>
    <row r="48" spans="3:12" hidden="1" x14ac:dyDescent="0.3">
      <c r="C48" s="246">
        <f>IF(I48="Yes",C40+1,C40)</f>
        <v>8</v>
      </c>
      <c r="D48" s="114" t="str">
        <f>+IF(I48="No",IF(I50="No","Profit / (Loss) for the year " &amp;"("&amp; C38&amp;" - "&amp; C40&amp;")","Profit / (Loss) from continuing operations " &amp;"("&amp; C38&amp;" - "&amp; C40&amp;")"))</f>
        <v>Profit / (Loss) for the year (7 - 8)</v>
      </c>
      <c r="E48" s="285"/>
      <c r="F48" s="1375">
        <f>F38-F46-1</f>
        <v>326016.54773805174</v>
      </c>
      <c r="G48" s="1375">
        <f>G38-G46</f>
        <v>209345.48279999947</v>
      </c>
      <c r="I48" s="81" t="str">
        <f>IF(I50="No","No","Yes")</f>
        <v>No</v>
      </c>
      <c r="J48" s="935"/>
      <c r="K48" s="935">
        <v>20934500</v>
      </c>
    </row>
    <row r="49" spans="3:14" hidden="1" x14ac:dyDescent="0.3">
      <c r="C49" s="246"/>
      <c r="D49" s="114"/>
      <c r="E49" s="285"/>
      <c r="F49" s="1376"/>
      <c r="G49" s="1376"/>
      <c r="I49" s="81" t="str">
        <f>IF(I50="No","No","Yes")</f>
        <v>No</v>
      </c>
      <c r="J49" s="844"/>
      <c r="K49" s="844">
        <f>+K48-K47</f>
        <v>-48.279999949038029</v>
      </c>
    </row>
    <row r="50" spans="3:14" hidden="1" x14ac:dyDescent="0.3">
      <c r="C50" s="246" t="str">
        <f>IF(I50="Yes",CHAR(CODE(C14)+1),C14)</f>
        <v>A</v>
      </c>
      <c r="D50" s="210" t="s">
        <v>27</v>
      </c>
      <c r="E50" s="285"/>
      <c r="F50" s="1376"/>
      <c r="G50" s="1376"/>
      <c r="I50" s="81" t="str">
        <f>IF(AND(I51="No",I52="No",I53="No",I54="No",I55="No",I56="No",I57="No"),"No","Yes")</f>
        <v>No</v>
      </c>
    </row>
    <row r="51" spans="3:14" hidden="1" x14ac:dyDescent="0.3">
      <c r="C51" s="246"/>
      <c r="D51" s="141"/>
      <c r="E51" s="285"/>
      <c r="F51" s="1376"/>
      <c r="G51" s="1376"/>
      <c r="I51" s="81" t="str">
        <f>IF(I52="No","No","Yes")</f>
        <v>No</v>
      </c>
      <c r="J51" s="935"/>
    </row>
    <row r="52" spans="3:14" hidden="1" x14ac:dyDescent="0.3">
      <c r="C52" s="246" t="str">
        <f>IF(I52="Yes",C48+1&amp;"."&amp;"i",C48&amp;"."&amp;"i")</f>
        <v>8.i</v>
      </c>
      <c r="D52" s="141" t="s">
        <v>28</v>
      </c>
      <c r="E52" s="285">
        <f>IF(I50="Yes",MID('Disclosures under AS'!C215,6,2),E36)</f>
        <v>21</v>
      </c>
      <c r="F52" s="1376">
        <f>+'Disclosures under AS'!D236</f>
        <v>0</v>
      </c>
      <c r="G52" s="1376">
        <f>+'Disclosures under AS'!E236</f>
        <v>0</v>
      </c>
      <c r="I52" s="81" t="str">
        <f>IF(AND(F52=0,G52=0),"No","Yes")</f>
        <v>No</v>
      </c>
      <c r="J52" s="935"/>
    </row>
    <row r="53" spans="3:14" ht="33" hidden="1" x14ac:dyDescent="0.3">
      <c r="C53" s="246" t="str">
        <f>IF(I50="No",C48&amp;"."&amp;"ii",IF(I53="No",C48+1&amp;"."&amp;"ii",IF(COUNTIF(I52,"Yes")=0,C48+1&amp;"."&amp;"i",IF(COUNTIF(I52,"Yes")=1,C48+1&amp;"."&amp;"ii",C48+1&amp;"."&amp;"ii"))))</f>
        <v>8.ii</v>
      </c>
      <c r="D53" s="127" t="s">
        <v>29</v>
      </c>
      <c r="E53" s="285">
        <f>+E52</f>
        <v>21</v>
      </c>
      <c r="F53" s="1379">
        <f>+'Disclosures under AS'!D237</f>
        <v>0</v>
      </c>
      <c r="G53" s="1379">
        <f>+'Disclosures under AS'!E237</f>
        <v>0</v>
      </c>
      <c r="I53" s="81" t="str">
        <f>IF(AND(F53=0,G53=0),"No","Yes")</f>
        <v>No</v>
      </c>
      <c r="J53" s="935"/>
    </row>
    <row r="54" spans="3:14" hidden="1" x14ac:dyDescent="0.3">
      <c r="C54" s="246"/>
      <c r="D54" s="127"/>
      <c r="E54" s="285"/>
      <c r="F54" s="1376">
        <f>F52+F53</f>
        <v>0</v>
      </c>
      <c r="G54" s="1376">
        <f>G52+G53</f>
        <v>0</v>
      </c>
      <c r="I54" s="81" t="str">
        <f>IF(AND(I53="No",I52="No"),"No","Yes")</f>
        <v>No</v>
      </c>
      <c r="J54" s="935"/>
    </row>
    <row r="55" spans="3:14" hidden="1" x14ac:dyDescent="0.3">
      <c r="C55" s="246" t="str">
        <f>IF(I50="No",C48&amp;"."&amp;"iii",IF(I55="No",C48+1&amp;"."&amp;"iii",IF(COUNTIF($I$52:$I$53,"Yes")=0,C48+1&amp;"."&amp;"i",IF(COUNTIF($I$52:$I$53,"Yes")=1,C48+1&amp;"."&amp;"ii",IF(COUNTIF($I$52:$I$53,"Yes")=2,C48+1&amp;"."&amp;"iii")))))</f>
        <v>8.iii</v>
      </c>
      <c r="D55" s="141" t="s">
        <v>556</v>
      </c>
      <c r="E55" s="285">
        <f>+E52</f>
        <v>21</v>
      </c>
      <c r="F55" s="1376"/>
      <c r="G55" s="1376"/>
      <c r="I55" s="81" t="str">
        <f>IF(AND(I56="No",I57="No"),"No","Yes")</f>
        <v>No</v>
      </c>
      <c r="J55" s="935"/>
    </row>
    <row r="56" spans="3:14" hidden="1" x14ac:dyDescent="0.3">
      <c r="C56" s="246"/>
      <c r="D56" s="288" t="s">
        <v>30</v>
      </c>
      <c r="E56" s="285"/>
      <c r="F56" s="1376">
        <f>+'Disclosures under AS'!D240</f>
        <v>0</v>
      </c>
      <c r="G56" s="1376">
        <f>+'Disclosures under AS'!E240</f>
        <v>0</v>
      </c>
      <c r="I56" s="81" t="str">
        <f t="shared" ref="I56:I61" si="2">IF(AND(F56=0,G56=0),"No","Yes")</f>
        <v>No</v>
      </c>
      <c r="J56" s="935"/>
    </row>
    <row r="57" spans="3:14" hidden="1" x14ac:dyDescent="0.3">
      <c r="C57" s="246"/>
      <c r="D57" s="288" t="str">
        <f>IF(I57="No","(b) on gain / (loss) on disposal of assets / settlement of liabilities",IF(I56="Yes","(b) on gain / (loss) on disposal of assets / settlement of liabilities","(a) on gain / (loss) on disposal of assets / settlement of liabilities"))</f>
        <v>(b) on gain / (loss) on disposal of assets / settlement of liabilities</v>
      </c>
      <c r="E57" s="285"/>
      <c r="F57" s="1379">
        <f>+'Disclosures under AS'!D241</f>
        <v>0</v>
      </c>
      <c r="G57" s="1379">
        <f>+'Disclosures under AS'!E241</f>
        <v>0</v>
      </c>
      <c r="I57" s="81" t="str">
        <f t="shared" si="2"/>
        <v>No</v>
      </c>
      <c r="J57" s="935"/>
    </row>
    <row r="58" spans="3:14" hidden="1" x14ac:dyDescent="0.3">
      <c r="C58" s="246"/>
      <c r="D58" s="128"/>
      <c r="E58" s="285"/>
      <c r="F58" s="1376">
        <f>F56+F57</f>
        <v>0</v>
      </c>
      <c r="G58" s="1376">
        <f>G56+G57</f>
        <v>0</v>
      </c>
      <c r="I58" s="81" t="str">
        <f t="shared" si="2"/>
        <v>No</v>
      </c>
      <c r="J58" s="935"/>
    </row>
    <row r="59" spans="3:14" hidden="1" x14ac:dyDescent="0.3">
      <c r="C59" s="246"/>
      <c r="D59" s="128"/>
      <c r="E59" s="285"/>
      <c r="F59" s="1379"/>
      <c r="G59" s="1379"/>
      <c r="I59" s="81" t="str">
        <f t="shared" si="2"/>
        <v>No</v>
      </c>
      <c r="J59" s="935"/>
    </row>
    <row r="60" spans="3:14" hidden="1" x14ac:dyDescent="0.3">
      <c r="C60" s="246" t="e">
        <f ca="1">IF(I60="Yes",_xlfn.TEXTBEFORE(C55,".")+1,_xlfn.TEXTBEFORE(C55,"."))</f>
        <v>#NAME?</v>
      </c>
      <c r="D60" s="114" t="s">
        <v>3550</v>
      </c>
      <c r="E60" s="285">
        <f>+E52</f>
        <v>21</v>
      </c>
      <c r="F60" s="1375">
        <f>F54+F58</f>
        <v>0</v>
      </c>
      <c r="G60" s="1375">
        <f>G54+G58</f>
        <v>0</v>
      </c>
      <c r="I60" s="81" t="str">
        <f t="shared" si="2"/>
        <v>No</v>
      </c>
      <c r="J60" s="935">
        <v>0</v>
      </c>
    </row>
    <row r="61" spans="3:14" hidden="1" x14ac:dyDescent="0.3">
      <c r="C61" s="246"/>
      <c r="D61" s="141"/>
      <c r="E61" s="285"/>
      <c r="F61" s="1376"/>
      <c r="G61" s="1376"/>
      <c r="I61" s="81" t="str">
        <f t="shared" si="2"/>
        <v>No</v>
      </c>
      <c r="J61" s="935"/>
    </row>
    <row r="62" spans="3:14" hidden="1" x14ac:dyDescent="0.3">
      <c r="C62" s="246" t="str">
        <f>IF(C50="A","B","C")</f>
        <v>B</v>
      </c>
      <c r="D62" s="210" t="s">
        <v>31</v>
      </c>
      <c r="E62" s="285"/>
      <c r="F62" s="1376"/>
      <c r="G62" s="1376"/>
      <c r="I62" s="81" t="str">
        <f>IF(I50="Yes","Yes","No")</f>
        <v>No</v>
      </c>
      <c r="J62" s="935"/>
    </row>
    <row r="63" spans="3:14" hidden="1" x14ac:dyDescent="0.3">
      <c r="C63" s="246"/>
      <c r="D63" s="141"/>
      <c r="E63" s="285"/>
      <c r="F63" s="1376"/>
      <c r="G63" s="1376"/>
      <c r="I63" s="81" t="str">
        <f>IF(I62="Yes","Yes","No")</f>
        <v>No</v>
      </c>
      <c r="J63" s="935"/>
    </row>
    <row r="64" spans="3:14" ht="17.25" thickBot="1" x14ac:dyDescent="0.35">
      <c r="C64" s="246" t="e">
        <f ca="1">C60+1</f>
        <v>#NAME?</v>
      </c>
      <c r="D64" s="210" t="str">
        <f>+IF(I60="No","Profit / (Loss) for the year "&amp;"("&amp;C38&amp;" - "&amp;C40&amp;")","Profit / (Loss) for the year "&amp;"("&amp;C48&amp;" - "&amp;C60&amp;")")</f>
        <v>Profit / (Loss) for the year (7 - 8)</v>
      </c>
      <c r="E64" s="285"/>
      <c r="F64" s="1519">
        <f>F48+F60</f>
        <v>326016.54773805174</v>
      </c>
      <c r="G64" s="1519">
        <f>G48+G60</f>
        <v>209345.48279999947</v>
      </c>
      <c r="I64" s="81" t="s">
        <v>990</v>
      </c>
      <c r="J64" s="935"/>
      <c r="M64" s="934"/>
      <c r="N64" s="935"/>
    </row>
    <row r="65" spans="3:14" x14ac:dyDescent="0.3">
      <c r="C65" s="246"/>
      <c r="D65" s="141"/>
      <c r="E65" s="285"/>
      <c r="F65" s="1513"/>
      <c r="G65" s="1513"/>
      <c r="I65" s="81" t="str">
        <f>+I71</f>
        <v>Yes</v>
      </c>
      <c r="N65" s="844"/>
    </row>
    <row r="66" spans="3:14" x14ac:dyDescent="0.3">
      <c r="C66" s="246" t="e">
        <f ca="1">C64+1</f>
        <v>#NAME?</v>
      </c>
      <c r="D66" s="245" t="str">
        <f>+"Earnings per share (of "&amp;'Qualitative Disclosures'!F12&amp;"/- each):"</f>
        <v>Earnings per share (of 100/- each):</v>
      </c>
      <c r="E66" s="285"/>
      <c r="F66" s="1513"/>
      <c r="G66" s="1513"/>
      <c r="I66" s="81" t="str">
        <f>+I65</f>
        <v>Yes</v>
      </c>
    </row>
    <row r="67" spans="3:14" x14ac:dyDescent="0.3">
      <c r="C67" s="246"/>
      <c r="D67" s="752" t="s">
        <v>32</v>
      </c>
      <c r="E67" s="285">
        <v>30</v>
      </c>
      <c r="F67" s="1513">
        <f>+'Disclosures under AS'!D201</f>
        <v>217.34436515870115</v>
      </c>
      <c r="G67" s="1513">
        <f>+'Disclosures under AS'!E201</f>
        <v>139.56365519999966</v>
      </c>
      <c r="I67" s="81" t="str">
        <f>+I66</f>
        <v>Yes</v>
      </c>
    </row>
    <row r="68" spans="3:14" x14ac:dyDescent="0.3">
      <c r="C68" s="246"/>
      <c r="D68" s="752" t="s">
        <v>33</v>
      </c>
      <c r="E68" s="285">
        <v>30</v>
      </c>
      <c r="F68" s="1513">
        <f>+'Disclosures under AS'!D213</f>
        <v>217.34436515870115</v>
      </c>
      <c r="G68" s="1513">
        <f>+'Disclosures under AS'!E213</f>
        <v>139.56365519999966</v>
      </c>
      <c r="I68" s="81" t="str">
        <f>+I67</f>
        <v>Yes</v>
      </c>
    </row>
    <row r="69" spans="3:14" x14ac:dyDescent="0.3">
      <c r="C69" s="246"/>
      <c r="D69" s="134"/>
      <c r="E69" s="285"/>
      <c r="F69" s="1513"/>
      <c r="G69" s="1513"/>
      <c r="I69" s="81" t="str">
        <f>+I68</f>
        <v>Yes</v>
      </c>
    </row>
    <row r="70" spans="3:14" x14ac:dyDescent="0.25">
      <c r="C70" s="326"/>
      <c r="D70" s="327" t="s">
        <v>579</v>
      </c>
      <c r="E70" s="328"/>
      <c r="F70" s="1520"/>
      <c r="G70" s="1520"/>
      <c r="I70" s="81" t="str">
        <f>+I69</f>
        <v>Yes</v>
      </c>
    </row>
    <row r="71" spans="3:14" x14ac:dyDescent="0.25">
      <c r="C71" s="463" t="s">
        <v>34</v>
      </c>
      <c r="D71" s="529"/>
      <c r="E71" s="459"/>
      <c r="F71" s="1521"/>
      <c r="G71" s="1526"/>
      <c r="H71" s="81"/>
      <c r="I71" s="81" t="s">
        <v>990</v>
      </c>
    </row>
    <row r="72" spans="3:14" x14ac:dyDescent="0.25">
      <c r="C72" s="210" t="s">
        <v>3926</v>
      </c>
      <c r="F72" s="1510" t="s">
        <v>14</v>
      </c>
      <c r="G72" s="1527"/>
      <c r="H72" s="42"/>
      <c r="I72" s="81" t="str">
        <f>+$I$71</f>
        <v>Yes</v>
      </c>
    </row>
    <row r="73" spans="3:14" x14ac:dyDescent="0.25">
      <c r="C73" s="457" t="s">
        <v>15</v>
      </c>
      <c r="E73" s="278" t="s">
        <v>16</v>
      </c>
      <c r="F73" s="1772" t="str">
        <f>+C9</f>
        <v>Sample Company</v>
      </c>
      <c r="G73" s="1200"/>
      <c r="H73" s="279"/>
      <c r="I73" s="81" t="str">
        <f t="shared" ref="I73:I86" si="3">+$I$71</f>
        <v>Yes</v>
      </c>
    </row>
    <row r="74" spans="3:14" x14ac:dyDescent="0.25">
      <c r="C74" s="141" t="s">
        <v>3927</v>
      </c>
      <c r="E74" s="278"/>
      <c r="G74" s="1200"/>
      <c r="H74" s="279"/>
      <c r="I74" s="81" t="str">
        <f t="shared" si="3"/>
        <v>Yes</v>
      </c>
    </row>
    <row r="75" spans="3:14" x14ac:dyDescent="0.25">
      <c r="C75" s="141" t="str">
        <f>+'Balance Sheet'!C71</f>
        <v>UDIN : xxxxxxxxxxxxxxxxxxxxxx</v>
      </c>
      <c r="E75" s="278"/>
      <c r="G75" s="1200"/>
      <c r="H75" s="279"/>
      <c r="I75" s="81" t="str">
        <f t="shared" si="3"/>
        <v>Yes</v>
      </c>
    </row>
    <row r="76" spans="3:14" x14ac:dyDescent="0.25">
      <c r="C76" s="749"/>
      <c r="G76" s="1528"/>
      <c r="H76" s="281"/>
      <c r="I76" s="81" t="str">
        <f t="shared" si="3"/>
        <v>Yes</v>
      </c>
    </row>
    <row r="77" spans="3:14" customFormat="1" x14ac:dyDescent="0.25">
      <c r="C77" s="658"/>
      <c r="F77" s="933"/>
      <c r="G77" s="1529"/>
      <c r="I77" s="81" t="str">
        <f t="shared" si="3"/>
        <v>Yes</v>
      </c>
    </row>
    <row r="78" spans="3:14" customFormat="1" x14ac:dyDescent="0.25">
      <c r="C78" s="658"/>
      <c r="E78" s="81"/>
      <c r="F78" s="933"/>
      <c r="G78" s="1529"/>
      <c r="I78" s="81" t="str">
        <f t="shared" si="3"/>
        <v>Yes</v>
      </c>
    </row>
    <row r="79" spans="3:14" customFormat="1" x14ac:dyDescent="0.25">
      <c r="C79" s="658"/>
      <c r="F79" s="933"/>
      <c r="G79" s="1529"/>
      <c r="I79" s="81" t="str">
        <f t="shared" si="3"/>
        <v>Yes</v>
      </c>
    </row>
    <row r="80" spans="3:14" customFormat="1" x14ac:dyDescent="0.25">
      <c r="C80" s="658"/>
      <c r="F80" s="933"/>
      <c r="G80" s="1529"/>
      <c r="I80" s="81" t="str">
        <f t="shared" si="3"/>
        <v>Yes</v>
      </c>
    </row>
    <row r="81" spans="3:9" customFormat="1" x14ac:dyDescent="0.25">
      <c r="C81" s="137" t="str">
        <f>'Balance Sheet'!C77</f>
        <v>xxxx</v>
      </c>
      <c r="D81" s="102"/>
      <c r="E81" s="369"/>
      <c r="F81" s="1522" t="str">
        <f>'Balance Sheet'!F77</f>
        <v>xxxxx</v>
      </c>
      <c r="G81" s="1530" t="str">
        <f>'Balance Sheet'!G77</f>
        <v>xxxxx</v>
      </c>
      <c r="I81" s="81" t="str">
        <f t="shared" si="3"/>
        <v>Yes</v>
      </c>
    </row>
    <row r="82" spans="3:9" customFormat="1" x14ac:dyDescent="0.25">
      <c r="C82" s="137" t="str">
        <f>'Balance Sheet'!C78</f>
        <v xml:space="preserve">Partner
 </v>
      </c>
      <c r="D82" s="41"/>
      <c r="E82" s="42"/>
      <c r="F82" s="1522" t="str">
        <f>'Balance Sheet'!F78</f>
        <v>Director</v>
      </c>
      <c r="G82" s="1531" t="str">
        <f>'Balance Sheet'!G78</f>
        <v>Director</v>
      </c>
      <c r="I82" s="81" t="str">
        <f t="shared" si="3"/>
        <v>Yes</v>
      </c>
    </row>
    <row r="83" spans="3:9" customFormat="1" x14ac:dyDescent="0.25">
      <c r="C83" s="457" t="str">
        <f>'Balance Sheet'!C79</f>
        <v>M.No.xxxx</v>
      </c>
      <c r="D83" s="41"/>
      <c r="E83" s="102"/>
      <c r="F83" s="1523" t="str">
        <f>'Balance Sheet'!F79</f>
        <v>DIN :xxxxx</v>
      </c>
      <c r="G83" s="1532" t="str">
        <f>'Balance Sheet'!G79</f>
        <v>DIN :xxxxx</v>
      </c>
      <c r="I83" s="81" t="str">
        <f t="shared" si="3"/>
        <v>Yes</v>
      </c>
    </row>
    <row r="84" spans="3:9" x14ac:dyDescent="0.25">
      <c r="C84" s="457" t="str">
        <f>'Balance Sheet'!C80</f>
        <v>Place : Pune</v>
      </c>
      <c r="E84" s="32"/>
      <c r="F84" s="1523" t="str">
        <f>'Balance Sheet'!F80</f>
        <v>Place : Australia</v>
      </c>
      <c r="G84" s="1532" t="str">
        <f>'Balance Sheet'!G80</f>
        <v>Place : Mumbai</v>
      </c>
      <c r="I84" s="81" t="str">
        <f t="shared" si="3"/>
        <v>Yes</v>
      </c>
    </row>
    <row r="85" spans="3:9" x14ac:dyDescent="0.25">
      <c r="C85" s="457" t="str">
        <f>'Balance Sheet'!C81</f>
        <v xml:space="preserve">Date : </v>
      </c>
      <c r="D85" s="2703">
        <f>+'Balance Sheet'!D81</f>
        <v>45905</v>
      </c>
      <c r="E85" s="32"/>
      <c r="F85" s="1523" t="str">
        <f>'Balance Sheet'!F81</f>
        <v>Date : 30-08-2025</v>
      </c>
      <c r="G85" s="1532" t="str">
        <f>'Balance Sheet'!G81</f>
        <v>Date : 05-09-2025</v>
      </c>
      <c r="I85" s="81" t="str">
        <f t="shared" si="3"/>
        <v>Yes</v>
      </c>
    </row>
    <row r="86" spans="3:9" x14ac:dyDescent="0.25">
      <c r="C86" s="248"/>
      <c r="D86" s="97"/>
      <c r="E86" s="100"/>
      <c r="F86" s="1512"/>
      <c r="G86" s="1533"/>
      <c r="I86" s="81" t="str">
        <f t="shared" si="3"/>
        <v>Yes</v>
      </c>
    </row>
    <row r="87" spans="3:9" x14ac:dyDescent="0.25">
      <c r="I87" s="81" t="s">
        <v>990</v>
      </c>
    </row>
  </sheetData>
  <mergeCells count="1">
    <mergeCell ref="C13:D13"/>
  </mergeCells>
  <pageMargins left="0.5" right="0.5" top="0.5" bottom="0.5" header="0.5" footer="0.5"/>
  <pageSetup paperSize="9" scale="59" fitToHeight="0" orientation="portrait" r:id="rId1"/>
  <ignoredErrors>
    <ignoredError sqref="G67:G68 F67:F68" evalError="1"/>
    <ignoredError sqref="E26" formula="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9:K181"/>
  <sheetViews>
    <sheetView showGridLines="0" view="pageBreakPreview" zoomScale="80" zoomScaleNormal="80" zoomScaleSheetLayoutView="80" workbookViewId="0">
      <selection activeCell="C177" sqref="C177"/>
    </sheetView>
  </sheetViews>
  <sheetFormatPr defaultColWidth="8.85546875" defaultRowHeight="16.5" x14ac:dyDescent="0.25"/>
  <cols>
    <col min="1" max="2" width="3.7109375" style="18" customWidth="1"/>
    <col min="3" max="3" width="66.5703125" style="18" bestFit="1" customWidth="1"/>
    <col min="4" max="4" width="18" style="18" customWidth="1"/>
    <col min="5" max="5" width="15.28515625" style="18" customWidth="1"/>
    <col min="6" max="6" width="16.42578125" style="18" customWidth="1"/>
    <col min="7" max="7" width="16.85546875" style="18" customWidth="1"/>
    <col min="8" max="8" width="15.5703125" style="18" customWidth="1"/>
    <col min="9" max="9" width="3.7109375" style="18" customWidth="1"/>
    <col min="10" max="10" width="16.28515625" style="18" bestFit="1" customWidth="1"/>
    <col min="11" max="11" width="16.28515625" style="841" bestFit="1" customWidth="1"/>
    <col min="12" max="16384" width="8.85546875" style="18"/>
  </cols>
  <sheetData>
    <row r="9" spans="3:10" x14ac:dyDescent="0.25">
      <c r="C9" s="42" t="str">
        <f>Company_Name</f>
        <v>Sample Company</v>
      </c>
      <c r="D9" s="42"/>
      <c r="E9" s="42"/>
      <c r="F9" s="42"/>
      <c r="G9" s="42"/>
      <c r="H9" s="42"/>
    </row>
    <row r="10" spans="3:10" x14ac:dyDescent="0.25">
      <c r="C10" s="42" t="str">
        <f>+'Balance Sheet'!C10</f>
        <v>CIN: 1234567890</v>
      </c>
      <c r="D10" s="42"/>
      <c r="E10" s="42"/>
      <c r="F10" s="42"/>
      <c r="G10" s="42"/>
      <c r="H10" s="42"/>
    </row>
    <row r="11" spans="3:10" x14ac:dyDescent="0.25">
      <c r="C11" s="42" t="str">
        <f>"Cash Flow Statement "&amp; PLCY</f>
        <v>Cash Flow Statement For the Year ended 31st March 2025</v>
      </c>
      <c r="D11" s="42"/>
      <c r="E11" s="42"/>
      <c r="F11" s="42"/>
      <c r="G11" s="42"/>
      <c r="H11" s="42"/>
    </row>
    <row r="12" spans="3:10" ht="17.25" thickBot="1" x14ac:dyDescent="0.3">
      <c r="C12" s="231"/>
      <c r="D12" s="41"/>
      <c r="E12" s="2730" t="s">
        <v>3616</v>
      </c>
      <c r="F12" s="2730"/>
      <c r="G12" s="2730"/>
      <c r="H12" s="2730"/>
    </row>
    <row r="13" spans="3:10" ht="27" customHeight="1" x14ac:dyDescent="0.25">
      <c r="C13" s="2734" t="s">
        <v>20</v>
      </c>
      <c r="D13" s="2735"/>
      <c r="E13" s="2736" t="str">
        <f>+PLCY</f>
        <v>For the Year ended 31st March 2025</v>
      </c>
      <c r="F13" s="2737"/>
      <c r="G13" s="2736" t="str">
        <f>+PLPY</f>
        <v>For the Year ended 31st March 2024</v>
      </c>
      <c r="H13" s="2738"/>
    </row>
    <row r="14" spans="3:10" ht="30" customHeight="1" x14ac:dyDescent="0.25">
      <c r="C14" s="262" t="s">
        <v>38</v>
      </c>
      <c r="D14" s="139"/>
      <c r="E14" s="1575"/>
      <c r="F14" s="1575"/>
      <c r="G14" s="104"/>
      <c r="H14" s="87"/>
    </row>
    <row r="15" spans="3:10" x14ac:dyDescent="0.25">
      <c r="C15" s="220" t="s">
        <v>640</v>
      </c>
      <c r="D15" s="139"/>
      <c r="E15" s="845"/>
      <c r="F15" s="845">
        <f>+'Profit and Loss'!F38</f>
        <v>423689.13379999972</v>
      </c>
      <c r="G15" s="106"/>
      <c r="H15" s="1880">
        <f>+'Profit and Loss'!G30</f>
        <v>284431.56279999949</v>
      </c>
      <c r="J15" s="2490"/>
    </row>
    <row r="16" spans="3:10" x14ac:dyDescent="0.25">
      <c r="C16" s="263" t="s">
        <v>39</v>
      </c>
      <c r="D16" s="139"/>
      <c r="E16" s="845"/>
      <c r="F16" s="845"/>
      <c r="G16" s="106"/>
      <c r="H16" s="87"/>
    </row>
    <row r="17" spans="3:10" x14ac:dyDescent="0.25">
      <c r="C17" s="232" t="s">
        <v>37</v>
      </c>
      <c r="D17" s="139"/>
      <c r="E17" s="845">
        <f>'Profit and Loss'!F26</f>
        <v>890.83</v>
      </c>
      <c r="F17" s="845"/>
      <c r="G17" s="845">
        <f>+'Profit and Loss'!G26</f>
        <v>508</v>
      </c>
      <c r="H17" s="87"/>
      <c r="J17" s="2491"/>
    </row>
    <row r="18" spans="3:10" hidden="1" x14ac:dyDescent="0.25">
      <c r="C18" s="232" t="s">
        <v>696</v>
      </c>
      <c r="D18" s="139"/>
      <c r="E18" s="845">
        <v>0</v>
      </c>
      <c r="F18" s="845"/>
      <c r="G18" s="845">
        <v>0</v>
      </c>
      <c r="H18" s="1879"/>
    </row>
    <row r="19" spans="3:10" hidden="1" x14ac:dyDescent="0.25">
      <c r="C19" s="232" t="s">
        <v>491</v>
      </c>
      <c r="D19" s="139"/>
      <c r="E19" s="845">
        <v>0</v>
      </c>
      <c r="F19" s="845"/>
      <c r="G19" s="845">
        <v>0</v>
      </c>
      <c r="H19" s="1879"/>
    </row>
    <row r="20" spans="3:10" hidden="1" x14ac:dyDescent="0.25">
      <c r="C20" s="232" t="s">
        <v>541</v>
      </c>
      <c r="D20" s="139"/>
      <c r="E20" s="845">
        <v>0</v>
      </c>
      <c r="F20" s="845"/>
      <c r="G20" s="845">
        <v>0</v>
      </c>
      <c r="H20" s="1879"/>
    </row>
    <row r="21" spans="3:10" hidden="1" x14ac:dyDescent="0.25">
      <c r="C21" s="232" t="s">
        <v>41</v>
      </c>
      <c r="D21" s="139"/>
      <c r="E21" s="845">
        <v>0</v>
      </c>
      <c r="F21" s="845"/>
      <c r="G21" s="845">
        <v>0</v>
      </c>
      <c r="H21" s="1879"/>
    </row>
    <row r="22" spans="3:10" hidden="1" x14ac:dyDescent="0.25">
      <c r="C22" s="232" t="s">
        <v>36</v>
      </c>
      <c r="D22" s="139"/>
      <c r="E22" s="845">
        <v>0</v>
      </c>
      <c r="F22" s="845"/>
      <c r="G22" s="845">
        <v>0</v>
      </c>
      <c r="H22" s="1879"/>
    </row>
    <row r="23" spans="3:10" x14ac:dyDescent="0.25">
      <c r="C23" s="232" t="s">
        <v>3879</v>
      </c>
      <c r="D23" s="139"/>
      <c r="E23" s="845">
        <f>+'Notes To P&amp;L'!E340</f>
        <v>115.11</v>
      </c>
      <c r="F23" s="845"/>
      <c r="G23" s="845">
        <v>0</v>
      </c>
      <c r="H23" s="1879"/>
    </row>
    <row r="24" spans="3:10" x14ac:dyDescent="0.25">
      <c r="C24" s="232" t="s">
        <v>42</v>
      </c>
      <c r="D24" s="139"/>
      <c r="E24" s="845">
        <f>-'Notes To P&amp;L'!E112</f>
        <v>-54521.19</v>
      </c>
      <c r="F24" s="845"/>
      <c r="G24" s="2582">
        <f>-'Notes To P&amp;L'!F112</f>
        <v>-34613.269999999997</v>
      </c>
      <c r="H24" s="1880"/>
    </row>
    <row r="25" spans="3:10" hidden="1" x14ac:dyDescent="0.25">
      <c r="C25" s="232" t="s">
        <v>43</v>
      </c>
      <c r="D25" s="139"/>
      <c r="E25" s="845">
        <v>0</v>
      </c>
      <c r="F25" s="845"/>
      <c r="G25" s="831">
        <v>0</v>
      </c>
      <c r="H25" s="1879"/>
    </row>
    <row r="26" spans="3:10" hidden="1" x14ac:dyDescent="0.25">
      <c r="C26" s="232" t="s">
        <v>542</v>
      </c>
      <c r="D26" s="139"/>
      <c r="E26" s="845">
        <v>0</v>
      </c>
      <c r="F26" s="845"/>
      <c r="G26" s="831">
        <v>0</v>
      </c>
      <c r="H26" s="1879"/>
    </row>
    <row r="27" spans="3:10" hidden="1" x14ac:dyDescent="0.25">
      <c r="C27" s="232" t="s">
        <v>44</v>
      </c>
      <c r="D27" s="139"/>
      <c r="E27" s="845">
        <v>0</v>
      </c>
      <c r="F27" s="845"/>
      <c r="G27" s="831">
        <v>0</v>
      </c>
      <c r="H27" s="1879"/>
    </row>
    <row r="28" spans="3:10" hidden="1" x14ac:dyDescent="0.25">
      <c r="C28" s="232" t="s">
        <v>45</v>
      </c>
      <c r="D28" s="139"/>
      <c r="E28" s="845">
        <v>0</v>
      </c>
      <c r="F28" s="845"/>
      <c r="G28" s="831">
        <v>0</v>
      </c>
      <c r="H28" s="1879"/>
    </row>
    <row r="29" spans="3:10" hidden="1" x14ac:dyDescent="0.25">
      <c r="C29" s="232" t="s">
        <v>46</v>
      </c>
      <c r="D29" s="139"/>
      <c r="E29" s="845">
        <v>0</v>
      </c>
      <c r="F29" s="845"/>
      <c r="G29" s="831">
        <v>0</v>
      </c>
      <c r="H29" s="1879"/>
    </row>
    <row r="30" spans="3:10" hidden="1" x14ac:dyDescent="0.25">
      <c r="C30" s="232" t="s">
        <v>512</v>
      </c>
      <c r="D30" s="139"/>
      <c r="E30" s="845">
        <v>0</v>
      </c>
      <c r="F30" s="845"/>
      <c r="G30" s="831">
        <v>0</v>
      </c>
      <c r="H30" s="1879"/>
    </row>
    <row r="31" spans="3:10" hidden="1" x14ac:dyDescent="0.25">
      <c r="C31" s="232" t="s">
        <v>47</v>
      </c>
      <c r="D31" s="139"/>
      <c r="E31" s="845">
        <v>0</v>
      </c>
      <c r="F31" s="845"/>
      <c r="G31" s="831">
        <v>0</v>
      </c>
      <c r="H31" s="1879"/>
    </row>
    <row r="32" spans="3:10" hidden="1" x14ac:dyDescent="0.25">
      <c r="C32" s="232" t="s">
        <v>48</v>
      </c>
      <c r="D32" s="139"/>
      <c r="E32" s="1809">
        <v>0</v>
      </c>
      <c r="F32" s="845"/>
      <c r="G32" s="831">
        <v>0</v>
      </c>
      <c r="H32" s="1879"/>
    </row>
    <row r="33" spans="3:8" hidden="1" x14ac:dyDescent="0.25">
      <c r="C33" s="232" t="s">
        <v>49</v>
      </c>
      <c r="D33" s="139"/>
      <c r="E33" s="845">
        <v>0</v>
      </c>
      <c r="F33" s="845"/>
      <c r="G33" s="831">
        <v>0</v>
      </c>
      <c r="H33" s="1879"/>
    </row>
    <row r="34" spans="3:8" hidden="1" x14ac:dyDescent="0.25">
      <c r="C34" s="232" t="s">
        <v>50</v>
      </c>
      <c r="D34" s="139"/>
      <c r="E34" s="845">
        <v>0</v>
      </c>
      <c r="F34" s="845"/>
      <c r="G34" s="831">
        <v>0</v>
      </c>
      <c r="H34" s="1879"/>
    </row>
    <row r="35" spans="3:8" hidden="1" x14ac:dyDescent="0.25">
      <c r="C35" s="232" t="s">
        <v>51</v>
      </c>
      <c r="D35" s="139"/>
      <c r="E35" s="845">
        <v>0</v>
      </c>
      <c r="F35" s="845"/>
      <c r="G35" s="831">
        <v>0</v>
      </c>
      <c r="H35" s="1879"/>
    </row>
    <row r="36" spans="3:8" hidden="1" x14ac:dyDescent="0.25">
      <c r="C36" s="232" t="s">
        <v>450</v>
      </c>
      <c r="D36" s="139"/>
      <c r="E36" s="845">
        <v>0</v>
      </c>
      <c r="F36" s="845"/>
      <c r="G36" s="831">
        <v>0</v>
      </c>
      <c r="H36" s="1879"/>
    </row>
    <row r="37" spans="3:8" hidden="1" x14ac:dyDescent="0.25">
      <c r="C37" s="232" t="s">
        <v>415</v>
      </c>
      <c r="D37" s="139"/>
      <c r="E37" s="845">
        <v>0</v>
      </c>
      <c r="F37" s="845"/>
      <c r="G37" s="831">
        <v>0</v>
      </c>
      <c r="H37" s="1879"/>
    </row>
    <row r="38" spans="3:8" hidden="1" x14ac:dyDescent="0.25">
      <c r="C38" s="232" t="s">
        <v>53</v>
      </c>
      <c r="D38" s="139"/>
      <c r="E38" s="845">
        <v>0</v>
      </c>
      <c r="F38" s="845"/>
      <c r="G38" s="831">
        <v>0</v>
      </c>
      <c r="H38" s="1879"/>
    </row>
    <row r="39" spans="3:8" hidden="1" x14ac:dyDescent="0.25">
      <c r="C39" s="232" t="s">
        <v>54</v>
      </c>
      <c r="D39" s="139"/>
      <c r="E39" s="845">
        <v>0</v>
      </c>
      <c r="F39" s="845"/>
      <c r="G39" s="831">
        <v>0</v>
      </c>
      <c r="H39" s="1879"/>
    </row>
    <row r="40" spans="3:8" hidden="1" x14ac:dyDescent="0.25">
      <c r="C40" s="232" t="s">
        <v>55</v>
      </c>
      <c r="D40" s="139"/>
      <c r="E40" s="845"/>
      <c r="F40" s="845"/>
      <c r="G40" s="831">
        <v>0</v>
      </c>
      <c r="H40" s="1879"/>
    </row>
    <row r="41" spans="3:8" x14ac:dyDescent="0.25">
      <c r="C41" s="220"/>
      <c r="D41" s="139"/>
      <c r="E41" s="845"/>
      <c r="F41" s="942">
        <f>SUM(E17:E40)</f>
        <v>-53515.25</v>
      </c>
      <c r="G41" s="106"/>
      <c r="H41" s="1881">
        <f>+SUM(G17:G40)</f>
        <v>-34105.269999999997</v>
      </c>
    </row>
    <row r="42" spans="3:8" x14ac:dyDescent="0.25">
      <c r="C42" s="220" t="s">
        <v>56</v>
      </c>
      <c r="D42" s="139"/>
      <c r="E42" s="845"/>
      <c r="F42" s="845">
        <f>F15+F41</f>
        <v>370173.88379999972</v>
      </c>
      <c r="G42" s="106"/>
      <c r="H42" s="1880">
        <f>+H15+H41</f>
        <v>250326.2927999995</v>
      </c>
    </row>
    <row r="43" spans="3:8" x14ac:dyDescent="0.25">
      <c r="C43" s="263" t="s">
        <v>57</v>
      </c>
      <c r="D43" s="139"/>
      <c r="E43" s="845"/>
      <c r="F43" s="845"/>
      <c r="G43" s="106"/>
      <c r="H43" s="87"/>
    </row>
    <row r="44" spans="3:8" x14ac:dyDescent="0.25">
      <c r="C44" s="264" t="s">
        <v>543</v>
      </c>
      <c r="D44" s="139"/>
      <c r="E44" s="845"/>
      <c r="F44" s="845"/>
      <c r="G44" s="106"/>
      <c r="H44" s="87"/>
    </row>
    <row r="45" spans="3:8" x14ac:dyDescent="0.25">
      <c r="C45" s="232" t="s">
        <v>58</v>
      </c>
      <c r="D45" s="139"/>
      <c r="E45" s="845">
        <f>'Balance Sheet'!G58-'Balance Sheet'!F58</f>
        <v>-8132.5041999999958</v>
      </c>
      <c r="F45" s="845"/>
      <c r="G45" s="2583">
        <f>+'Balance Sheet-FY 22-23'!F58-'Balance Sheet-FY 22-23'!K58</f>
        <v>127595.1035</v>
      </c>
      <c r="H45" s="1880"/>
    </row>
    <row r="46" spans="3:8" x14ac:dyDescent="0.25">
      <c r="C46" s="232" t="s">
        <v>59</v>
      </c>
      <c r="D46" s="139"/>
      <c r="E46" s="845">
        <f>'Balance Sheet'!G59-'Balance Sheet'!F59</f>
        <v>-173655.37019999989</v>
      </c>
      <c r="F46" s="845"/>
      <c r="G46" s="1750">
        <f>+'Balance Sheet-FY 22-23'!F59-'Balance Sheet-FY 22-23'!K59</f>
        <v>-91272.072899999999</v>
      </c>
      <c r="H46" s="1882"/>
    </row>
    <row r="47" spans="3:8" x14ac:dyDescent="0.25">
      <c r="C47" s="232" t="s">
        <v>504</v>
      </c>
      <c r="D47" s="139"/>
      <c r="E47" s="845">
        <f ca="1">+'Balance Sheet'!G61-'Balance Sheet'!F61</f>
        <v>-157057.56649999996</v>
      </c>
      <c r="F47" s="845"/>
      <c r="G47" s="1750">
        <f ca="1">+'Balance Sheet-FY 22-23'!F61-'Balance Sheet-FY 22-23'!K61</f>
        <v>168120.22600000002</v>
      </c>
      <c r="H47" s="1882"/>
    </row>
    <row r="48" spans="3:8" hidden="1" x14ac:dyDescent="0.25">
      <c r="C48" s="232" t="s">
        <v>505</v>
      </c>
      <c r="D48" s="139"/>
      <c r="E48" s="845">
        <f>+'Balance Sheet'!G52-'Balance Sheet'!F52</f>
        <v>0</v>
      </c>
      <c r="F48" s="845"/>
      <c r="G48" s="249">
        <f>(+'Balance Sheet-FY 22-23'!F52-'Balance Sheet-FY 22-23'!K52)</f>
        <v>0</v>
      </c>
      <c r="H48" s="1879"/>
    </row>
    <row r="49" spans="3:11" x14ac:dyDescent="0.25">
      <c r="C49" s="232" t="s">
        <v>507</v>
      </c>
      <c r="D49" s="139"/>
      <c r="E49" s="845">
        <f>'Balance Sheet'!G62-'Balance Sheet'!F62</f>
        <v>7194.4699999999993</v>
      </c>
      <c r="F49" s="845"/>
      <c r="G49" s="1750">
        <f>+'Balance Sheet-FY 22-23'!F62-'Balance Sheet-FY 22-23'!K62</f>
        <v>-8543.11</v>
      </c>
      <c r="H49" s="1883"/>
    </row>
    <row r="50" spans="3:11" x14ac:dyDescent="0.25">
      <c r="C50" s="232" t="s">
        <v>506</v>
      </c>
      <c r="D50" s="139"/>
      <c r="E50" s="845">
        <f>'Balance Sheet'!G53-'Balance Sheet'!F53</f>
        <v>-1446</v>
      </c>
      <c r="F50" s="845"/>
      <c r="G50" s="1750">
        <f>+'Balance Sheet-FY 22-23'!F53-'Balance Sheet-FY 22-23'!K53</f>
        <v>0</v>
      </c>
      <c r="H50" s="1882"/>
      <c r="K50" s="836"/>
    </row>
    <row r="51" spans="3:11" x14ac:dyDescent="0.25">
      <c r="C51" s="220"/>
      <c r="D51" s="139"/>
      <c r="E51" s="845"/>
      <c r="F51" s="845"/>
      <c r="G51" s="106"/>
      <c r="H51" s="87"/>
    </row>
    <row r="52" spans="3:11" x14ac:dyDescent="0.25">
      <c r="C52" s="264" t="s">
        <v>544</v>
      </c>
      <c r="D52" s="139"/>
      <c r="E52" s="845"/>
      <c r="F52" s="845"/>
      <c r="G52" s="106"/>
      <c r="H52" s="87"/>
    </row>
    <row r="53" spans="3:11" x14ac:dyDescent="0.25">
      <c r="C53" s="232" t="s">
        <v>60</v>
      </c>
      <c r="D53" s="139"/>
      <c r="E53" s="845">
        <f>+('Balance Sheet'!F34-'Balance Sheet'!G34)+('Balance Sheet'!F33-'Balance Sheet'!G33)-3.5</f>
        <v>213636.93769999983</v>
      </c>
      <c r="F53" s="845"/>
      <c r="G53" s="1750">
        <f>+('Balance Sheet-FY 22-23'!K33-'Balance Sheet-FY 22-23'!F33)+('Balance Sheet-FY 22-23'!K34-'Balance Sheet-FY 22-23'!F34)+2</f>
        <v>-97041.387899999914</v>
      </c>
      <c r="H53" s="1883"/>
      <c r="J53" s="935"/>
    </row>
    <row r="54" spans="3:11" x14ac:dyDescent="0.25">
      <c r="C54" s="232" t="s">
        <v>508</v>
      </c>
      <c r="D54" s="139"/>
      <c r="E54" s="845">
        <f>'Balance Sheet'!F35-'Balance Sheet'!G35</f>
        <v>34853.14509999998</v>
      </c>
      <c r="F54" s="845"/>
      <c r="G54" s="1750">
        <f>+'Balance Sheet-FY 22-23'!K35-'Balance Sheet-FY 22-23'!F35</f>
        <v>15021.583299999998</v>
      </c>
      <c r="H54" s="1882"/>
      <c r="J54" s="935"/>
    </row>
    <row r="55" spans="3:11" hidden="1" x14ac:dyDescent="0.25">
      <c r="C55" s="232" t="s">
        <v>509</v>
      </c>
      <c r="D55" s="139"/>
      <c r="E55" s="845">
        <f>'Balance Sheet'!F26-'Balance Sheet'!G26</f>
        <v>0</v>
      </c>
      <c r="F55" s="845"/>
      <c r="G55" s="1750">
        <f>+K55-'Balance Sheet'!G26</f>
        <v>0</v>
      </c>
      <c r="H55" s="1879"/>
      <c r="J55" s="935"/>
    </row>
    <row r="56" spans="3:11" x14ac:dyDescent="0.25">
      <c r="C56" s="232" t="s">
        <v>511</v>
      </c>
      <c r="D56" s="139"/>
      <c r="E56" s="942">
        <f>'Balance Sheet'!F36-'Balance Sheet'!G36</f>
        <v>49552.34050000002</v>
      </c>
      <c r="F56" s="845"/>
      <c r="G56" s="1747">
        <f>+'Balance Sheet-FY 22-23'!K36-'Balance Sheet-FY 22-23'!F36</f>
        <v>-5384.8097000000125</v>
      </c>
      <c r="H56" s="1882"/>
      <c r="J56" s="935"/>
    </row>
    <row r="57" spans="3:11" hidden="1" x14ac:dyDescent="0.25">
      <c r="C57" s="232" t="s">
        <v>510</v>
      </c>
      <c r="D57" s="139"/>
      <c r="E57" s="942">
        <f>+'Balance Sheet'!G27-'Balance Sheet'!F27</f>
        <v>0</v>
      </c>
      <c r="F57" s="845"/>
      <c r="G57" s="108"/>
      <c r="H57" s="87"/>
    </row>
    <row r="58" spans="3:11" hidden="1" x14ac:dyDescent="0.25">
      <c r="C58" s="220"/>
      <c r="D58" s="139"/>
      <c r="E58" s="845"/>
      <c r="F58" s="942"/>
      <c r="G58" s="106"/>
      <c r="H58" s="85"/>
    </row>
    <row r="59" spans="3:11" x14ac:dyDescent="0.25">
      <c r="C59" s="220"/>
      <c r="D59" s="139"/>
      <c r="E59" s="845"/>
      <c r="F59" s="845"/>
      <c r="G59" s="106"/>
      <c r="H59" s="87"/>
    </row>
    <row r="60" spans="3:11" x14ac:dyDescent="0.25">
      <c r="C60" s="220" t="s">
        <v>61</v>
      </c>
      <c r="D60" s="139"/>
      <c r="E60" s="845"/>
      <c r="F60" s="942">
        <f ca="1">SUM(E45:E57)</f>
        <v>-35054.547600000005</v>
      </c>
      <c r="G60" s="106"/>
      <c r="H60" s="1881">
        <f ca="1">+SUM(G45:G56)</f>
        <v>108495.53230000011</v>
      </c>
      <c r="J60" s="2395"/>
    </row>
    <row r="61" spans="3:11" x14ac:dyDescent="0.25">
      <c r="C61" s="220" t="s">
        <v>62</v>
      </c>
      <c r="D61" s="139"/>
      <c r="E61" s="845"/>
      <c r="F61" s="845">
        <f ca="1">F42+F60</f>
        <v>335119.33619999973</v>
      </c>
      <c r="G61" s="106"/>
      <c r="H61" s="1882">
        <f ca="1">+H42+H60</f>
        <v>358821.82509999961</v>
      </c>
    </row>
    <row r="62" spans="3:11" x14ac:dyDescent="0.25">
      <c r="C62" s="2721" t="s">
        <v>545</v>
      </c>
      <c r="D62" s="2722"/>
      <c r="E62" s="845"/>
      <c r="F62" s="942">
        <f>'Profit and Loss'!F41*-1+'Profit and Loss'!F43*-1</f>
        <v>-98924.015199999994</v>
      </c>
      <c r="G62" s="106"/>
      <c r="H62" s="2678">
        <f>+'Profit and Loss'!G41*-1+'Profit and Loss'!G43*-1</f>
        <v>-75067.08</v>
      </c>
      <c r="J62" s="2491"/>
    </row>
    <row r="63" spans="3:11" x14ac:dyDescent="0.25">
      <c r="C63" s="262" t="s">
        <v>63</v>
      </c>
      <c r="D63" s="139"/>
      <c r="E63" s="1693"/>
      <c r="F63" s="1748">
        <f ca="1">F61+F62</f>
        <v>236195.32099999973</v>
      </c>
      <c r="G63" s="126"/>
      <c r="H63" s="1885">
        <f ca="1">+H61+H62</f>
        <v>283754.74509999959</v>
      </c>
    </row>
    <row r="64" spans="3:11" x14ac:dyDescent="0.25">
      <c r="C64" s="220"/>
      <c r="D64" s="139"/>
      <c r="E64" s="845"/>
      <c r="F64" s="845"/>
      <c r="G64" s="106"/>
      <c r="H64" s="87"/>
    </row>
    <row r="65" spans="3:11" s="265" customFormat="1" ht="30.75" hidden="1" customHeight="1" thickBot="1" x14ac:dyDescent="0.3">
      <c r="C65" s="2739" t="s">
        <v>705</v>
      </c>
      <c r="D65" s="2740"/>
      <c r="E65" s="2740"/>
      <c r="F65" s="2740"/>
      <c r="G65" s="2740"/>
      <c r="H65" s="2741"/>
      <c r="K65" s="1884"/>
    </row>
    <row r="66" spans="3:11" x14ac:dyDescent="0.25">
      <c r="C66" s="262" t="s">
        <v>64</v>
      </c>
      <c r="D66" s="139"/>
      <c r="E66" s="106"/>
      <c r="F66" s="106"/>
      <c r="G66" s="106"/>
      <c r="H66" s="87"/>
    </row>
    <row r="67" spans="3:11" x14ac:dyDescent="0.25">
      <c r="C67" s="2721" t="s">
        <v>580</v>
      </c>
      <c r="D67" s="2722"/>
      <c r="E67" s="845">
        <f>-FAR!F46</f>
        <v>-2592.4809999999998</v>
      </c>
      <c r="F67" s="106"/>
      <c r="G67" s="970"/>
      <c r="H67" s="1879">
        <v>0</v>
      </c>
    </row>
    <row r="68" spans="3:11" hidden="1" x14ac:dyDescent="0.25">
      <c r="C68" s="232" t="s">
        <v>66</v>
      </c>
      <c r="D68" s="266"/>
      <c r="E68" s="970">
        <v>0</v>
      </c>
      <c r="F68" s="106"/>
      <c r="G68" s="970">
        <v>0</v>
      </c>
      <c r="H68" s="87"/>
    </row>
    <row r="69" spans="3:11" hidden="1" x14ac:dyDescent="0.25">
      <c r="C69" s="2721" t="s">
        <v>581</v>
      </c>
      <c r="D69" s="2722"/>
      <c r="E69" s="970"/>
      <c r="F69" s="106"/>
      <c r="G69" s="970"/>
      <c r="H69" s="87"/>
    </row>
    <row r="70" spans="3:11" hidden="1" x14ac:dyDescent="0.25">
      <c r="C70" s="232" t="s">
        <v>492</v>
      </c>
      <c r="D70" s="219"/>
      <c r="E70" s="970">
        <v>0</v>
      </c>
      <c r="F70" s="106"/>
      <c r="G70" s="970">
        <v>0</v>
      </c>
      <c r="H70" s="87"/>
    </row>
    <row r="71" spans="3:11" hidden="1" x14ac:dyDescent="0.25">
      <c r="C71" s="232" t="s">
        <v>493</v>
      </c>
      <c r="D71" s="50"/>
      <c r="E71" s="970">
        <v>0</v>
      </c>
      <c r="F71" s="106"/>
      <c r="G71" s="970">
        <v>0</v>
      </c>
      <c r="H71" s="87"/>
    </row>
    <row r="72" spans="3:11" hidden="1" x14ac:dyDescent="0.25">
      <c r="C72" s="232" t="s">
        <v>582</v>
      </c>
      <c r="D72" s="266"/>
      <c r="E72" s="106"/>
      <c r="F72" s="106"/>
      <c r="G72" s="970"/>
      <c r="H72" s="87"/>
    </row>
    <row r="73" spans="3:11" hidden="1" x14ac:dyDescent="0.25">
      <c r="C73" s="232" t="s">
        <v>583</v>
      </c>
      <c r="D73" s="266"/>
      <c r="E73" s="106"/>
      <c r="F73" s="106"/>
      <c r="G73" s="970"/>
      <c r="H73" s="87"/>
    </row>
    <row r="74" spans="3:11" hidden="1" x14ac:dyDescent="0.25">
      <c r="C74" s="232" t="s">
        <v>584</v>
      </c>
      <c r="D74" s="266"/>
      <c r="E74" s="970">
        <v>0</v>
      </c>
      <c r="F74" s="106"/>
      <c r="G74" s="970">
        <v>0</v>
      </c>
      <c r="H74" s="87"/>
    </row>
    <row r="75" spans="3:11" hidden="1" x14ac:dyDescent="0.25">
      <c r="C75" s="232" t="s">
        <v>711</v>
      </c>
      <c r="D75" s="267"/>
      <c r="E75" s="970">
        <v>0</v>
      </c>
      <c r="F75" s="106"/>
      <c r="G75" s="970">
        <v>0</v>
      </c>
      <c r="H75" s="87"/>
    </row>
    <row r="76" spans="3:11" hidden="1" x14ac:dyDescent="0.25">
      <c r="C76" s="232" t="s">
        <v>712</v>
      </c>
      <c r="D76" s="267"/>
      <c r="E76" s="970">
        <v>0</v>
      </c>
      <c r="F76" s="106"/>
      <c r="G76" s="970">
        <v>0</v>
      </c>
      <c r="H76" s="87"/>
    </row>
    <row r="77" spans="3:11" hidden="1" x14ac:dyDescent="0.25">
      <c r="C77" s="232" t="s">
        <v>501</v>
      </c>
      <c r="D77" s="266"/>
      <c r="E77" s="106"/>
      <c r="F77" s="106"/>
      <c r="G77" s="970"/>
      <c r="H77" s="87"/>
    </row>
    <row r="78" spans="3:11" hidden="1" x14ac:dyDescent="0.25">
      <c r="C78" s="232" t="s">
        <v>67</v>
      </c>
      <c r="D78" s="266"/>
      <c r="E78" s="970">
        <v>0</v>
      </c>
      <c r="F78" s="106"/>
      <c r="G78" s="970">
        <v>0</v>
      </c>
      <c r="H78" s="87"/>
    </row>
    <row r="79" spans="3:11" hidden="1" x14ac:dyDescent="0.25">
      <c r="C79" s="232" t="s">
        <v>68</v>
      </c>
      <c r="D79" s="266"/>
      <c r="E79" s="970">
        <v>0</v>
      </c>
      <c r="F79" s="106"/>
      <c r="G79" s="970">
        <v>0</v>
      </c>
      <c r="H79" s="87"/>
    </row>
    <row r="80" spans="3:11" hidden="1" x14ac:dyDescent="0.25">
      <c r="C80" s="232" t="s">
        <v>69</v>
      </c>
      <c r="D80" s="266"/>
      <c r="E80" s="970">
        <v>0</v>
      </c>
      <c r="F80" s="106"/>
      <c r="G80" s="970">
        <v>0</v>
      </c>
      <c r="H80" s="87"/>
    </row>
    <row r="81" spans="3:8" hidden="1" x14ac:dyDescent="0.25">
      <c r="C81" s="232" t="s">
        <v>70</v>
      </c>
      <c r="D81" s="266"/>
      <c r="E81" s="970">
        <v>0</v>
      </c>
      <c r="F81" s="106"/>
      <c r="G81" s="970">
        <v>0</v>
      </c>
      <c r="H81" s="87"/>
    </row>
    <row r="82" spans="3:8" hidden="1" x14ac:dyDescent="0.25">
      <c r="C82" s="232" t="s">
        <v>71</v>
      </c>
      <c r="D82" s="266"/>
      <c r="E82" s="970">
        <v>0</v>
      </c>
      <c r="F82" s="106"/>
      <c r="G82" s="970">
        <v>0</v>
      </c>
      <c r="H82" s="87"/>
    </row>
    <row r="83" spans="3:8" hidden="1" x14ac:dyDescent="0.25">
      <c r="C83" s="232" t="s">
        <v>500</v>
      </c>
      <c r="D83" s="266"/>
      <c r="E83" s="106"/>
      <c r="F83" s="106"/>
      <c r="G83" s="970"/>
      <c r="H83" s="87"/>
    </row>
    <row r="84" spans="3:8" hidden="1" x14ac:dyDescent="0.25">
      <c r="C84" s="232" t="s">
        <v>67</v>
      </c>
      <c r="D84" s="266"/>
      <c r="E84" s="970">
        <v>0</v>
      </c>
      <c r="F84" s="106"/>
      <c r="G84" s="970">
        <v>0</v>
      </c>
      <c r="H84" s="87"/>
    </row>
    <row r="85" spans="3:8" hidden="1" x14ac:dyDescent="0.25">
      <c r="C85" s="232" t="s">
        <v>68</v>
      </c>
      <c r="D85" s="266"/>
      <c r="E85" s="970">
        <v>0</v>
      </c>
      <c r="F85" s="106"/>
      <c r="G85" s="970">
        <v>0</v>
      </c>
      <c r="H85" s="87"/>
    </row>
    <row r="86" spans="3:8" hidden="1" x14ac:dyDescent="0.25">
      <c r="C86" s="232" t="s">
        <v>69</v>
      </c>
      <c r="D86" s="266"/>
      <c r="E86" s="970">
        <v>0</v>
      </c>
      <c r="F86" s="106"/>
      <c r="G86" s="970">
        <v>0</v>
      </c>
      <c r="H86" s="87"/>
    </row>
    <row r="87" spans="3:8" hidden="1" x14ac:dyDescent="0.25">
      <c r="C87" s="232" t="s">
        <v>70</v>
      </c>
      <c r="D87" s="266"/>
      <c r="E87" s="970">
        <v>0</v>
      </c>
      <c r="F87" s="106"/>
      <c r="G87" s="970">
        <v>0</v>
      </c>
      <c r="H87" s="87"/>
    </row>
    <row r="88" spans="3:8" hidden="1" x14ac:dyDescent="0.25">
      <c r="C88" s="232" t="s">
        <v>71</v>
      </c>
      <c r="D88" s="266"/>
      <c r="E88" s="970">
        <v>0</v>
      </c>
      <c r="F88" s="106"/>
      <c r="G88" s="970">
        <v>0</v>
      </c>
      <c r="H88" s="87"/>
    </row>
    <row r="89" spans="3:8" hidden="1" x14ac:dyDescent="0.25">
      <c r="C89" s="232" t="s">
        <v>72</v>
      </c>
      <c r="D89" s="266"/>
      <c r="E89" s="106"/>
      <c r="F89" s="106"/>
      <c r="G89" s="970"/>
      <c r="H89" s="87"/>
    </row>
    <row r="90" spans="3:8" hidden="1" x14ac:dyDescent="0.25">
      <c r="C90" s="232" t="s">
        <v>67</v>
      </c>
      <c r="D90" s="266"/>
      <c r="E90" s="970">
        <v>0</v>
      </c>
      <c r="F90" s="106"/>
      <c r="G90" s="970">
        <v>0</v>
      </c>
      <c r="H90" s="87"/>
    </row>
    <row r="91" spans="3:8" hidden="1" x14ac:dyDescent="0.25">
      <c r="C91" s="232" t="s">
        <v>68</v>
      </c>
      <c r="D91" s="266"/>
      <c r="E91" s="970">
        <v>0</v>
      </c>
      <c r="F91" s="106"/>
      <c r="G91" s="970">
        <v>0</v>
      </c>
      <c r="H91" s="87"/>
    </row>
    <row r="92" spans="3:8" hidden="1" x14ac:dyDescent="0.25">
      <c r="C92" s="232" t="s">
        <v>69</v>
      </c>
      <c r="D92" s="266"/>
      <c r="E92" s="970">
        <v>0</v>
      </c>
      <c r="F92" s="106"/>
      <c r="G92" s="970">
        <v>0</v>
      </c>
      <c r="H92" s="87"/>
    </row>
    <row r="93" spans="3:8" hidden="1" x14ac:dyDescent="0.25">
      <c r="C93" s="232" t="s">
        <v>71</v>
      </c>
      <c r="D93" s="266"/>
      <c r="E93" s="970">
        <v>0</v>
      </c>
      <c r="F93" s="106"/>
      <c r="G93" s="970">
        <v>0</v>
      </c>
      <c r="H93" s="87"/>
    </row>
    <row r="94" spans="3:8" hidden="1" x14ac:dyDescent="0.25">
      <c r="C94" s="232" t="s">
        <v>73</v>
      </c>
      <c r="D94" s="266"/>
      <c r="E94" s="106"/>
      <c r="F94" s="106"/>
      <c r="G94" s="970"/>
      <c r="H94" s="87"/>
    </row>
    <row r="95" spans="3:8" hidden="1" x14ac:dyDescent="0.25">
      <c r="C95" s="232" t="s">
        <v>67</v>
      </c>
      <c r="D95" s="266"/>
      <c r="E95" s="970">
        <v>0</v>
      </c>
      <c r="F95" s="106"/>
      <c r="G95" s="970">
        <v>0</v>
      </c>
      <c r="H95" s="87"/>
    </row>
    <row r="96" spans="3:8" hidden="1" x14ac:dyDescent="0.25">
      <c r="C96" s="232" t="s">
        <v>68</v>
      </c>
      <c r="D96" s="266"/>
      <c r="E96" s="970">
        <v>0</v>
      </c>
      <c r="F96" s="106"/>
      <c r="G96" s="970">
        <v>0</v>
      </c>
      <c r="H96" s="87"/>
    </row>
    <row r="97" spans="3:10" hidden="1" x14ac:dyDescent="0.25">
      <c r="C97" s="232" t="s">
        <v>69</v>
      </c>
      <c r="D97" s="266"/>
      <c r="E97" s="970">
        <v>0</v>
      </c>
      <c r="F97" s="106"/>
      <c r="G97" s="970">
        <v>0</v>
      </c>
      <c r="H97" s="87"/>
    </row>
    <row r="98" spans="3:10" hidden="1" x14ac:dyDescent="0.25">
      <c r="C98" s="232" t="s">
        <v>71</v>
      </c>
      <c r="D98" s="266"/>
      <c r="E98" s="970">
        <v>0</v>
      </c>
      <c r="F98" s="106"/>
      <c r="G98" s="970">
        <v>0</v>
      </c>
      <c r="H98" s="87"/>
    </row>
    <row r="99" spans="3:10" x14ac:dyDescent="0.25">
      <c r="C99" s="232" t="s">
        <v>65</v>
      </c>
      <c r="D99" s="266"/>
      <c r="E99" s="970"/>
      <c r="F99" s="106"/>
      <c r="G99" s="970">
        <v>292</v>
      </c>
      <c r="H99" s="87"/>
    </row>
    <row r="100" spans="3:10" x14ac:dyDescent="0.25">
      <c r="C100" s="232" t="s">
        <v>74</v>
      </c>
      <c r="D100" s="266"/>
      <c r="E100" s="106"/>
      <c r="F100" s="106"/>
      <c r="G100" s="970"/>
      <c r="H100" s="87"/>
    </row>
    <row r="101" spans="3:10" hidden="1" x14ac:dyDescent="0.25">
      <c r="C101" s="232" t="s">
        <v>67</v>
      </c>
      <c r="D101" s="266"/>
      <c r="E101" s="970">
        <v>0</v>
      </c>
      <c r="F101" s="106"/>
      <c r="G101" s="970">
        <v>0</v>
      </c>
      <c r="H101" s="87"/>
    </row>
    <row r="102" spans="3:10" hidden="1" x14ac:dyDescent="0.25">
      <c r="C102" s="232" t="s">
        <v>68</v>
      </c>
      <c r="D102" s="266"/>
      <c r="E102" s="970">
        <v>0</v>
      </c>
      <c r="F102" s="106"/>
      <c r="G102" s="970">
        <v>0</v>
      </c>
      <c r="H102" s="87"/>
    </row>
    <row r="103" spans="3:10" hidden="1" x14ac:dyDescent="0.25">
      <c r="C103" s="232" t="s">
        <v>69</v>
      </c>
      <c r="D103" s="266"/>
      <c r="E103" s="970">
        <v>0</v>
      </c>
      <c r="F103" s="106"/>
      <c r="G103" s="970">
        <v>0</v>
      </c>
      <c r="H103" s="87"/>
    </row>
    <row r="104" spans="3:10" x14ac:dyDescent="0.25">
      <c r="C104" s="232" t="s">
        <v>71</v>
      </c>
      <c r="D104" s="266"/>
      <c r="E104" s="942">
        <f>'Notes To P&amp;L'!E112</f>
        <v>54521.19</v>
      </c>
      <c r="F104" s="106"/>
      <c r="G104" s="1953">
        <f>'Notes To P&amp;L'!F112</f>
        <v>34613.269999999997</v>
      </c>
      <c r="H104" s="87"/>
      <c r="J104" s="2491"/>
    </row>
    <row r="105" spans="3:10" hidden="1" x14ac:dyDescent="0.25">
      <c r="C105" s="232" t="s">
        <v>75</v>
      </c>
      <c r="D105" s="266"/>
      <c r="E105" s="106"/>
      <c r="F105" s="106"/>
      <c r="G105" s="970"/>
      <c r="H105" s="87"/>
    </row>
    <row r="106" spans="3:10" hidden="1" x14ac:dyDescent="0.25">
      <c r="C106" s="232" t="s">
        <v>67</v>
      </c>
      <c r="D106" s="266"/>
      <c r="E106" s="970">
        <v>0</v>
      </c>
      <c r="F106" s="106"/>
      <c r="G106" s="970">
        <v>0</v>
      </c>
      <c r="H106" s="87"/>
    </row>
    <row r="107" spans="3:10" hidden="1" x14ac:dyDescent="0.25">
      <c r="C107" s="232" t="s">
        <v>68</v>
      </c>
      <c r="D107" s="266"/>
      <c r="E107" s="970">
        <v>0</v>
      </c>
      <c r="F107" s="106"/>
      <c r="G107" s="970">
        <v>0</v>
      </c>
      <c r="H107" s="87"/>
    </row>
    <row r="108" spans="3:10" hidden="1" x14ac:dyDescent="0.25">
      <c r="C108" s="232" t="s">
        <v>69</v>
      </c>
      <c r="D108" s="266"/>
      <c r="E108" s="970">
        <v>0</v>
      </c>
      <c r="F108" s="106"/>
      <c r="G108" s="970">
        <v>0</v>
      </c>
      <c r="H108" s="87"/>
    </row>
    <row r="109" spans="3:10" hidden="1" x14ac:dyDescent="0.25">
      <c r="C109" s="232" t="s">
        <v>71</v>
      </c>
      <c r="D109" s="266"/>
      <c r="E109" s="970">
        <v>0</v>
      </c>
      <c r="F109" s="106"/>
      <c r="G109" s="970">
        <v>0</v>
      </c>
      <c r="H109" s="87"/>
    </row>
    <row r="110" spans="3:10" hidden="1" x14ac:dyDescent="0.25">
      <c r="C110" s="232" t="s">
        <v>44</v>
      </c>
      <c r="D110" s="266"/>
      <c r="E110" s="970">
        <v>0</v>
      </c>
      <c r="F110" s="106"/>
      <c r="G110" s="970">
        <v>0</v>
      </c>
      <c r="H110" s="87"/>
    </row>
    <row r="111" spans="3:10" hidden="1" x14ac:dyDescent="0.25">
      <c r="C111" s="232" t="s">
        <v>45</v>
      </c>
      <c r="D111" s="266"/>
      <c r="E111" s="970">
        <v>0</v>
      </c>
      <c r="F111" s="106"/>
      <c r="G111" s="970">
        <v>0</v>
      </c>
      <c r="H111" s="87"/>
    </row>
    <row r="112" spans="3:10" hidden="1" x14ac:dyDescent="0.25">
      <c r="C112" s="232" t="s">
        <v>557</v>
      </c>
      <c r="D112" s="266"/>
      <c r="E112" s="970">
        <v>0</v>
      </c>
      <c r="F112" s="106"/>
      <c r="G112" s="970">
        <v>0</v>
      </c>
      <c r="H112" s="87"/>
    </row>
    <row r="113" spans="3:10" hidden="1" x14ac:dyDescent="0.25">
      <c r="C113" s="232" t="s">
        <v>558</v>
      </c>
      <c r="D113" s="266"/>
      <c r="E113" s="970">
        <v>0</v>
      </c>
      <c r="F113" s="106"/>
      <c r="G113" s="970">
        <v>0</v>
      </c>
      <c r="H113" s="87"/>
    </row>
    <row r="114" spans="3:10" hidden="1" x14ac:dyDescent="0.25">
      <c r="C114" s="232" t="s">
        <v>559</v>
      </c>
      <c r="D114" s="266"/>
      <c r="E114" s="970">
        <v>0</v>
      </c>
      <c r="F114" s="106"/>
      <c r="G114" s="970">
        <v>0</v>
      </c>
      <c r="H114" s="87"/>
    </row>
    <row r="115" spans="3:10" x14ac:dyDescent="0.25">
      <c r="C115" s="220"/>
      <c r="D115" s="139"/>
      <c r="E115" s="106"/>
      <c r="F115" s="1750">
        <f>SUM(E67:E114)</f>
        <v>51928.709000000003</v>
      </c>
      <c r="G115" s="106"/>
      <c r="H115" s="1880">
        <f>SUM(G67:G114)</f>
        <v>34905.269999999997</v>
      </c>
    </row>
    <row r="116" spans="3:10" x14ac:dyDescent="0.25">
      <c r="C116" s="220"/>
      <c r="D116" s="139"/>
      <c r="E116" s="106"/>
      <c r="F116" s="1750"/>
      <c r="G116" s="106"/>
      <c r="H116" s="87"/>
    </row>
    <row r="117" spans="3:10" x14ac:dyDescent="0.25">
      <c r="C117" s="2721" t="s">
        <v>545</v>
      </c>
      <c r="D117" s="2722"/>
      <c r="E117" s="106"/>
      <c r="F117" s="1747">
        <f>+F62</f>
        <v>-98924.015199999994</v>
      </c>
      <c r="G117" s="106"/>
      <c r="H117" s="2400">
        <f>+H62</f>
        <v>-75067.08</v>
      </c>
      <c r="J117" s="2390"/>
    </row>
    <row r="118" spans="3:10" x14ac:dyDescent="0.25">
      <c r="C118" s="220"/>
      <c r="D118" s="139"/>
      <c r="E118" s="106"/>
      <c r="F118" s="1750"/>
      <c r="G118" s="106"/>
      <c r="H118" s="87"/>
      <c r="J118" s="2390"/>
    </row>
    <row r="119" spans="3:10" x14ac:dyDescent="0.25">
      <c r="C119" s="262" t="s">
        <v>548</v>
      </c>
      <c r="D119" s="139"/>
      <c r="E119" s="155"/>
      <c r="F119" s="1751">
        <f>F115</f>
        <v>51928.709000000003</v>
      </c>
      <c r="G119" s="126"/>
      <c r="H119" s="1885">
        <f>+H115</f>
        <v>34905.269999999997</v>
      </c>
      <c r="J119" s="2491"/>
    </row>
    <row r="120" spans="3:10" x14ac:dyDescent="0.25">
      <c r="C120" s="262"/>
      <c r="D120" s="139"/>
      <c r="E120" s="155"/>
      <c r="F120" s="126"/>
      <c r="G120" s="126"/>
      <c r="H120" s="268"/>
      <c r="J120" s="2390"/>
    </row>
    <row r="121" spans="3:10" ht="28.9" hidden="1" customHeight="1" thickBot="1" x14ac:dyDescent="0.3">
      <c r="C121" s="2731" t="s">
        <v>705</v>
      </c>
      <c r="D121" s="2732"/>
      <c r="E121" s="2732"/>
      <c r="F121" s="2732"/>
      <c r="G121" s="2732"/>
      <c r="H121" s="2733"/>
    </row>
    <row r="122" spans="3:10" x14ac:dyDescent="0.25">
      <c r="C122" s="262" t="s">
        <v>76</v>
      </c>
      <c r="D122" s="139"/>
      <c r="E122" s="106"/>
      <c r="F122" s="106"/>
      <c r="G122" s="106"/>
      <c r="H122" s="87"/>
    </row>
    <row r="123" spans="3:10" x14ac:dyDescent="0.25">
      <c r="C123" s="220" t="s">
        <v>77</v>
      </c>
      <c r="D123" s="139"/>
      <c r="E123" s="970">
        <v>0</v>
      </c>
      <c r="F123" s="106"/>
      <c r="G123" s="970">
        <v>0</v>
      </c>
      <c r="H123" s="87"/>
    </row>
    <row r="124" spans="3:10" hidden="1" x14ac:dyDescent="0.25">
      <c r="C124" s="220" t="s">
        <v>78</v>
      </c>
      <c r="D124" s="139"/>
      <c r="E124" s="970">
        <v>0</v>
      </c>
      <c r="F124" s="106"/>
      <c r="G124" s="970">
        <v>0</v>
      </c>
      <c r="H124" s="87"/>
    </row>
    <row r="125" spans="3:10" hidden="1" x14ac:dyDescent="0.25">
      <c r="C125" s="220" t="s">
        <v>79</v>
      </c>
      <c r="D125" s="139"/>
      <c r="E125" s="970">
        <v>0</v>
      </c>
      <c r="F125" s="106"/>
      <c r="G125" s="970">
        <v>0</v>
      </c>
      <c r="H125" s="87"/>
    </row>
    <row r="126" spans="3:10" hidden="1" x14ac:dyDescent="0.25">
      <c r="C126" s="220" t="s">
        <v>80</v>
      </c>
      <c r="D126" s="139"/>
      <c r="E126" s="970">
        <v>0</v>
      </c>
      <c r="F126" s="106"/>
      <c r="G126" s="970">
        <v>0</v>
      </c>
      <c r="H126" s="87"/>
    </row>
    <row r="127" spans="3:10" hidden="1" x14ac:dyDescent="0.25">
      <c r="C127" s="220" t="s">
        <v>81</v>
      </c>
      <c r="D127" s="139"/>
      <c r="E127" s="970">
        <v>0</v>
      </c>
      <c r="F127" s="845"/>
      <c r="G127" s="970">
        <v>0</v>
      </c>
      <c r="H127" s="87"/>
    </row>
    <row r="128" spans="3:10" hidden="1" x14ac:dyDescent="0.25">
      <c r="C128" s="220" t="s">
        <v>502</v>
      </c>
      <c r="D128" s="139"/>
      <c r="E128" s="970">
        <v>0</v>
      </c>
      <c r="F128" s="845"/>
      <c r="G128" s="970">
        <v>0</v>
      </c>
      <c r="H128" s="87"/>
    </row>
    <row r="129" spans="3:11" hidden="1" x14ac:dyDescent="0.25">
      <c r="C129" s="220" t="s">
        <v>503</v>
      </c>
      <c r="D129" s="139"/>
      <c r="E129" s="970">
        <v>0</v>
      </c>
      <c r="F129" s="845"/>
      <c r="G129" s="970">
        <v>0</v>
      </c>
      <c r="H129" s="87"/>
    </row>
    <row r="130" spans="3:11" hidden="1" x14ac:dyDescent="0.25">
      <c r="C130" s="220" t="s">
        <v>967</v>
      </c>
      <c r="D130" s="139"/>
      <c r="E130" s="970">
        <v>0</v>
      </c>
      <c r="F130" s="845"/>
      <c r="G130" s="970">
        <v>0</v>
      </c>
      <c r="H130" s="87"/>
    </row>
    <row r="131" spans="3:11" hidden="1" x14ac:dyDescent="0.25">
      <c r="C131" s="220" t="s">
        <v>82</v>
      </c>
      <c r="D131" s="139"/>
      <c r="E131" s="970">
        <v>0</v>
      </c>
      <c r="F131" s="845"/>
      <c r="G131" s="970">
        <v>0</v>
      </c>
      <c r="H131" s="87"/>
    </row>
    <row r="132" spans="3:11" hidden="1" x14ac:dyDescent="0.25">
      <c r="C132" s="220" t="s">
        <v>83</v>
      </c>
      <c r="D132" s="139"/>
      <c r="E132" s="970">
        <v>0</v>
      </c>
      <c r="F132" s="845"/>
      <c r="G132" s="970">
        <v>0</v>
      </c>
      <c r="H132" s="87"/>
    </row>
    <row r="133" spans="3:11" hidden="1" x14ac:dyDescent="0.25">
      <c r="C133" s="220" t="s">
        <v>846</v>
      </c>
      <c r="D133" s="139"/>
      <c r="E133" s="970">
        <v>0</v>
      </c>
      <c r="F133" s="845"/>
      <c r="G133" s="970">
        <v>0</v>
      </c>
      <c r="H133" s="87"/>
    </row>
    <row r="134" spans="3:11" hidden="1" x14ac:dyDescent="0.25">
      <c r="C134" s="220" t="s">
        <v>84</v>
      </c>
      <c r="D134" s="139"/>
      <c r="E134" s="970">
        <v>0</v>
      </c>
      <c r="F134" s="845"/>
      <c r="G134" s="970">
        <v>0</v>
      </c>
      <c r="H134" s="87"/>
    </row>
    <row r="135" spans="3:11" hidden="1" x14ac:dyDescent="0.25">
      <c r="C135" s="220" t="s">
        <v>85</v>
      </c>
      <c r="D135" s="139"/>
      <c r="E135" s="970">
        <v>0</v>
      </c>
      <c r="F135" s="845"/>
      <c r="G135" s="970">
        <v>0</v>
      </c>
      <c r="H135" s="87"/>
    </row>
    <row r="136" spans="3:11" hidden="1" x14ac:dyDescent="0.25">
      <c r="C136" s="220"/>
      <c r="D136" s="139"/>
      <c r="E136" s="845"/>
      <c r="F136" s="845"/>
      <c r="G136" s="106"/>
      <c r="H136" s="87"/>
    </row>
    <row r="137" spans="3:11" x14ac:dyDescent="0.25">
      <c r="C137" s="220"/>
      <c r="D137" s="139"/>
      <c r="E137" s="845"/>
      <c r="F137" s="845"/>
      <c r="G137" s="106"/>
      <c r="H137" s="87"/>
    </row>
    <row r="138" spans="3:11" x14ac:dyDescent="0.25">
      <c r="C138" s="262" t="s">
        <v>86</v>
      </c>
      <c r="D138" s="139"/>
      <c r="E138" s="1693"/>
      <c r="F138" s="1748">
        <v>0</v>
      </c>
      <c r="G138" s="106"/>
      <c r="H138" s="1887">
        <v>0</v>
      </c>
    </row>
    <row r="139" spans="3:11" x14ac:dyDescent="0.25">
      <c r="C139" s="220"/>
      <c r="D139" s="139"/>
      <c r="E139" s="845"/>
      <c r="F139" s="845"/>
      <c r="G139" s="106"/>
      <c r="H139" s="87"/>
    </row>
    <row r="140" spans="3:11" x14ac:dyDescent="0.25">
      <c r="C140" s="262" t="s">
        <v>598</v>
      </c>
      <c r="D140" s="139"/>
      <c r="E140" s="1693"/>
      <c r="F140" s="1749">
        <f ca="1">F63+F119+F138</f>
        <v>288124.02999999974</v>
      </c>
      <c r="G140" s="126"/>
      <c r="H140" s="1886">
        <f ca="1">H63+H119+H138</f>
        <v>318660.01509999961</v>
      </c>
      <c r="J140" s="935"/>
    </row>
    <row r="141" spans="3:11" x14ac:dyDescent="0.25">
      <c r="C141" s="220" t="s">
        <v>87</v>
      </c>
      <c r="D141" s="139"/>
      <c r="E141" s="845"/>
      <c r="F141" s="1749">
        <f>+'Balance Sheet'!G60</f>
        <v>984629.82819999999</v>
      </c>
      <c r="G141" s="126"/>
      <c r="H141" s="1947">
        <f>+'Balance Sheet-FY 22'!F60</f>
        <v>665969.86219999997</v>
      </c>
      <c r="J141" s="2491"/>
    </row>
    <row r="142" spans="3:11" x14ac:dyDescent="0.25">
      <c r="C142" s="2721" t="s">
        <v>599</v>
      </c>
      <c r="D142" s="2722"/>
      <c r="E142" s="845"/>
      <c r="F142" s="1749"/>
      <c r="G142" s="126"/>
      <c r="H142" s="268"/>
    </row>
    <row r="143" spans="3:11" ht="17.25" thickBot="1" x14ac:dyDescent="0.3">
      <c r="C143" s="274" t="s">
        <v>88</v>
      </c>
      <c r="D143" s="272"/>
      <c r="E143" s="2618"/>
      <c r="F143" s="2619">
        <f ca="1">F140+F141</f>
        <v>1272753.8581999997</v>
      </c>
      <c r="G143" s="2620"/>
      <c r="H143" s="2621">
        <f ca="1">+H140+H141</f>
        <v>984629.87729999959</v>
      </c>
      <c r="J143" s="935">
        <f ca="1">+F143-F159</f>
        <v>-6.3600000226870179E-2</v>
      </c>
      <c r="K143" s="841">
        <f ca="1">+H143-H159</f>
        <v>4.9099999596364796E-2</v>
      </c>
    </row>
    <row r="144" spans="3:11" ht="28.15" hidden="1" customHeight="1" x14ac:dyDescent="0.25">
      <c r="C144" s="2725" t="s">
        <v>713</v>
      </c>
      <c r="D144" s="2726"/>
      <c r="E144" s="2726"/>
      <c r="F144" s="2726"/>
      <c r="G144" s="2726"/>
      <c r="H144" s="2727"/>
    </row>
    <row r="145" spans="3:11" ht="14.25" customHeight="1" x14ac:dyDescent="0.25">
      <c r="C145" s="2617"/>
      <c r="D145" s="269"/>
      <c r="E145" s="269"/>
      <c r="F145" s="269"/>
      <c r="G145" s="269"/>
      <c r="H145" s="269"/>
      <c r="J145" s="935">
        <f ca="1">+J143*100</f>
        <v>-6.3600000226870179</v>
      </c>
      <c r="K145" s="935">
        <f ca="1">+K143*100</f>
        <v>4.9099999596364796</v>
      </c>
    </row>
    <row r="146" spans="3:11" ht="14.25" customHeight="1" x14ac:dyDescent="0.25">
      <c r="C146" s="2617"/>
      <c r="D146" s="269"/>
      <c r="E146" s="269"/>
      <c r="F146" s="269"/>
      <c r="G146" s="269"/>
      <c r="H146" s="269"/>
      <c r="J146" s="935"/>
      <c r="K146" s="935"/>
    </row>
    <row r="147" spans="3:11" ht="14.25" customHeight="1" thickBot="1" x14ac:dyDescent="0.3">
      <c r="C147" s="2617"/>
      <c r="D147" s="269"/>
      <c r="E147" s="2730" t="s">
        <v>3616</v>
      </c>
      <c r="F147" s="2730"/>
      <c r="G147" s="2730"/>
      <c r="H147" s="2730"/>
      <c r="J147" s="935"/>
      <c r="K147" s="935"/>
    </row>
    <row r="148" spans="3:11" ht="36" customHeight="1" x14ac:dyDescent="0.25">
      <c r="C148" s="2723" t="s">
        <v>20</v>
      </c>
      <c r="D148" s="2724"/>
      <c r="E148" s="2717" t="s">
        <v>3352</v>
      </c>
      <c r="F148" s="2718"/>
      <c r="G148" s="2717" t="s">
        <v>3353</v>
      </c>
      <c r="H148" s="2719"/>
      <c r="J148" s="935"/>
    </row>
    <row r="149" spans="3:11" x14ac:dyDescent="0.25">
      <c r="C149" s="270" t="s">
        <v>88</v>
      </c>
      <c r="D149" s="247"/>
      <c r="E149" s="24"/>
      <c r="F149" s="24"/>
      <c r="G149" s="24"/>
      <c r="H149" s="23"/>
    </row>
    <row r="150" spans="3:11" hidden="1" x14ac:dyDescent="0.25">
      <c r="C150" s="220" t="s">
        <v>197</v>
      </c>
      <c r="D150" s="139"/>
      <c r="E150" s="106"/>
      <c r="F150" s="970">
        <v>0</v>
      </c>
      <c r="G150" s="970"/>
      <c r="H150" s="1879">
        <v>0</v>
      </c>
    </row>
    <row r="151" spans="3:11" hidden="1" x14ac:dyDescent="0.25">
      <c r="C151" s="2721" t="s">
        <v>198</v>
      </c>
      <c r="D151" s="2722"/>
      <c r="E151" s="106"/>
      <c r="F151" s="970">
        <v>0</v>
      </c>
      <c r="G151" s="970"/>
      <c r="H151" s="1879">
        <v>0</v>
      </c>
    </row>
    <row r="152" spans="3:11" x14ac:dyDescent="0.25">
      <c r="C152" s="2721" t="s">
        <v>199</v>
      </c>
      <c r="D152" s="2722"/>
      <c r="E152" s="106"/>
      <c r="F152" s="970"/>
      <c r="G152" s="970"/>
      <c r="H152" s="1879"/>
    </row>
    <row r="153" spans="3:11" x14ac:dyDescent="0.25">
      <c r="C153" s="2728" t="s">
        <v>200</v>
      </c>
      <c r="D153" s="2729"/>
      <c r="E153" s="106"/>
      <c r="F153" s="845">
        <f>+Assets!D376</f>
        <v>50079.181799999998</v>
      </c>
      <c r="G153" s="845"/>
      <c r="H153" s="1880">
        <f>+Assets!E376</f>
        <v>50042.548200000005</v>
      </c>
    </row>
    <row r="154" spans="3:11" hidden="1" x14ac:dyDescent="0.25">
      <c r="C154" s="2728" t="s">
        <v>201</v>
      </c>
      <c r="D154" s="2729"/>
      <c r="E154" s="106"/>
      <c r="F154" s="845">
        <v>0</v>
      </c>
      <c r="G154" s="845"/>
      <c r="H154" s="1880">
        <v>0</v>
      </c>
    </row>
    <row r="155" spans="3:11" hidden="1" x14ac:dyDescent="0.25">
      <c r="C155" s="2728" t="s">
        <v>605</v>
      </c>
      <c r="D155" s="2729"/>
      <c r="E155" s="106"/>
      <c r="F155" s="845">
        <v>0</v>
      </c>
      <c r="G155" s="845"/>
      <c r="H155" s="1880">
        <v>0</v>
      </c>
    </row>
    <row r="156" spans="3:11" hidden="1" x14ac:dyDescent="0.25">
      <c r="C156" s="2728" t="s">
        <v>608</v>
      </c>
      <c r="D156" s="2729"/>
      <c r="E156" s="106"/>
      <c r="F156" s="845">
        <v>0</v>
      </c>
      <c r="G156" s="845"/>
      <c r="H156" s="1880">
        <v>0</v>
      </c>
    </row>
    <row r="157" spans="3:11" hidden="1" x14ac:dyDescent="0.25">
      <c r="C157" s="2721" t="s">
        <v>1971</v>
      </c>
      <c r="D157" s="2722"/>
      <c r="E157" s="106"/>
      <c r="F157" s="845"/>
      <c r="G157" s="845"/>
      <c r="H157" s="1880"/>
    </row>
    <row r="158" spans="3:11" x14ac:dyDescent="0.25">
      <c r="C158" s="2721" t="s">
        <v>3351</v>
      </c>
      <c r="D158" s="2722"/>
      <c r="E158" s="106"/>
      <c r="F158" s="845">
        <f>+Assets!D378</f>
        <v>1222674.74</v>
      </c>
      <c r="G158" s="845"/>
      <c r="H158" s="1880">
        <f>+Assets!E378</f>
        <v>934587.28</v>
      </c>
    </row>
    <row r="159" spans="3:11" ht="17.25" thickBot="1" x14ac:dyDescent="0.3">
      <c r="C159" s="271"/>
      <c r="D159" s="272"/>
      <c r="E159" s="117"/>
      <c r="F159" s="2619">
        <f>+SUM(F150:F158)</f>
        <v>1272753.9217999999</v>
      </c>
      <c r="G159" s="2681"/>
      <c r="H159" s="2682">
        <f>+SUM(H150:H158)</f>
        <v>984629.82819999999</v>
      </c>
      <c r="J159" s="2390">
        <f ca="1">++F143-F159</f>
        <v>-6.3600000226870179E-2</v>
      </c>
    </row>
    <row r="160" spans="3:11" x14ac:dyDescent="0.25">
      <c r="C160" s="273" t="s">
        <v>585</v>
      </c>
      <c r="D160" s="82"/>
      <c r="E160" s="82"/>
      <c r="F160" s="82"/>
      <c r="G160" s="82"/>
      <c r="H160" s="83"/>
    </row>
    <row r="161" spans="3:8" x14ac:dyDescent="0.25">
      <c r="C161" s="220" t="s">
        <v>620</v>
      </c>
      <c r="H161" s="87"/>
    </row>
    <row r="162" spans="3:8" x14ac:dyDescent="0.25">
      <c r="C162" s="220" t="s">
        <v>586</v>
      </c>
      <c r="H162" s="87"/>
    </row>
    <row r="163" spans="3:8" x14ac:dyDescent="0.25">
      <c r="C163" s="220"/>
      <c r="H163" s="87"/>
    </row>
    <row r="164" spans="3:8" ht="17.25" hidden="1" thickBot="1" x14ac:dyDescent="0.3">
      <c r="C164" s="274" t="s">
        <v>579</v>
      </c>
      <c r="D164" s="218"/>
      <c r="E164" s="111"/>
      <c r="F164" s="111"/>
      <c r="G164" s="111"/>
      <c r="H164" s="112"/>
    </row>
    <row r="165" spans="3:8" hidden="1" x14ac:dyDescent="0.25">
      <c r="C165" s="275" t="str">
        <f>+'Profit and Loss'!C71</f>
        <v>In terms of our report attached.</v>
      </c>
      <c r="D165" s="276"/>
      <c r="E165" s="276"/>
      <c r="F165" s="276"/>
      <c r="G165" s="277"/>
      <c r="H165" s="83"/>
    </row>
    <row r="166" spans="3:8" x14ac:dyDescent="0.25">
      <c r="C166" s="262" t="str">
        <f>+'Profit and Loss'!C72</f>
        <v>For Name of Auditor</v>
      </c>
      <c r="E166" s="42" t="str">
        <f>+'Profit and Loss'!F72</f>
        <v xml:space="preserve">For and on behalf of the Board of Directors </v>
      </c>
      <c r="F166" s="42"/>
      <c r="G166" s="42"/>
      <c r="H166" s="87"/>
    </row>
    <row r="167" spans="3:8" x14ac:dyDescent="0.25">
      <c r="C167" s="220" t="str">
        <f>+'Profit and Loss'!C73</f>
        <v>Chartered Accountants</v>
      </c>
      <c r="D167" s="41"/>
      <c r="E167" s="42" t="str">
        <f>+'Profit and Loss'!F73</f>
        <v>Sample Company</v>
      </c>
      <c r="F167" s="41"/>
      <c r="G167" s="279"/>
      <c r="H167" s="87"/>
    </row>
    <row r="168" spans="3:8" x14ac:dyDescent="0.25">
      <c r="C168" s="220" t="str">
        <f>+'Profit and Loss'!C74</f>
        <v>FRN No. xxxxxx</v>
      </c>
      <c r="D168" s="41"/>
      <c r="E168" s="278"/>
      <c r="F168" s="41"/>
      <c r="G168" s="279"/>
      <c r="H168" s="87"/>
    </row>
    <row r="169" spans="3:8" x14ac:dyDescent="0.25">
      <c r="C169" s="220" t="str">
        <f>+'Profit and Loss'!C75</f>
        <v>UDIN : xxxxxxxxxxxxxxxxxxxxxx</v>
      </c>
      <c r="D169" s="41"/>
      <c r="E169" s="278"/>
      <c r="F169" s="41"/>
      <c r="G169" s="279"/>
      <c r="H169" s="87"/>
    </row>
    <row r="170" spans="3:8" x14ac:dyDescent="0.25">
      <c r="C170" s="280"/>
      <c r="D170" s="41"/>
      <c r="E170" s="81"/>
      <c r="F170" s="41"/>
      <c r="G170" s="281"/>
      <c r="H170" s="87"/>
    </row>
    <row r="171" spans="3:8" x14ac:dyDescent="0.25">
      <c r="C171" s="262"/>
      <c r="D171" s="102"/>
      <c r="E171" s="2720"/>
      <c r="F171" s="2720"/>
      <c r="G171" s="282"/>
      <c r="H171" s="87"/>
    </row>
    <row r="172" spans="3:8" x14ac:dyDescent="0.25">
      <c r="C172" s="262"/>
      <c r="D172" s="41"/>
      <c r="E172" s="42"/>
      <c r="F172" s="41"/>
      <c r="G172" s="42"/>
      <c r="H172" s="87"/>
    </row>
    <row r="173" spans="3:8" x14ac:dyDescent="0.25">
      <c r="C173" s="283"/>
      <c r="D173" s="41"/>
      <c r="E173" s="102"/>
      <c r="F173" s="17"/>
      <c r="G173" s="41"/>
      <c r="H173" s="87"/>
    </row>
    <row r="174" spans="3:8" x14ac:dyDescent="0.25">
      <c r="C174" s="283"/>
      <c r="D174" s="41"/>
      <c r="E174" s="102"/>
      <c r="F174" s="17"/>
      <c r="G174" s="41"/>
      <c r="H174" s="87"/>
    </row>
    <row r="175" spans="3:8" x14ac:dyDescent="0.25">
      <c r="C175" s="262" t="str">
        <f>+'Profit and Loss'!C81</f>
        <v>xxxx</v>
      </c>
      <c r="D175" s="41"/>
      <c r="E175" s="17" t="str">
        <f>+'Profit and Loss'!F81</f>
        <v>xxxxx</v>
      </c>
      <c r="F175" s="17"/>
      <c r="G175" s="42" t="str">
        <f>+'Balance Sheet'!G77</f>
        <v>xxxxx</v>
      </c>
      <c r="H175" s="87"/>
    </row>
    <row r="176" spans="3:8" x14ac:dyDescent="0.25">
      <c r="C176" s="262" t="str">
        <f>+'Profit and Loss'!C82</f>
        <v xml:space="preserve">Partner
 </v>
      </c>
      <c r="D176" s="41"/>
      <c r="E176" s="17" t="str">
        <f>+'Profit and Loss'!F82</f>
        <v>Director</v>
      </c>
      <c r="F176" s="41"/>
      <c r="G176" s="42" t="str">
        <f>+'Balance Sheet'!G78</f>
        <v>Director</v>
      </c>
      <c r="H176" s="87"/>
    </row>
    <row r="177" spans="3:8" x14ac:dyDescent="0.25">
      <c r="C177" s="220" t="str">
        <f>+'Profit and Loss'!C83</f>
        <v>M.No.xxxx</v>
      </c>
      <c r="D177" s="41"/>
      <c r="E177" s="32" t="str">
        <f>+'Profit and Loss'!F83</f>
        <v>DIN :xxxxx</v>
      </c>
      <c r="F177" s="41"/>
      <c r="G177" s="41" t="str">
        <f>+'Balance Sheet'!G79</f>
        <v>DIN :xxxxx</v>
      </c>
      <c r="H177" s="87"/>
    </row>
    <row r="178" spans="3:8" x14ac:dyDescent="0.25">
      <c r="C178" s="220" t="str">
        <f>+'Profit and Loss'!C84</f>
        <v>Place : Pune</v>
      </c>
      <c r="D178" s="41"/>
      <c r="E178" s="32" t="str">
        <f>+'Profit and Loss'!F84</f>
        <v>Place : Australia</v>
      </c>
      <c r="F178" s="41"/>
      <c r="G178" s="41" t="str">
        <f>+'Balance Sheet'!G80</f>
        <v>Place : Mumbai</v>
      </c>
      <c r="H178" s="87"/>
    </row>
    <row r="179" spans="3:8" x14ac:dyDescent="0.25">
      <c r="C179" s="220" t="s">
        <v>3915</v>
      </c>
      <c r="D179" s="41"/>
      <c r="E179" s="32" t="str">
        <f>+'Profit and Loss'!F85</f>
        <v>Date : 30-08-2025</v>
      </c>
      <c r="F179" s="41"/>
      <c r="G179" s="41" t="str">
        <f>+'Balance Sheet'!G81</f>
        <v>Date : 05-09-2025</v>
      </c>
      <c r="H179" s="87"/>
    </row>
    <row r="180" spans="3:8" x14ac:dyDescent="0.25">
      <c r="C180" s="220"/>
      <c r="D180" s="41"/>
      <c r="E180" s="32"/>
      <c r="F180" s="41"/>
      <c r="G180" s="281"/>
      <c r="H180" s="87"/>
    </row>
    <row r="181" spans="3:8" ht="17.25" thickBot="1" x14ac:dyDescent="0.3">
      <c r="C181" s="271"/>
      <c r="D181" s="79"/>
      <c r="E181" s="255"/>
      <c r="F181" s="79"/>
      <c r="G181" s="284"/>
      <c r="H181" s="112"/>
    </row>
  </sheetData>
  <mergeCells count="25">
    <mergeCell ref="C69:D69"/>
    <mergeCell ref="C117:D117"/>
    <mergeCell ref="C67:D67"/>
    <mergeCell ref="C121:H121"/>
    <mergeCell ref="E12:H12"/>
    <mergeCell ref="C13:D13"/>
    <mergeCell ref="E13:F13"/>
    <mergeCell ref="G13:H13"/>
    <mergeCell ref="C62:D62"/>
    <mergeCell ref="C65:H65"/>
    <mergeCell ref="E148:F148"/>
    <mergeCell ref="G148:H148"/>
    <mergeCell ref="E171:F171"/>
    <mergeCell ref="C142:D142"/>
    <mergeCell ref="C151:D151"/>
    <mergeCell ref="C148:D148"/>
    <mergeCell ref="C144:H144"/>
    <mergeCell ref="C155:D155"/>
    <mergeCell ref="C156:D156"/>
    <mergeCell ref="C157:D157"/>
    <mergeCell ref="C152:D152"/>
    <mergeCell ref="C158:D158"/>
    <mergeCell ref="C153:D153"/>
    <mergeCell ref="C154:D154"/>
    <mergeCell ref="E147:H147"/>
  </mergeCells>
  <pageMargins left="0.5" right="0.5" top="0.5" bottom="0.5" header="0.5" footer="0.5"/>
  <pageSetup scale="61" fitToHeight="0" orientation="portrait" r:id="rId1"/>
  <headerFooter alignWithMargins="0"/>
  <rowBreaks count="1" manualBreakCount="1">
    <brk id="145" min="1" max="8"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C8:G278"/>
  <sheetViews>
    <sheetView showGridLines="0" view="pageBreakPreview" zoomScale="80" zoomScaleNormal="100" zoomScaleSheetLayoutView="80" workbookViewId="0">
      <selection activeCell="D20" sqref="D20"/>
    </sheetView>
  </sheetViews>
  <sheetFormatPr defaultColWidth="8.85546875" defaultRowHeight="16.5" x14ac:dyDescent="0.25"/>
  <cols>
    <col min="1" max="2" width="3.7109375" style="18" customWidth="1"/>
    <col min="3" max="3" width="6" style="384" bestFit="1" customWidth="1"/>
    <col min="4" max="4" width="136.28515625" style="121" customWidth="1"/>
    <col min="5" max="5" width="8.85546875" style="18"/>
    <col min="6" max="6" width="11" style="18" customWidth="1"/>
    <col min="7" max="7" width="12.7109375" style="18" bestFit="1" customWidth="1"/>
    <col min="8" max="16384" width="8.85546875" style="18"/>
  </cols>
  <sheetData>
    <row r="8" spans="3:7" x14ac:dyDescent="0.25">
      <c r="C8" s="854" t="str">
        <f>Company_Name</f>
        <v>Sample Company</v>
      </c>
      <c r="D8" s="855"/>
    </row>
    <row r="9" spans="3:7" x14ac:dyDescent="0.25">
      <c r="C9" s="854" t="s">
        <v>90</v>
      </c>
      <c r="D9" s="855"/>
    </row>
    <row r="10" spans="3:7" x14ac:dyDescent="0.25">
      <c r="D10" s="855"/>
    </row>
    <row r="11" spans="3:7" x14ac:dyDescent="0.25">
      <c r="C11" s="167" t="s">
        <v>203</v>
      </c>
      <c r="D11" s="1359"/>
    </row>
    <row r="12" spans="3:7" x14ac:dyDescent="0.25">
      <c r="D12" s="855"/>
      <c r="G12" s="848"/>
    </row>
    <row r="13" spans="3:7" x14ac:dyDescent="0.25">
      <c r="C13" s="1360">
        <v>1</v>
      </c>
      <c r="D13" s="854" t="s">
        <v>91</v>
      </c>
    </row>
    <row r="14" spans="3:7" ht="49.5" x14ac:dyDescent="0.25">
      <c r="C14" s="167"/>
      <c r="D14" s="857" t="s">
        <v>3486</v>
      </c>
      <c r="F14" s="848"/>
    </row>
    <row r="15" spans="3:7" x14ac:dyDescent="0.25">
      <c r="C15" s="167"/>
      <c r="D15" s="855"/>
      <c r="F15" s="848"/>
    </row>
    <row r="16" spans="3:7" x14ac:dyDescent="0.25">
      <c r="C16" s="1360">
        <v>2</v>
      </c>
      <c r="D16" s="854" t="s">
        <v>3202</v>
      </c>
    </row>
    <row r="17" spans="3:4" x14ac:dyDescent="0.25">
      <c r="C17" s="1360"/>
      <c r="D17" s="854"/>
    </row>
    <row r="18" spans="3:4" x14ac:dyDescent="0.25">
      <c r="C18" s="1361">
        <v>2.1</v>
      </c>
      <c r="D18" s="856" t="s">
        <v>92</v>
      </c>
    </row>
    <row r="19" spans="3:4" x14ac:dyDescent="0.25">
      <c r="C19" s="1361"/>
      <c r="D19" s="856"/>
    </row>
    <row r="20" spans="3:4" ht="131.44999999999999" customHeight="1" x14ac:dyDescent="0.25">
      <c r="C20" s="1361"/>
      <c r="D20" s="857" t="s">
        <v>3887</v>
      </c>
    </row>
    <row r="21" spans="3:4" x14ac:dyDescent="0.25">
      <c r="C21" s="1361"/>
      <c r="D21" s="855"/>
    </row>
    <row r="22" spans="3:4" x14ac:dyDescent="0.25">
      <c r="C22" s="1362">
        <f>C18+0.1</f>
        <v>2.2000000000000002</v>
      </c>
      <c r="D22" s="856" t="s">
        <v>93</v>
      </c>
    </row>
    <row r="23" spans="3:4" x14ac:dyDescent="0.25">
      <c r="C23" s="1361"/>
      <c r="D23" s="856"/>
    </row>
    <row r="24" spans="3:4" ht="148.5" x14ac:dyDescent="0.25">
      <c r="C24" s="1361"/>
      <c r="D24" s="857" t="s">
        <v>3487</v>
      </c>
    </row>
    <row r="25" spans="3:4" x14ac:dyDescent="0.25">
      <c r="C25" s="1361"/>
      <c r="D25" s="855"/>
    </row>
    <row r="26" spans="3:4" x14ac:dyDescent="0.25">
      <c r="C26" s="1361">
        <f>C22+0.1</f>
        <v>2.3000000000000003</v>
      </c>
      <c r="D26" s="856" t="s">
        <v>58</v>
      </c>
    </row>
    <row r="27" spans="3:4" x14ac:dyDescent="0.25">
      <c r="C27" s="1361"/>
      <c r="D27" s="856"/>
    </row>
    <row r="28" spans="3:4" ht="49.15" customHeight="1" x14ac:dyDescent="0.25">
      <c r="C28" s="1361"/>
      <c r="D28" s="857" t="s">
        <v>3889</v>
      </c>
    </row>
    <row r="29" spans="3:4" hidden="1" x14ac:dyDescent="0.25">
      <c r="C29" s="850"/>
      <c r="D29" s="855"/>
    </row>
    <row r="30" spans="3:4" hidden="1" x14ac:dyDescent="0.25">
      <c r="C30" s="854" t="str">
        <f>+Company_Name</f>
        <v>Sample Company</v>
      </c>
      <c r="D30" s="855"/>
    </row>
    <row r="31" spans="3:4" hidden="1" x14ac:dyDescent="0.25">
      <c r="C31" s="854" t="s">
        <v>90</v>
      </c>
      <c r="D31" s="855"/>
    </row>
    <row r="32" spans="3:4" hidden="1" x14ac:dyDescent="0.25">
      <c r="C32" s="854"/>
      <c r="D32" s="855"/>
    </row>
    <row r="33" spans="3:6" hidden="1" x14ac:dyDescent="0.25">
      <c r="C33" s="854" t="s">
        <v>533</v>
      </c>
      <c r="D33" s="855"/>
    </row>
    <row r="34" spans="3:6" hidden="1" x14ac:dyDescent="0.25">
      <c r="D34" s="855"/>
    </row>
    <row r="35" spans="3:6" hidden="1" x14ac:dyDescent="0.25">
      <c r="C35" s="167" t="s">
        <v>203</v>
      </c>
      <c r="D35" s="1359" t="s">
        <v>20</v>
      </c>
    </row>
    <row r="36" spans="3:6" x14ac:dyDescent="0.25">
      <c r="D36" s="855"/>
    </row>
    <row r="37" spans="3:6" x14ac:dyDescent="0.25">
      <c r="C37" s="1361">
        <f>C26+0.1</f>
        <v>2.4000000000000004</v>
      </c>
      <c r="D37" s="856" t="s">
        <v>3203</v>
      </c>
    </row>
    <row r="38" spans="3:6" x14ac:dyDescent="0.25">
      <c r="C38" s="1361"/>
      <c r="D38" s="856"/>
    </row>
    <row r="39" spans="3:6" ht="57" customHeight="1" x14ac:dyDescent="0.25">
      <c r="C39" s="1361"/>
      <c r="D39" s="857" t="s">
        <v>1802</v>
      </c>
    </row>
    <row r="40" spans="3:6" x14ac:dyDescent="0.25">
      <c r="C40" s="1361"/>
      <c r="D40" s="855"/>
    </row>
    <row r="41" spans="3:6" x14ac:dyDescent="0.25">
      <c r="C41" s="1361">
        <f>C37+0.1</f>
        <v>2.5000000000000004</v>
      </c>
      <c r="D41" s="856" t="s">
        <v>692</v>
      </c>
    </row>
    <row r="42" spans="3:6" x14ac:dyDescent="0.25">
      <c r="C42" s="1361"/>
      <c r="D42" s="856"/>
    </row>
    <row r="43" spans="3:6" ht="56.25" customHeight="1" x14ac:dyDescent="0.25">
      <c r="C43" s="1361"/>
      <c r="D43" s="857" t="s">
        <v>587</v>
      </c>
    </row>
    <row r="44" spans="3:6" x14ac:dyDescent="0.25">
      <c r="C44" s="1361"/>
      <c r="D44" s="855"/>
    </row>
    <row r="45" spans="3:6" x14ac:dyDescent="0.25">
      <c r="C45" s="1361">
        <f>C41+0.1</f>
        <v>2.6000000000000005</v>
      </c>
      <c r="D45" s="856" t="s">
        <v>40</v>
      </c>
      <c r="F45" s="856"/>
    </row>
    <row r="46" spans="3:6" x14ac:dyDescent="0.25">
      <c r="C46" s="1361"/>
      <c r="D46" s="856"/>
      <c r="F46" s="856"/>
    </row>
    <row r="47" spans="3:6" ht="63.6" customHeight="1" x14ac:dyDescent="0.25">
      <c r="C47" s="1361"/>
      <c r="D47" s="857" t="s">
        <v>3898</v>
      </c>
      <c r="F47" s="857"/>
    </row>
    <row r="48" spans="3:6" hidden="1" x14ac:dyDescent="0.25">
      <c r="C48" s="1361"/>
      <c r="D48" s="858" t="s">
        <v>716</v>
      </c>
      <c r="F48" s="858"/>
    </row>
    <row r="49" spans="3:6" hidden="1" x14ac:dyDescent="0.25">
      <c r="C49" s="1361"/>
      <c r="D49" s="858" t="s">
        <v>3204</v>
      </c>
      <c r="F49" s="858"/>
    </row>
    <row r="50" spans="3:6" hidden="1" x14ac:dyDescent="0.25">
      <c r="C50" s="1361"/>
      <c r="D50" s="858" t="s">
        <v>3205</v>
      </c>
      <c r="F50" s="858"/>
    </row>
    <row r="51" spans="3:6" hidden="1" x14ac:dyDescent="0.25">
      <c r="C51" s="1361"/>
      <c r="D51" s="858" t="s">
        <v>717</v>
      </c>
      <c r="F51" s="858"/>
    </row>
    <row r="52" spans="3:6" hidden="1" x14ac:dyDescent="0.25">
      <c r="C52" s="1361"/>
      <c r="D52" s="857" t="s">
        <v>3210</v>
      </c>
      <c r="F52" s="858"/>
    </row>
    <row r="53" spans="3:6" hidden="1" x14ac:dyDescent="0.25">
      <c r="C53" s="1361"/>
      <c r="D53" s="858" t="s">
        <v>721</v>
      </c>
      <c r="F53" s="857"/>
    </row>
    <row r="54" spans="3:6" hidden="1" x14ac:dyDescent="0.25">
      <c r="C54" s="1361"/>
      <c r="D54" s="858" t="s">
        <v>722</v>
      </c>
      <c r="F54" s="858"/>
    </row>
    <row r="55" spans="3:6" hidden="1" x14ac:dyDescent="0.25">
      <c r="C55" s="1361"/>
      <c r="D55" s="858" t="s">
        <v>723</v>
      </c>
      <c r="F55" s="858"/>
    </row>
    <row r="56" spans="3:6" ht="123" hidden="1" customHeight="1" x14ac:dyDescent="0.25">
      <c r="C56" s="1361"/>
      <c r="D56" s="857" t="s">
        <v>724</v>
      </c>
      <c r="F56" s="858"/>
    </row>
    <row r="57" spans="3:6" hidden="1" x14ac:dyDescent="0.25">
      <c r="C57" s="1361"/>
      <c r="D57" s="857" t="s">
        <v>3206</v>
      </c>
      <c r="F57" s="858"/>
    </row>
    <row r="58" spans="3:6" hidden="1" x14ac:dyDescent="0.25">
      <c r="C58" s="1361"/>
      <c r="D58" s="857" t="s">
        <v>3207</v>
      </c>
      <c r="F58" s="858"/>
    </row>
    <row r="59" spans="3:6" hidden="1" x14ac:dyDescent="0.25">
      <c r="C59" s="1361"/>
      <c r="D59" s="857"/>
      <c r="F59" s="858"/>
    </row>
    <row r="60" spans="3:6" ht="40.5" hidden="1" customHeight="1" x14ac:dyDescent="0.25">
      <c r="C60" s="1361"/>
      <c r="D60" s="855" t="s">
        <v>725</v>
      </c>
      <c r="F60" s="855"/>
    </row>
    <row r="61" spans="3:6" x14ac:dyDescent="0.25">
      <c r="C61" s="1361"/>
      <c r="D61" s="855"/>
    </row>
    <row r="62" spans="3:6" x14ac:dyDescent="0.25">
      <c r="C62" s="1362">
        <f>C45+0.1</f>
        <v>2.7000000000000006</v>
      </c>
      <c r="D62" s="856" t="s">
        <v>94</v>
      </c>
    </row>
    <row r="63" spans="3:6" x14ac:dyDescent="0.25">
      <c r="C63" s="1361"/>
      <c r="D63" s="856"/>
    </row>
    <row r="64" spans="3:6" x14ac:dyDescent="0.25">
      <c r="C64" s="1361"/>
      <c r="D64" s="1363" t="s">
        <v>95</v>
      </c>
    </row>
    <row r="65" spans="3:4" ht="33.6" customHeight="1" x14ac:dyDescent="0.25">
      <c r="C65" s="1361"/>
      <c r="D65" s="857" t="s">
        <v>3890</v>
      </c>
    </row>
    <row r="66" spans="3:4" x14ac:dyDescent="0.25">
      <c r="C66" s="1361"/>
      <c r="D66" s="855"/>
    </row>
    <row r="67" spans="3:4" x14ac:dyDescent="0.25">
      <c r="C67" s="1361"/>
      <c r="D67" s="1363" t="s">
        <v>96</v>
      </c>
    </row>
    <row r="68" spans="3:4" ht="43.9" customHeight="1" x14ac:dyDescent="0.25">
      <c r="C68" s="1361"/>
      <c r="D68" s="857" t="s">
        <v>3615</v>
      </c>
    </row>
    <row r="69" spans="3:4" hidden="1" x14ac:dyDescent="0.25">
      <c r="C69" s="1364"/>
      <c r="D69" s="1365" t="s">
        <v>714</v>
      </c>
    </row>
    <row r="70" spans="3:4" ht="297" hidden="1" customHeight="1" x14ac:dyDescent="0.25">
      <c r="C70" s="1364"/>
      <c r="D70" s="857" t="s">
        <v>726</v>
      </c>
    </row>
    <row r="71" spans="3:4" ht="16.5" hidden="1" customHeight="1" x14ac:dyDescent="0.25">
      <c r="C71" s="2742" t="s">
        <v>1803</v>
      </c>
      <c r="D71" s="2742"/>
    </row>
    <row r="72" spans="3:4" hidden="1" x14ac:dyDescent="0.25">
      <c r="C72" s="854" t="str">
        <f>+Company_Name</f>
        <v>Sample Company</v>
      </c>
      <c r="D72" s="855"/>
    </row>
    <row r="73" spans="3:4" hidden="1" x14ac:dyDescent="0.25">
      <c r="C73" s="854" t="s">
        <v>90</v>
      </c>
      <c r="D73" s="855"/>
    </row>
    <row r="74" spans="3:4" hidden="1" x14ac:dyDescent="0.25">
      <c r="C74" s="854"/>
      <c r="D74" s="855"/>
    </row>
    <row r="75" spans="3:4" hidden="1" x14ac:dyDescent="0.25">
      <c r="C75" s="854" t="s">
        <v>533</v>
      </c>
      <c r="D75" s="855"/>
    </row>
    <row r="76" spans="3:4" hidden="1" x14ac:dyDescent="0.25">
      <c r="D76" s="855"/>
    </row>
    <row r="77" spans="3:4" hidden="1" x14ac:dyDescent="0.25">
      <c r="C77" s="167" t="s">
        <v>203</v>
      </c>
      <c r="D77" s="1359" t="s">
        <v>20</v>
      </c>
    </row>
    <row r="78" spans="3:4" hidden="1" x14ac:dyDescent="0.25">
      <c r="D78" s="855"/>
    </row>
    <row r="79" spans="3:4" x14ac:dyDescent="0.25">
      <c r="D79" s="855"/>
    </row>
    <row r="80" spans="3:4" ht="49.5" x14ac:dyDescent="0.25">
      <c r="D80" s="855" t="s">
        <v>3844</v>
      </c>
    </row>
    <row r="81" spans="3:4" x14ac:dyDescent="0.25">
      <c r="D81" s="855"/>
    </row>
    <row r="82" spans="3:4" x14ac:dyDescent="0.25">
      <c r="D82" s="855"/>
    </row>
    <row r="83" spans="3:4" s="101" customFormat="1" ht="15" x14ac:dyDescent="0.25">
      <c r="C83" s="1362">
        <f>C62+0.1</f>
        <v>2.8000000000000007</v>
      </c>
      <c r="D83" s="856" t="s">
        <v>23</v>
      </c>
    </row>
    <row r="84" spans="3:4" s="101" customFormat="1" ht="15" x14ac:dyDescent="0.25">
      <c r="C84" s="1361"/>
      <c r="D84" s="856"/>
    </row>
    <row r="85" spans="3:4" x14ac:dyDescent="0.25">
      <c r="C85" s="1361"/>
      <c r="D85" s="857" t="s">
        <v>3891</v>
      </c>
    </row>
    <row r="86" spans="3:4" x14ac:dyDescent="0.25">
      <c r="C86" s="1361"/>
      <c r="D86" s="857"/>
    </row>
    <row r="87" spans="3:4" x14ac:dyDescent="0.25">
      <c r="C87" s="1362">
        <f>C83+0.1</f>
        <v>2.9000000000000008</v>
      </c>
      <c r="D87" s="856" t="s">
        <v>3189</v>
      </c>
    </row>
    <row r="88" spans="3:4" x14ac:dyDescent="0.25">
      <c r="C88" s="1361"/>
      <c r="D88" s="856"/>
    </row>
    <row r="89" spans="3:4" ht="237.6" hidden="1" customHeight="1" x14ac:dyDescent="0.25">
      <c r="C89" s="1361"/>
      <c r="D89" s="857" t="s">
        <v>1804</v>
      </c>
    </row>
    <row r="90" spans="3:4" hidden="1" x14ac:dyDescent="0.25">
      <c r="C90" s="1361"/>
      <c r="D90" s="855"/>
    </row>
    <row r="91" spans="3:4" ht="68.25" hidden="1" customHeight="1" x14ac:dyDescent="0.25">
      <c r="C91" s="1361"/>
      <c r="D91" s="857" t="s">
        <v>588</v>
      </c>
    </row>
    <row r="92" spans="3:4" hidden="1" x14ac:dyDescent="0.25">
      <c r="C92" s="1361"/>
      <c r="D92" s="855"/>
    </row>
    <row r="93" spans="3:4" ht="133.5" hidden="1" customHeight="1" x14ac:dyDescent="0.25">
      <c r="C93" s="1361"/>
      <c r="D93" s="857" t="s">
        <v>1805</v>
      </c>
    </row>
    <row r="94" spans="3:4" hidden="1" x14ac:dyDescent="0.25">
      <c r="C94" s="1361"/>
      <c r="D94" s="855"/>
    </row>
    <row r="95" spans="3:4" ht="165" x14ac:dyDescent="0.25">
      <c r="C95" s="1361"/>
      <c r="D95" s="857" t="s">
        <v>3892</v>
      </c>
    </row>
    <row r="96" spans="3:4" x14ac:dyDescent="0.25">
      <c r="C96" s="1361"/>
      <c r="D96" s="855"/>
    </row>
    <row r="97" spans="3:4" ht="33" x14ac:dyDescent="0.25">
      <c r="C97" s="1361"/>
      <c r="D97" s="857" t="s">
        <v>3893</v>
      </c>
    </row>
    <row r="98" spans="3:4" hidden="1" x14ac:dyDescent="0.25">
      <c r="C98" s="1361"/>
      <c r="D98" s="855"/>
    </row>
    <row r="99" spans="3:4" hidden="1" x14ac:dyDescent="0.25">
      <c r="C99" s="850"/>
      <c r="D99" s="1363" t="s">
        <v>97</v>
      </c>
    </row>
    <row r="100" spans="3:4" ht="33" hidden="1" x14ac:dyDescent="0.25">
      <c r="C100" s="850"/>
      <c r="D100" s="857" t="s">
        <v>621</v>
      </c>
    </row>
    <row r="101" spans="3:4" hidden="1" x14ac:dyDescent="0.25">
      <c r="C101" s="850"/>
      <c r="D101" s="857"/>
    </row>
    <row r="102" spans="3:4" hidden="1" x14ac:dyDescent="0.25">
      <c r="C102" s="854" t="str">
        <f>+Company_Name</f>
        <v>Sample Company</v>
      </c>
      <c r="D102" s="855"/>
    </row>
    <row r="103" spans="3:4" hidden="1" x14ac:dyDescent="0.25">
      <c r="C103" s="854" t="s">
        <v>90</v>
      </c>
      <c r="D103" s="855"/>
    </row>
    <row r="104" spans="3:4" hidden="1" x14ac:dyDescent="0.25">
      <c r="C104" s="854"/>
      <c r="D104" s="855"/>
    </row>
    <row r="105" spans="3:4" hidden="1" x14ac:dyDescent="0.25">
      <c r="C105" s="854" t="s">
        <v>533</v>
      </c>
      <c r="D105" s="855"/>
    </row>
    <row r="106" spans="3:4" hidden="1" x14ac:dyDescent="0.25">
      <c r="D106" s="855"/>
    </row>
    <row r="107" spans="3:4" hidden="1" x14ac:dyDescent="0.25">
      <c r="C107" s="167" t="s">
        <v>203</v>
      </c>
      <c r="D107" s="1359" t="s">
        <v>20</v>
      </c>
    </row>
    <row r="108" spans="3:4" hidden="1" x14ac:dyDescent="0.25">
      <c r="D108" s="855"/>
    </row>
    <row r="109" spans="3:4" hidden="1" x14ac:dyDescent="0.25">
      <c r="C109" s="850"/>
      <c r="D109" s="1365" t="s">
        <v>606</v>
      </c>
    </row>
    <row r="110" spans="3:4" ht="33" hidden="1" x14ac:dyDescent="0.25">
      <c r="C110" s="850"/>
      <c r="D110" s="857" t="s">
        <v>607</v>
      </c>
    </row>
    <row r="111" spans="3:4" x14ac:dyDescent="0.25">
      <c r="C111" s="850"/>
      <c r="D111" s="857"/>
    </row>
    <row r="112" spans="3:4" x14ac:dyDescent="0.25">
      <c r="C112" s="1366">
        <v>2.1</v>
      </c>
      <c r="D112" s="856" t="s">
        <v>99</v>
      </c>
    </row>
    <row r="113" spans="3:4" x14ac:dyDescent="0.25">
      <c r="C113" s="1366"/>
      <c r="D113" s="856"/>
    </row>
    <row r="114" spans="3:4" ht="247.5" x14ac:dyDescent="0.25">
      <c r="C114" s="1366"/>
      <c r="D114" s="855" t="s">
        <v>3894</v>
      </c>
    </row>
    <row r="115" spans="3:4" x14ac:dyDescent="0.25">
      <c r="C115" s="1366">
        <v>2.11</v>
      </c>
      <c r="D115" s="856" t="s">
        <v>101</v>
      </c>
    </row>
    <row r="116" spans="3:4" x14ac:dyDescent="0.25">
      <c r="C116" s="1361"/>
      <c r="D116" s="856"/>
    </row>
    <row r="117" spans="3:4" x14ac:dyDescent="0.25">
      <c r="C117" s="1361"/>
      <c r="D117" s="857" t="s">
        <v>3895</v>
      </c>
    </row>
    <row r="118" spans="3:4" x14ac:dyDescent="0.25">
      <c r="C118" s="1361"/>
      <c r="D118" s="857"/>
    </row>
    <row r="119" spans="3:4" x14ac:dyDescent="0.25">
      <c r="C119" s="1361"/>
      <c r="D119" s="857" t="s">
        <v>3208</v>
      </c>
    </row>
    <row r="120" spans="3:4" x14ac:dyDescent="0.25">
      <c r="C120" s="1361"/>
      <c r="D120" s="857"/>
    </row>
    <row r="121" spans="3:4" x14ac:dyDescent="0.25">
      <c r="C121" s="1361"/>
      <c r="D121" s="2299" t="s">
        <v>102</v>
      </c>
    </row>
    <row r="122" spans="3:4" ht="33" x14ac:dyDescent="0.25">
      <c r="C122" s="1361"/>
      <c r="D122" s="857" t="s">
        <v>3896</v>
      </c>
    </row>
    <row r="123" spans="3:4" x14ac:dyDescent="0.25">
      <c r="C123" s="1361"/>
      <c r="D123" s="857"/>
    </row>
    <row r="124" spans="3:4" x14ac:dyDescent="0.25">
      <c r="C124" s="1361"/>
      <c r="D124" s="2299" t="s">
        <v>103</v>
      </c>
    </row>
    <row r="125" spans="3:4" ht="115.5" x14ac:dyDescent="0.25">
      <c r="C125" s="1361"/>
      <c r="D125" s="857" t="s">
        <v>683</v>
      </c>
    </row>
    <row r="126" spans="3:4" ht="132" hidden="1" x14ac:dyDescent="0.25">
      <c r="C126" s="854" t="str">
        <f>+Company_Name</f>
        <v>Sample Company</v>
      </c>
      <c r="D126" s="855" t="s">
        <v>622</v>
      </c>
    </row>
    <row r="127" spans="3:4" hidden="1" x14ac:dyDescent="0.25">
      <c r="C127" s="854" t="s">
        <v>90</v>
      </c>
      <c r="D127" s="855"/>
    </row>
    <row r="128" spans="3:4" hidden="1" x14ac:dyDescent="0.25">
      <c r="C128" s="854"/>
      <c r="D128" s="855" t="s">
        <v>467</v>
      </c>
    </row>
    <row r="129" spans="3:4" ht="66" hidden="1" x14ac:dyDescent="0.25">
      <c r="C129" s="854" t="s">
        <v>533</v>
      </c>
      <c r="D129" s="855" t="s">
        <v>684</v>
      </c>
    </row>
    <row r="130" spans="3:4" hidden="1" x14ac:dyDescent="0.25">
      <c r="D130" s="855"/>
    </row>
    <row r="131" spans="3:4" hidden="1" x14ac:dyDescent="0.25">
      <c r="C131" s="167" t="s">
        <v>203</v>
      </c>
      <c r="D131" s="1359" t="s">
        <v>20</v>
      </c>
    </row>
    <row r="132" spans="3:4" hidden="1" x14ac:dyDescent="0.25">
      <c r="D132" s="855"/>
    </row>
    <row r="133" spans="3:4" hidden="1" x14ac:dyDescent="0.25">
      <c r="C133" s="850"/>
      <c r="D133" s="1363" t="s">
        <v>102</v>
      </c>
    </row>
    <row r="134" spans="3:4" ht="43.9" hidden="1" customHeight="1" x14ac:dyDescent="0.25">
      <c r="C134" s="850"/>
      <c r="D134" s="857" t="s">
        <v>706</v>
      </c>
    </row>
    <row r="135" spans="3:4" hidden="1" x14ac:dyDescent="0.25">
      <c r="C135" s="850"/>
      <c r="D135" s="855"/>
    </row>
    <row r="136" spans="3:4" hidden="1" x14ac:dyDescent="0.25">
      <c r="C136" s="850"/>
      <c r="D136" s="1363" t="s">
        <v>103</v>
      </c>
    </row>
    <row r="137" spans="3:4" ht="137.44999999999999" hidden="1" customHeight="1" x14ac:dyDescent="0.25">
      <c r="C137" s="850"/>
      <c r="D137" s="857" t="s">
        <v>683</v>
      </c>
    </row>
    <row r="138" spans="3:4" hidden="1" x14ac:dyDescent="0.25">
      <c r="C138" s="850"/>
      <c r="D138" s="1363" t="s">
        <v>104</v>
      </c>
    </row>
    <row r="139" spans="3:4" ht="130.5" hidden="1" customHeight="1" x14ac:dyDescent="0.25">
      <c r="C139" s="850"/>
      <c r="D139" s="857" t="s">
        <v>622</v>
      </c>
    </row>
    <row r="140" spans="3:4" hidden="1" x14ac:dyDescent="0.25">
      <c r="C140" s="850"/>
      <c r="D140" s="1363" t="s">
        <v>467</v>
      </c>
    </row>
    <row r="141" spans="3:4" ht="69" hidden="1" customHeight="1" x14ac:dyDescent="0.25">
      <c r="C141" s="850"/>
      <c r="D141" s="857" t="s">
        <v>684</v>
      </c>
    </row>
    <row r="142" spans="3:4" ht="117.75" hidden="1" customHeight="1" x14ac:dyDescent="0.25">
      <c r="C142" s="850"/>
      <c r="D142" s="857" t="s">
        <v>1807</v>
      </c>
    </row>
    <row r="143" spans="3:4" hidden="1" x14ac:dyDescent="0.25">
      <c r="C143" s="854" t="str">
        <f>+Company_Name</f>
        <v>Sample Company</v>
      </c>
      <c r="D143" s="855"/>
    </row>
    <row r="144" spans="3:4" hidden="1" x14ac:dyDescent="0.25">
      <c r="C144" s="854" t="s">
        <v>90</v>
      </c>
      <c r="D144" s="855"/>
    </row>
    <row r="145" spans="3:4" hidden="1" x14ac:dyDescent="0.25">
      <c r="C145" s="854"/>
      <c r="D145" s="855"/>
    </row>
    <row r="146" spans="3:4" hidden="1" x14ac:dyDescent="0.25">
      <c r="C146" s="854" t="s">
        <v>533</v>
      </c>
      <c r="D146" s="855"/>
    </row>
    <row r="147" spans="3:4" hidden="1" x14ac:dyDescent="0.25">
      <c r="D147" s="855"/>
    </row>
    <row r="148" spans="3:4" hidden="1" x14ac:dyDescent="0.25">
      <c r="C148" s="167" t="s">
        <v>203</v>
      </c>
      <c r="D148" s="1359" t="s">
        <v>20</v>
      </c>
    </row>
    <row r="149" spans="3:4" hidden="1" x14ac:dyDescent="0.25">
      <c r="D149" s="855"/>
    </row>
    <row r="150" spans="3:4" hidden="1" x14ac:dyDescent="0.25">
      <c r="C150" s="1366">
        <f>C115+0.01</f>
        <v>2.1199999999999997</v>
      </c>
      <c r="D150" s="856" t="s">
        <v>105</v>
      </c>
    </row>
    <row r="151" spans="3:4" hidden="1" x14ac:dyDescent="0.25">
      <c r="C151" s="850"/>
      <c r="D151" s="856"/>
    </row>
    <row r="152" spans="3:4" ht="94.9" hidden="1" customHeight="1" x14ac:dyDescent="0.25">
      <c r="C152" s="850"/>
      <c r="D152" s="857" t="s">
        <v>457</v>
      </c>
    </row>
    <row r="153" spans="3:4" ht="51.75" hidden="1" customHeight="1" x14ac:dyDescent="0.25">
      <c r="C153" s="850"/>
      <c r="D153" s="857" t="s">
        <v>604</v>
      </c>
    </row>
    <row r="154" spans="3:4" hidden="1" x14ac:dyDescent="0.25">
      <c r="C154" s="850"/>
      <c r="D154" s="855"/>
    </row>
    <row r="155" spans="3:4" x14ac:dyDescent="0.25">
      <c r="C155" s="850"/>
      <c r="D155" s="855"/>
    </row>
    <row r="156" spans="3:4" hidden="1" x14ac:dyDescent="0.25">
      <c r="C156" s="850"/>
      <c r="D156" s="855"/>
    </row>
    <row r="157" spans="3:4" hidden="1" x14ac:dyDescent="0.25">
      <c r="C157" s="850"/>
      <c r="D157" s="2301" t="s">
        <v>467</v>
      </c>
    </row>
    <row r="158" spans="3:4" ht="66" hidden="1" x14ac:dyDescent="0.25">
      <c r="C158" s="850"/>
      <c r="D158" s="2300" t="s">
        <v>684</v>
      </c>
    </row>
    <row r="159" spans="3:4" hidden="1" x14ac:dyDescent="0.25">
      <c r="C159" s="850"/>
      <c r="D159" s="855"/>
    </row>
    <row r="160" spans="3:4" x14ac:dyDescent="0.25">
      <c r="C160" s="850"/>
      <c r="D160" s="855"/>
    </row>
    <row r="161" spans="3:4" x14ac:dyDescent="0.25">
      <c r="C161" s="1366">
        <f>C150+0.01</f>
        <v>2.1299999999999994</v>
      </c>
      <c r="D161" s="856" t="s">
        <v>106</v>
      </c>
    </row>
    <row r="162" spans="3:4" x14ac:dyDescent="0.25">
      <c r="C162" s="850"/>
      <c r="D162" s="856"/>
    </row>
    <row r="163" spans="3:4" ht="95.45" customHeight="1" x14ac:dyDescent="0.25">
      <c r="C163" s="850"/>
      <c r="D163" s="857" t="s">
        <v>707</v>
      </c>
    </row>
    <row r="164" spans="3:4" ht="33" x14ac:dyDescent="0.25">
      <c r="C164" s="850"/>
      <c r="D164" s="857" t="s">
        <v>3212</v>
      </c>
    </row>
    <row r="165" spans="3:4" ht="84" hidden="1" customHeight="1" x14ac:dyDescent="0.25">
      <c r="C165" s="850"/>
      <c r="D165" s="857" t="s">
        <v>1806</v>
      </c>
    </row>
    <row r="166" spans="3:4" hidden="1" x14ac:dyDescent="0.25">
      <c r="C166" s="850"/>
      <c r="D166" s="857"/>
    </row>
    <row r="167" spans="3:4" hidden="1" x14ac:dyDescent="0.25">
      <c r="C167" s="1366">
        <f>C161+0.01</f>
        <v>2.1399999999999992</v>
      </c>
      <c r="D167" s="856" t="s">
        <v>107</v>
      </c>
    </row>
    <row r="168" spans="3:4" hidden="1" x14ac:dyDescent="0.25">
      <c r="C168" s="1367"/>
      <c r="D168" s="856"/>
    </row>
    <row r="169" spans="3:4" ht="66" hidden="1" x14ac:dyDescent="0.25">
      <c r="C169" s="850"/>
      <c r="D169" s="855" t="s">
        <v>641</v>
      </c>
    </row>
    <row r="170" spans="3:4" ht="138.6" hidden="1" customHeight="1" x14ac:dyDescent="0.25">
      <c r="C170" s="850"/>
      <c r="D170" s="857" t="s">
        <v>534</v>
      </c>
    </row>
    <row r="171" spans="3:4" ht="33" hidden="1" x14ac:dyDescent="0.25">
      <c r="C171" s="850"/>
      <c r="D171" s="857" t="s">
        <v>704</v>
      </c>
    </row>
    <row r="172" spans="3:4" hidden="1" x14ac:dyDescent="0.25">
      <c r="C172" s="854" t="str">
        <f>+Company_Name</f>
        <v>Sample Company</v>
      </c>
      <c r="D172" s="855"/>
    </row>
    <row r="173" spans="3:4" hidden="1" x14ac:dyDescent="0.25">
      <c r="C173" s="854" t="s">
        <v>90</v>
      </c>
      <c r="D173" s="855"/>
    </row>
    <row r="174" spans="3:4" hidden="1" x14ac:dyDescent="0.25">
      <c r="C174" s="854"/>
      <c r="D174" s="855"/>
    </row>
    <row r="175" spans="3:4" hidden="1" x14ac:dyDescent="0.25">
      <c r="C175" s="854" t="s">
        <v>533</v>
      </c>
      <c r="D175" s="855"/>
    </row>
    <row r="176" spans="3:4" hidden="1" x14ac:dyDescent="0.25">
      <c r="D176" s="855"/>
    </row>
    <row r="177" spans="3:4" hidden="1" x14ac:dyDescent="0.25">
      <c r="C177" s="167" t="s">
        <v>203</v>
      </c>
      <c r="D177" s="1359" t="s">
        <v>20</v>
      </c>
    </row>
    <row r="178" spans="3:4" hidden="1" x14ac:dyDescent="0.25">
      <c r="D178" s="855"/>
    </row>
    <row r="179" spans="3:4" hidden="1" x14ac:dyDescent="0.25">
      <c r="C179" s="1366">
        <v>2.12</v>
      </c>
      <c r="D179" s="856" t="s">
        <v>108</v>
      </c>
    </row>
    <row r="180" spans="3:4" hidden="1" x14ac:dyDescent="0.25">
      <c r="C180" s="1361"/>
      <c r="D180" s="856"/>
    </row>
    <row r="181" spans="3:4" ht="187.15" hidden="1" customHeight="1" x14ac:dyDescent="0.25">
      <c r="C181" s="1361"/>
      <c r="D181" s="857" t="s">
        <v>3209</v>
      </c>
    </row>
    <row r="182" spans="3:4" x14ac:dyDescent="0.25">
      <c r="C182" s="1361"/>
      <c r="D182" s="857"/>
    </row>
    <row r="183" spans="3:4" s="101" customFormat="1" ht="15" x14ac:dyDescent="0.25">
      <c r="C183" s="1366">
        <v>2.14</v>
      </c>
      <c r="D183" s="856" t="s">
        <v>109</v>
      </c>
    </row>
    <row r="184" spans="3:4" s="101" customFormat="1" ht="15" x14ac:dyDescent="0.25">
      <c r="C184" s="1361"/>
      <c r="D184" s="856"/>
    </row>
    <row r="185" spans="3:4" ht="33" x14ac:dyDescent="0.25">
      <c r="C185" s="1361"/>
      <c r="D185" s="857" t="s">
        <v>3199</v>
      </c>
    </row>
    <row r="186" spans="3:4" x14ac:dyDescent="0.25">
      <c r="C186" s="1361"/>
      <c r="D186" s="857"/>
    </row>
    <row r="187" spans="3:4" x14ac:dyDescent="0.25">
      <c r="C187" s="1361"/>
      <c r="D187" s="857"/>
    </row>
    <row r="188" spans="3:4" x14ac:dyDescent="0.25">
      <c r="C188" s="1368">
        <v>2.15</v>
      </c>
      <c r="D188" s="856" t="s">
        <v>110</v>
      </c>
    </row>
    <row r="189" spans="3:4" s="101" customFormat="1" ht="15" x14ac:dyDescent="0.25">
      <c r="C189" s="1368"/>
      <c r="D189" s="856"/>
    </row>
    <row r="190" spans="3:4" ht="49.5" x14ac:dyDescent="0.25">
      <c r="C190" s="1361"/>
      <c r="D190" s="857" t="s">
        <v>3897</v>
      </c>
    </row>
    <row r="191" spans="3:4" hidden="1" x14ac:dyDescent="0.25">
      <c r="C191" s="854" t="str">
        <f>+Company_Name</f>
        <v>Sample Company</v>
      </c>
      <c r="D191" s="855"/>
    </row>
    <row r="192" spans="3:4" hidden="1" x14ac:dyDescent="0.25">
      <c r="C192" s="854" t="s">
        <v>90</v>
      </c>
      <c r="D192" s="18"/>
    </row>
    <row r="193" spans="3:4" hidden="1" x14ac:dyDescent="0.25">
      <c r="C193" s="854"/>
      <c r="D193" s="855"/>
    </row>
    <row r="194" spans="3:4" hidden="1" x14ac:dyDescent="0.25">
      <c r="C194" s="854" t="s">
        <v>533</v>
      </c>
      <c r="D194" s="855"/>
    </row>
    <row r="195" spans="3:4" hidden="1" x14ac:dyDescent="0.25">
      <c r="D195" s="855"/>
    </row>
    <row r="196" spans="3:4" hidden="1" x14ac:dyDescent="0.25">
      <c r="C196" s="167" t="s">
        <v>203</v>
      </c>
      <c r="D196" s="1359" t="s">
        <v>20</v>
      </c>
    </row>
    <row r="197" spans="3:4" hidden="1" x14ac:dyDescent="0.25">
      <c r="D197" s="855"/>
    </row>
    <row r="198" spans="3:4" x14ac:dyDescent="0.25">
      <c r="D198" s="855"/>
    </row>
    <row r="199" spans="3:4" ht="165" x14ac:dyDescent="0.25">
      <c r="C199" s="850"/>
      <c r="D199" s="857" t="s">
        <v>3211</v>
      </c>
    </row>
    <row r="200" spans="3:4" x14ac:dyDescent="0.25">
      <c r="C200" s="850"/>
      <c r="D200" s="857"/>
    </row>
    <row r="201" spans="3:4" ht="33" x14ac:dyDescent="0.25">
      <c r="C201" s="850"/>
      <c r="D201" s="855" t="s">
        <v>623</v>
      </c>
    </row>
    <row r="202" spans="3:4" hidden="1" x14ac:dyDescent="0.25">
      <c r="C202" s="850"/>
      <c r="D202" s="855"/>
    </row>
    <row r="203" spans="3:4" s="101" customFormat="1" ht="15" hidden="1" x14ac:dyDescent="0.25">
      <c r="C203" s="1366">
        <v>2.2000000000000002</v>
      </c>
      <c r="D203" s="856" t="s">
        <v>111</v>
      </c>
    </row>
    <row r="204" spans="3:4" s="101" customFormat="1" ht="15" hidden="1" x14ac:dyDescent="0.25">
      <c r="C204" s="1361"/>
      <c r="D204" s="856"/>
    </row>
    <row r="205" spans="3:4" ht="89.25" hidden="1" customHeight="1" x14ac:dyDescent="0.25">
      <c r="C205" s="1361"/>
      <c r="D205" s="857" t="s">
        <v>642</v>
      </c>
    </row>
    <row r="206" spans="3:4" hidden="1" x14ac:dyDescent="0.25">
      <c r="C206" s="1361"/>
      <c r="D206" s="855"/>
    </row>
    <row r="207" spans="3:4" s="101" customFormat="1" ht="15" hidden="1" x14ac:dyDescent="0.25">
      <c r="C207" s="1366">
        <f>C203+0.01</f>
        <v>2.21</v>
      </c>
      <c r="D207" s="856" t="s">
        <v>602</v>
      </c>
    </row>
    <row r="208" spans="3:4" s="101" customFormat="1" ht="15" hidden="1" x14ac:dyDescent="0.25">
      <c r="C208" s="1361"/>
      <c r="D208" s="856"/>
    </row>
    <row r="209" spans="3:4" ht="59.45" hidden="1" customHeight="1" x14ac:dyDescent="0.25">
      <c r="C209" s="1361"/>
      <c r="D209" s="857" t="s">
        <v>624</v>
      </c>
    </row>
    <row r="210" spans="3:4" x14ac:dyDescent="0.25">
      <c r="C210" s="1361"/>
      <c r="D210" s="855"/>
    </row>
    <row r="211" spans="3:4" s="101" customFormat="1" ht="15" x14ac:dyDescent="0.25">
      <c r="C211" s="1366">
        <v>2.16</v>
      </c>
      <c r="D211" s="856" t="s">
        <v>112</v>
      </c>
    </row>
    <row r="212" spans="3:4" s="101" customFormat="1" ht="15" x14ac:dyDescent="0.25">
      <c r="C212" s="1361"/>
      <c r="D212" s="1829"/>
    </row>
    <row r="213" spans="3:4" ht="226.9" customHeight="1" x14ac:dyDescent="0.25">
      <c r="C213" s="1361"/>
      <c r="D213" s="1830" t="s">
        <v>718</v>
      </c>
    </row>
    <row r="214" spans="3:4" ht="28.15" customHeight="1" x14ac:dyDescent="0.25">
      <c r="C214" s="1361"/>
      <c r="D214" s="1830" t="s">
        <v>3213</v>
      </c>
    </row>
    <row r="215" spans="3:4" hidden="1" x14ac:dyDescent="0.25">
      <c r="C215" s="1361"/>
      <c r="D215" s="855"/>
    </row>
    <row r="216" spans="3:4" hidden="1" x14ac:dyDescent="0.25">
      <c r="C216" s="854" t="str">
        <f>+Company_Name</f>
        <v>Sample Company</v>
      </c>
      <c r="D216" s="855"/>
    </row>
    <row r="217" spans="3:4" hidden="1" x14ac:dyDescent="0.25">
      <c r="C217" s="854" t="s">
        <v>90</v>
      </c>
      <c r="D217" s="18"/>
    </row>
    <row r="218" spans="3:4" hidden="1" x14ac:dyDescent="0.25">
      <c r="C218" s="854"/>
      <c r="D218" s="855"/>
    </row>
    <row r="219" spans="3:4" hidden="1" x14ac:dyDescent="0.25">
      <c r="C219" s="854" t="s">
        <v>533</v>
      </c>
      <c r="D219" s="855"/>
    </row>
    <row r="220" spans="3:4" hidden="1" x14ac:dyDescent="0.25">
      <c r="D220" s="855"/>
    </row>
    <row r="221" spans="3:4" hidden="1" x14ac:dyDescent="0.25">
      <c r="C221" s="167" t="s">
        <v>203</v>
      </c>
      <c r="D221" s="1359" t="s">
        <v>20</v>
      </c>
    </row>
    <row r="222" spans="3:4" x14ac:dyDescent="0.25">
      <c r="D222" s="855"/>
    </row>
    <row r="223" spans="3:4" s="101" customFormat="1" ht="15" x14ac:dyDescent="0.25">
      <c r="C223" s="1366">
        <f>C211+0.01</f>
        <v>2.17</v>
      </c>
      <c r="D223" s="856" t="s">
        <v>513</v>
      </c>
    </row>
    <row r="224" spans="3:4" s="101" customFormat="1" ht="15" x14ac:dyDescent="0.25">
      <c r="C224" s="1361"/>
      <c r="D224" s="856"/>
    </row>
    <row r="225" spans="3:4" ht="92.25" customHeight="1" x14ac:dyDescent="0.25">
      <c r="C225" s="1361"/>
      <c r="D225" s="857" t="s">
        <v>685</v>
      </c>
    </row>
    <row r="226" spans="3:4" x14ac:dyDescent="0.25">
      <c r="C226" s="1361"/>
      <c r="D226" s="855"/>
    </row>
    <row r="227" spans="3:4" s="101" customFormat="1" ht="15" hidden="1" x14ac:dyDescent="0.25">
      <c r="C227" s="1366">
        <f>C223+0.01</f>
        <v>2.1799999999999997</v>
      </c>
      <c r="D227" s="856" t="s">
        <v>52</v>
      </c>
    </row>
    <row r="228" spans="3:4" s="101" customFormat="1" ht="15" hidden="1" x14ac:dyDescent="0.25">
      <c r="C228" s="1361"/>
      <c r="D228" s="856"/>
    </row>
    <row r="229" spans="3:4" ht="70.150000000000006" hidden="1" customHeight="1" x14ac:dyDescent="0.25">
      <c r="C229" s="1361"/>
      <c r="D229" s="857" t="s">
        <v>113</v>
      </c>
    </row>
    <row r="230" spans="3:4" ht="49.5" hidden="1" x14ac:dyDescent="0.25">
      <c r="C230" s="1361"/>
      <c r="D230" s="857" t="s">
        <v>549</v>
      </c>
    </row>
    <row r="231" spans="3:4" hidden="1" x14ac:dyDescent="0.25">
      <c r="C231" s="1361"/>
      <c r="D231" s="857"/>
    </row>
    <row r="232" spans="3:4" hidden="1" x14ac:dyDescent="0.25">
      <c r="C232" s="1366">
        <f>C227+0.01</f>
        <v>2.1899999999999995</v>
      </c>
      <c r="D232" s="1369" t="s">
        <v>114</v>
      </c>
    </row>
    <row r="233" spans="3:4" hidden="1" x14ac:dyDescent="0.25">
      <c r="C233" s="1361"/>
      <c r="D233" s="857"/>
    </row>
    <row r="234" spans="3:4" ht="198.6" hidden="1" customHeight="1" x14ac:dyDescent="0.25">
      <c r="C234" s="1361"/>
      <c r="D234" s="857" t="s">
        <v>1808</v>
      </c>
    </row>
    <row r="235" spans="3:4" hidden="1" x14ac:dyDescent="0.25">
      <c r="C235" s="1361"/>
      <c r="D235" s="855"/>
    </row>
    <row r="236" spans="3:4" hidden="1" x14ac:dyDescent="0.25">
      <c r="C236" s="854" t="str">
        <f>+Company_Name</f>
        <v>Sample Company</v>
      </c>
      <c r="D236" s="855"/>
    </row>
    <row r="237" spans="3:4" hidden="1" x14ac:dyDescent="0.25">
      <c r="C237" s="854" t="s">
        <v>90</v>
      </c>
      <c r="D237" s="18"/>
    </row>
    <row r="238" spans="3:4" hidden="1" x14ac:dyDescent="0.25">
      <c r="C238" s="854"/>
      <c r="D238" s="855"/>
    </row>
    <row r="239" spans="3:4" hidden="1" x14ac:dyDescent="0.25">
      <c r="C239" s="854" t="s">
        <v>533</v>
      </c>
      <c r="D239" s="855"/>
    </row>
    <row r="240" spans="3:4" hidden="1" x14ac:dyDescent="0.25">
      <c r="D240" s="855"/>
    </row>
    <row r="241" spans="3:4" hidden="1" x14ac:dyDescent="0.25">
      <c r="C241" s="167" t="s">
        <v>203</v>
      </c>
      <c r="D241" s="1359" t="s">
        <v>20</v>
      </c>
    </row>
    <row r="242" spans="3:4" hidden="1" x14ac:dyDescent="0.25">
      <c r="D242" s="855"/>
    </row>
    <row r="243" spans="3:4" hidden="1" x14ac:dyDescent="0.25">
      <c r="C243" s="1366">
        <f>C232+0.01</f>
        <v>2.1999999999999993</v>
      </c>
      <c r="D243" s="856" t="s">
        <v>115</v>
      </c>
    </row>
    <row r="244" spans="3:4" hidden="1" x14ac:dyDescent="0.25">
      <c r="C244" s="1361"/>
      <c r="D244" s="856"/>
    </row>
    <row r="245" spans="3:4" ht="159.75" hidden="1" customHeight="1" x14ac:dyDescent="0.25">
      <c r="C245" s="1361"/>
      <c r="D245" s="857" t="s">
        <v>625</v>
      </c>
    </row>
    <row r="246" spans="3:4" hidden="1" x14ac:dyDescent="0.25">
      <c r="C246" s="1361"/>
      <c r="D246" s="857"/>
    </row>
    <row r="247" spans="3:4" hidden="1" x14ac:dyDescent="0.25">
      <c r="C247" s="1366">
        <f>C243+0.01</f>
        <v>2.2099999999999991</v>
      </c>
      <c r="D247" s="856" t="s">
        <v>643</v>
      </c>
    </row>
    <row r="248" spans="3:4" hidden="1" x14ac:dyDescent="0.25">
      <c r="C248" s="1361"/>
      <c r="D248" s="856"/>
    </row>
    <row r="249" spans="3:4" ht="69.75" hidden="1" customHeight="1" x14ac:dyDescent="0.25">
      <c r="C249" s="1361"/>
      <c r="D249" s="857" t="s">
        <v>1809</v>
      </c>
    </row>
    <row r="250" spans="3:4" hidden="1" x14ac:dyDescent="0.25">
      <c r="C250" s="1361"/>
      <c r="D250" s="855"/>
    </row>
    <row r="251" spans="3:4" x14ac:dyDescent="0.25">
      <c r="C251" s="1366">
        <v>2.1800000000000002</v>
      </c>
      <c r="D251" s="856" t="s">
        <v>116</v>
      </c>
    </row>
    <row r="252" spans="3:4" x14ac:dyDescent="0.25">
      <c r="C252" s="1361"/>
      <c r="D252" s="855"/>
    </row>
    <row r="253" spans="3:4" ht="42.75" customHeight="1" x14ac:dyDescent="0.25">
      <c r="C253" s="1361"/>
      <c r="D253" s="857" t="s">
        <v>3214</v>
      </c>
    </row>
    <row r="254" spans="3:4" hidden="1" x14ac:dyDescent="0.25">
      <c r="C254" s="1361"/>
      <c r="D254" s="855"/>
    </row>
    <row r="255" spans="3:4" hidden="1" x14ac:dyDescent="0.25">
      <c r="C255" s="1368">
        <f>C251+0.01</f>
        <v>2.19</v>
      </c>
      <c r="D255" s="856" t="s">
        <v>117</v>
      </c>
    </row>
    <row r="256" spans="3:4" hidden="1" x14ac:dyDescent="0.25">
      <c r="C256" s="1361"/>
      <c r="D256" s="855"/>
    </row>
    <row r="257" spans="3:4" ht="33" hidden="1" x14ac:dyDescent="0.25">
      <c r="C257" s="1361"/>
      <c r="D257" s="857" t="s">
        <v>708</v>
      </c>
    </row>
    <row r="258" spans="3:4" x14ac:dyDescent="0.25">
      <c r="C258" s="1361"/>
      <c r="D258" s="857"/>
    </row>
    <row r="259" spans="3:4" x14ac:dyDescent="0.25">
      <c r="C259" s="1366">
        <v>2.19</v>
      </c>
      <c r="D259" s="1369" t="s">
        <v>615</v>
      </c>
    </row>
    <row r="260" spans="3:4" x14ac:dyDescent="0.25">
      <c r="C260" s="1367"/>
      <c r="D260" s="1369"/>
    </row>
    <row r="261" spans="3:4" ht="66" x14ac:dyDescent="0.25">
      <c r="C261" s="1367"/>
      <c r="D261" s="857" t="s">
        <v>3888</v>
      </c>
    </row>
    <row r="262" spans="3:4" ht="33" hidden="1" x14ac:dyDescent="0.25">
      <c r="C262" s="850"/>
      <c r="D262" s="857" t="s">
        <v>3200</v>
      </c>
    </row>
    <row r="263" spans="3:4" ht="99" hidden="1" x14ac:dyDescent="0.25">
      <c r="C263" s="850"/>
      <c r="D263" s="857" t="s">
        <v>695</v>
      </c>
    </row>
    <row r="264" spans="3:4" x14ac:dyDescent="0.25">
      <c r="C264" s="850"/>
      <c r="D264" s="855"/>
    </row>
    <row r="273" spans="4:4" x14ac:dyDescent="0.25">
      <c r="D273" s="147"/>
    </row>
    <row r="274" spans="4:4" x14ac:dyDescent="0.25">
      <c r="D274" s="147"/>
    </row>
    <row r="275" spans="4:4" x14ac:dyDescent="0.25">
      <c r="D275" s="147"/>
    </row>
    <row r="276" spans="4:4" x14ac:dyDescent="0.25">
      <c r="D276" s="147"/>
    </row>
    <row r="277" spans="4:4" x14ac:dyDescent="0.25">
      <c r="D277" s="147"/>
    </row>
    <row r="278" spans="4:4" x14ac:dyDescent="0.25">
      <c r="D278" s="147"/>
    </row>
  </sheetData>
  <mergeCells count="1">
    <mergeCell ref="C71:D71"/>
  </mergeCells>
  <pageMargins left="0.5" right="0.5" top="0.5" bottom="0.5" header="0.5" footer="0.5"/>
  <pageSetup scale="65" fitToHeight="0" orientation="portrait" r:id="rId1"/>
  <headerFooter alignWithMargins="0"/>
  <rowBreaks count="2" manualBreakCount="2">
    <brk id="81" min="1" max="3" man="1"/>
    <brk id="186" min="1" max="3"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Hideunhide">
    <pageSetUpPr fitToPage="1"/>
  </sheetPr>
  <dimension ref="C1:T709"/>
  <sheetViews>
    <sheetView showGridLines="0" view="pageBreakPreview" zoomScale="80" zoomScaleNormal="80" zoomScaleSheetLayoutView="80" workbookViewId="0">
      <pane ySplit="9" topLeftCell="A52" activePane="bottomLeft" state="frozen"/>
      <selection pane="bottomLeft"/>
    </sheetView>
  </sheetViews>
  <sheetFormatPr defaultColWidth="9.140625" defaultRowHeight="16.5" x14ac:dyDescent="0.3"/>
  <cols>
    <col min="1" max="2" width="3.7109375" style="41" customWidth="1"/>
    <col min="3" max="3" width="44.5703125" style="81" customWidth="1"/>
    <col min="4" max="4" width="25.28515625" style="81" customWidth="1"/>
    <col min="5" max="8" width="18.7109375" style="1209" customWidth="1"/>
    <col min="9" max="9" width="16.28515625" style="41" customWidth="1"/>
    <col min="10" max="10" width="3.7109375" style="41" customWidth="1"/>
    <col min="11" max="11" width="11.7109375" style="41" hidden="1" customWidth="1"/>
    <col min="12" max="12" width="27.85546875" style="41" hidden="1" customWidth="1"/>
    <col min="13" max="13" width="7" hidden="1" customWidth="1"/>
    <col min="14" max="14" width="105.5703125" style="1" bestFit="1" customWidth="1"/>
    <col min="15" max="15" width="255.7109375" style="1" bestFit="1" customWidth="1"/>
    <col min="16" max="16" width="88" style="1" bestFit="1" customWidth="1"/>
    <col min="17" max="17" width="18.85546875" style="1" customWidth="1"/>
    <col min="18" max="18" width="20.28515625" style="1" customWidth="1"/>
    <col min="19" max="19" width="15.140625" style="1" customWidth="1"/>
    <col min="20" max="20" width="9.140625" style="1"/>
    <col min="21" max="16384" width="9.140625" style="41"/>
  </cols>
  <sheetData>
    <row r="1" spans="3:13" x14ac:dyDescent="0.3">
      <c r="L1" s="42"/>
    </row>
    <row r="8" spans="3:13" x14ac:dyDescent="0.3">
      <c r="C8" s="17" t="str">
        <f>Company_Name</f>
        <v>Sample Company</v>
      </c>
      <c r="D8" s="17"/>
      <c r="E8" s="1522"/>
      <c r="F8" s="1522"/>
      <c r="G8" s="1522"/>
      <c r="H8" s="1522"/>
      <c r="I8" s="42"/>
      <c r="J8" s="42"/>
      <c r="K8" s="42"/>
      <c r="L8" s="42"/>
    </row>
    <row r="9" spans="3:13" ht="13.15" customHeight="1" x14ac:dyDescent="0.3">
      <c r="C9" s="483" t="s">
        <v>90</v>
      </c>
      <c r="I9" s="42"/>
      <c r="J9" s="42"/>
      <c r="K9" s="42"/>
      <c r="L9" s="17"/>
    </row>
    <row r="10" spans="3:13" x14ac:dyDescent="0.3">
      <c r="I10" s="42"/>
      <c r="J10" s="42"/>
      <c r="K10" s="42"/>
      <c r="L10" s="17"/>
    </row>
    <row r="11" spans="3:13" x14ac:dyDescent="0.3">
      <c r="C11" s="17" t="str">
        <f>+"Note "&amp;'Balance Sheet'!E17&amp;" : Share Capital"</f>
        <v>Note 3 : Share Capital</v>
      </c>
      <c r="D11" s="145"/>
      <c r="E11" s="1567"/>
      <c r="F11" s="841"/>
      <c r="G11" s="1510"/>
      <c r="H11" s="841"/>
      <c r="M11" s="1756" t="str">
        <f>$M$45</f>
        <v>Yes</v>
      </c>
    </row>
    <row r="12" spans="3:13" x14ac:dyDescent="0.3">
      <c r="F12" s="841"/>
      <c r="G12" s="841"/>
      <c r="H12" s="1510" t="str">
        <f>+'Notes To P&amp;L'!F345</f>
        <v>Amount in Rs '00.</v>
      </c>
      <c r="M12" s="1756" t="str">
        <f>$M$45</f>
        <v>Yes</v>
      </c>
    </row>
    <row r="13" spans="3:13" x14ac:dyDescent="0.3">
      <c r="C13" s="2820" t="s">
        <v>20</v>
      </c>
      <c r="D13" s="2821"/>
      <c r="E13" s="2818" t="str">
        <f>BSCY</f>
        <v>As At 31st March 2025</v>
      </c>
      <c r="F13" s="2819"/>
      <c r="G13" s="2818" t="str">
        <f>BSPY</f>
        <v>As At 31st March 2024</v>
      </c>
      <c r="H13" s="2819"/>
      <c r="I13" s="2815"/>
      <c r="M13" s="1756" t="str">
        <f>$M$45</f>
        <v>Yes</v>
      </c>
    </row>
    <row r="14" spans="3:13" ht="30" x14ac:dyDescent="0.3">
      <c r="C14" s="2822"/>
      <c r="D14" s="2823"/>
      <c r="E14" s="2405" t="s">
        <v>442</v>
      </c>
      <c r="F14" s="2406" t="s">
        <v>183</v>
      </c>
      <c r="G14" s="2405" t="s">
        <v>442</v>
      </c>
      <c r="H14" s="2406" t="str">
        <f>F14</f>
        <v>Amount</v>
      </c>
      <c r="I14" s="2815"/>
      <c r="M14" s="1756" t="str">
        <f>$M$45</f>
        <v>Yes</v>
      </c>
    </row>
    <row r="15" spans="3:13" x14ac:dyDescent="0.3">
      <c r="C15" s="2401" t="str">
        <f>IF(M15="No","(a) Authorised Share Capital","(a) Authorised Share Capital")</f>
        <v>(a) Authorised Share Capital</v>
      </c>
      <c r="D15" s="359"/>
      <c r="E15" s="831"/>
      <c r="F15" s="1213"/>
      <c r="G15" s="831"/>
      <c r="H15" s="1213"/>
      <c r="J15" s="42"/>
      <c r="K15" s="42"/>
      <c r="M15" s="1756" t="str">
        <f>IF(AND(M16="No",M17="No",M18="No",M19="No",M20="No"),"No","Yes")</f>
        <v>Yes</v>
      </c>
    </row>
    <row r="16" spans="3:13" x14ac:dyDescent="0.3">
      <c r="C16" s="448" t="str">
        <f>"Equity shares of "&amp;"₹"&amp;'Qualitative Disclosures'!F12&amp;" each with voting rights"</f>
        <v>Equity shares of ₹100 each with voting rights</v>
      </c>
      <c r="D16" s="360"/>
      <c r="E16" s="831">
        <f>'Qualitative Disclosures'!G12</f>
        <v>300000</v>
      </c>
      <c r="F16" s="831">
        <f>'Qualitative Disclosures'!H12</f>
        <v>300000</v>
      </c>
      <c r="G16" s="831">
        <f>'Qualitative Disclosures'!I12</f>
        <v>300000</v>
      </c>
      <c r="H16" s="831">
        <f>'Qualitative Disclosures'!J12</f>
        <v>300000</v>
      </c>
      <c r="M16" s="1756" t="str">
        <f>IF(AND(E16=0,F16=0,G16=0,H16=0),"No","Yes")</f>
        <v>Yes</v>
      </c>
    </row>
    <row r="17" spans="3:13" hidden="1" x14ac:dyDescent="0.3">
      <c r="C17" s="448" t="str">
        <f>"Equity shares of "&amp;"₹"&amp;'Qualitative Disclosures'!F13&amp;" each with differential voting rights"</f>
        <v>Equity shares of ₹ each with differential voting rights</v>
      </c>
      <c r="D17" s="360"/>
      <c r="E17" s="831">
        <f>'Qualitative Disclosures'!G13</f>
        <v>0</v>
      </c>
      <c r="F17" s="831">
        <f>'Qualitative Disclosures'!H13</f>
        <v>0</v>
      </c>
      <c r="G17" s="831">
        <f>'Qualitative Disclosures'!I13</f>
        <v>0</v>
      </c>
      <c r="H17" s="831">
        <f>'Qualitative Disclosures'!J13</f>
        <v>0</v>
      </c>
      <c r="M17" s="1756" t="str">
        <f>IF(AND(E17=0,F17=0,G17=0,H17=0),"No","Yes")</f>
        <v>No</v>
      </c>
    </row>
    <row r="18" spans="3:13" hidden="1" x14ac:dyDescent="0.3">
      <c r="C18" s="448" t="str">
        <f>"Compulsorily convertible preference shares "&amp;"₹"&amp;'Qualitative Disclosures'!F14&amp;" each"</f>
        <v>Compulsorily convertible preference shares ₹ each</v>
      </c>
      <c r="D18" s="360"/>
      <c r="E18" s="831">
        <f>'Qualitative Disclosures'!G14</f>
        <v>0</v>
      </c>
      <c r="F18" s="831">
        <f>'Qualitative Disclosures'!H14</f>
        <v>0</v>
      </c>
      <c r="G18" s="831">
        <f>'Qualitative Disclosures'!I14</f>
        <v>0</v>
      </c>
      <c r="H18" s="831">
        <f>'Qualitative Disclosures'!J14</f>
        <v>0</v>
      </c>
      <c r="M18" s="1756" t="str">
        <f>IF(AND(E18=0,F18=0,G18=0,H18=0),"No","Yes")</f>
        <v>No</v>
      </c>
    </row>
    <row r="19" spans="3:13" hidden="1" x14ac:dyDescent="0.3">
      <c r="C19" s="448" t="str">
        <f>"Optionally convertible preference shares "&amp;"₹"&amp;'Qualitative Disclosures'!F15&amp;" each"</f>
        <v>Optionally convertible preference shares ₹ each</v>
      </c>
      <c r="D19" s="360"/>
      <c r="E19" s="831">
        <f>'Qualitative Disclosures'!G15</f>
        <v>0</v>
      </c>
      <c r="F19" s="831">
        <f>'Qualitative Disclosures'!H15</f>
        <v>0</v>
      </c>
      <c r="G19" s="831">
        <f>'Qualitative Disclosures'!I15</f>
        <v>0</v>
      </c>
      <c r="H19" s="831">
        <f>'Qualitative Disclosures'!J15</f>
        <v>0</v>
      </c>
      <c r="M19" s="1756" t="str">
        <f>IF(AND(E19=0,F19=0,G19=0,H19=0),"No","Yes")</f>
        <v>No</v>
      </c>
    </row>
    <row r="20" spans="3:13" hidden="1" x14ac:dyDescent="0.3">
      <c r="C20" s="448" t="str">
        <f>"Redeemable preference shares "&amp;"₹"&amp;'Qualitative Disclosures'!F16&amp;" each"</f>
        <v>Redeemable preference shares ₹ each</v>
      </c>
      <c r="D20" s="360"/>
      <c r="E20" s="1953">
        <f>'Qualitative Disclosures'!G16</f>
        <v>0</v>
      </c>
      <c r="F20" s="1953">
        <f>'Qualitative Disclosures'!H16</f>
        <v>0</v>
      </c>
      <c r="G20" s="1953">
        <f>'Qualitative Disclosures'!I16</f>
        <v>0</v>
      </c>
      <c r="H20" s="1953">
        <f>'Qualitative Disclosures'!J16</f>
        <v>0</v>
      </c>
      <c r="M20" s="1756" t="str">
        <f>IF(AND(E20=0,F20=0,G20=0,H20=0),"No","Yes")</f>
        <v>No</v>
      </c>
    </row>
    <row r="21" spans="3:13" x14ac:dyDescent="0.3">
      <c r="C21" s="315"/>
      <c r="D21" s="360"/>
      <c r="E21" s="831"/>
      <c r="F21" s="1213"/>
      <c r="G21" s="831"/>
      <c r="H21" s="1213"/>
      <c r="M21" s="1756" t="str">
        <f>M15</f>
        <v>Yes</v>
      </c>
    </row>
    <row r="22" spans="3:13" x14ac:dyDescent="0.3">
      <c r="C22" s="1894" t="str">
        <f>IF(M15="Yes","("&amp; CHAR(CODE(MID(C15,2,3))+1)&amp;")  Issued Share Capital","(" &amp; MID(C15,2,3)&amp; "Issued Share Capital")</f>
        <v>(b)  Issued Share Capital</v>
      </c>
      <c r="D22" s="360"/>
      <c r="E22" s="831"/>
      <c r="F22" s="1213"/>
      <c r="G22" s="831"/>
      <c r="H22" s="1213"/>
      <c r="M22" s="1756" t="str">
        <f>IF(AND(M23="No",M24="No",M25="No",M26="No",M27="No"),"No","Yes")</f>
        <v>Yes</v>
      </c>
    </row>
    <row r="23" spans="3:13" x14ac:dyDescent="0.3">
      <c r="C23" s="448" t="str">
        <f>"Equity shares of "&amp;"₹"&amp;'Qualitative Disclosures'!F18&amp;" each with voting rights"</f>
        <v>Equity shares of ₹100 each with voting rights</v>
      </c>
      <c r="D23" s="360"/>
      <c r="E23" s="831">
        <f>'Qualitative Disclosures'!G18</f>
        <v>150000</v>
      </c>
      <c r="F23" s="831">
        <f>'Qualitative Disclosures'!H18</f>
        <v>150000</v>
      </c>
      <c r="G23" s="831">
        <f>'Qualitative Disclosures'!I18</f>
        <v>150000</v>
      </c>
      <c r="H23" s="831">
        <f>'Qualitative Disclosures'!J18</f>
        <v>150000</v>
      </c>
      <c r="M23" s="1756" t="str">
        <f>IF(AND(E23=0,F23=0,G23=0,H23=0),"No","Yes")</f>
        <v>Yes</v>
      </c>
    </row>
    <row r="24" spans="3:13" hidden="1" x14ac:dyDescent="0.3">
      <c r="C24" s="448" t="str">
        <f>"Equity shares of "&amp;"₹"&amp;'Qualitative Disclosures'!F19&amp;" each with differential voting rights"</f>
        <v>Equity shares of ₹ each with differential voting rights</v>
      </c>
      <c r="D24" s="360"/>
      <c r="E24" s="831">
        <f>'Qualitative Disclosures'!G19</f>
        <v>0</v>
      </c>
      <c r="F24" s="831">
        <f>'Qualitative Disclosures'!H19</f>
        <v>0</v>
      </c>
      <c r="G24" s="831">
        <f>'Qualitative Disclosures'!I19</f>
        <v>0</v>
      </c>
      <c r="H24" s="831">
        <f>'Qualitative Disclosures'!J19</f>
        <v>0</v>
      </c>
      <c r="M24" s="1756" t="str">
        <f>IF(AND(E24=0,F24=0,G24=0,H24=0),"No","Yes")</f>
        <v>No</v>
      </c>
    </row>
    <row r="25" spans="3:13" hidden="1" x14ac:dyDescent="0.3">
      <c r="C25" s="448" t="str">
        <f>"Compulsorily convertible preference shares "&amp;"₹"&amp;'Qualitative Disclosures'!F20&amp;" each"</f>
        <v>Compulsorily convertible preference shares ₹ each</v>
      </c>
      <c r="D25" s="360"/>
      <c r="E25" s="831">
        <f>'Qualitative Disclosures'!G20</f>
        <v>0</v>
      </c>
      <c r="F25" s="831">
        <f>'Qualitative Disclosures'!H20</f>
        <v>0</v>
      </c>
      <c r="G25" s="831">
        <f>'Qualitative Disclosures'!I20</f>
        <v>0</v>
      </c>
      <c r="H25" s="831">
        <f>'Qualitative Disclosures'!J20</f>
        <v>0</v>
      </c>
      <c r="M25" s="1756" t="str">
        <f>IF(AND(E25=0,F25=0,G25=0,H25=0),"No","Yes")</f>
        <v>No</v>
      </c>
    </row>
    <row r="26" spans="3:13" hidden="1" x14ac:dyDescent="0.3">
      <c r="C26" s="448" t="str">
        <f>"Optionally convertible preference shares "&amp;"₹"&amp;'Qualitative Disclosures'!F21&amp;" each"</f>
        <v>Optionally convertible preference shares ₹ each</v>
      </c>
      <c r="D26" s="360"/>
      <c r="E26" s="831">
        <f>'Qualitative Disclosures'!G21</f>
        <v>0</v>
      </c>
      <c r="F26" s="831">
        <f>'Qualitative Disclosures'!H21</f>
        <v>0</v>
      </c>
      <c r="G26" s="831">
        <f>'Qualitative Disclosures'!I21</f>
        <v>0</v>
      </c>
      <c r="H26" s="831">
        <f>'Qualitative Disclosures'!J21</f>
        <v>0</v>
      </c>
      <c r="M26" s="1756" t="str">
        <f>IF(AND(E26=0,F26=0,G26=0,H26=0),"No","Yes")</f>
        <v>No</v>
      </c>
    </row>
    <row r="27" spans="3:13" hidden="1" x14ac:dyDescent="0.3">
      <c r="C27" s="448" t="str">
        <f>"Redeemable preference shares "&amp;"₹"&amp;'Qualitative Disclosures'!F22&amp;" each"</f>
        <v>Redeemable preference shares ₹ each</v>
      </c>
      <c r="D27" s="360"/>
      <c r="E27" s="1953">
        <f>'Qualitative Disclosures'!G22</f>
        <v>0</v>
      </c>
      <c r="F27" s="1953">
        <f>'Qualitative Disclosures'!H22</f>
        <v>0</v>
      </c>
      <c r="G27" s="1953">
        <f>'Qualitative Disclosures'!I22</f>
        <v>0</v>
      </c>
      <c r="H27" s="1953">
        <f>'Qualitative Disclosures'!J22</f>
        <v>0</v>
      </c>
      <c r="M27" s="1756" t="str">
        <f>IF(AND(E27=0,F27=0,G27=0,H27=0),"No","Yes")</f>
        <v>No</v>
      </c>
    </row>
    <row r="28" spans="3:13" x14ac:dyDescent="0.3">
      <c r="C28" s="315"/>
      <c r="D28" s="360"/>
      <c r="E28" s="831"/>
      <c r="F28" s="1213"/>
      <c r="G28" s="831"/>
      <c r="H28" s="1213"/>
      <c r="M28" s="1756" t="str">
        <f>M22</f>
        <v>Yes</v>
      </c>
    </row>
    <row r="29" spans="3:13" x14ac:dyDescent="0.3">
      <c r="C29" s="1894" t="str">
        <f>IF(M22="Yes","("&amp; CHAR(CODE(MID(C22,2,3))+1)&amp;")  Subscribed and fully paid up","(" &amp; MID(C22,2,3)&amp; "Subscribed and fully paid up")</f>
        <v>(c)  Subscribed and fully paid up</v>
      </c>
      <c r="D29" s="360"/>
      <c r="E29" s="831"/>
      <c r="F29" s="1213"/>
      <c r="G29" s="831"/>
      <c r="H29" s="1213"/>
      <c r="M29" s="1756" t="str">
        <f>IF(AND(M30="No",M31="No",M32="No",M33="No",M34="No"),"No","Yes")</f>
        <v>Yes</v>
      </c>
    </row>
    <row r="30" spans="3:13" x14ac:dyDescent="0.3">
      <c r="C30" s="448" t="str">
        <f>C23</f>
        <v>Equity shares of ₹100 each with voting rights</v>
      </c>
      <c r="D30" s="360"/>
      <c r="E30" s="831">
        <f>'Qualitative Disclosures'!G24</f>
        <v>150000</v>
      </c>
      <c r="F30" s="831">
        <f>'Qualitative Disclosures'!H24</f>
        <v>150000</v>
      </c>
      <c r="G30" s="831">
        <f>'Qualitative Disclosures'!I24</f>
        <v>150000</v>
      </c>
      <c r="H30" s="831">
        <f>'Qualitative Disclosures'!J24</f>
        <v>150000</v>
      </c>
      <c r="M30" s="1756" t="str">
        <f>IF(AND(E30=0,F30=0,G30=0,H30=0),"No","Yes")</f>
        <v>Yes</v>
      </c>
    </row>
    <row r="31" spans="3:13" hidden="1" x14ac:dyDescent="0.3">
      <c r="C31" s="448" t="str">
        <f>C24</f>
        <v>Equity shares of ₹ each with differential voting rights</v>
      </c>
      <c r="D31" s="360"/>
      <c r="E31" s="831">
        <f>'Qualitative Disclosures'!G25</f>
        <v>0</v>
      </c>
      <c r="F31" s="831">
        <f>'Qualitative Disclosures'!H25</f>
        <v>0</v>
      </c>
      <c r="G31" s="831">
        <f>'Qualitative Disclosures'!I25</f>
        <v>0</v>
      </c>
      <c r="H31" s="831">
        <f>'Qualitative Disclosures'!J25</f>
        <v>0</v>
      </c>
      <c r="M31" s="1756" t="str">
        <f>IF(AND(E31=0,F31=0,G31=0,H31=0),"No","Yes")</f>
        <v>No</v>
      </c>
    </row>
    <row r="32" spans="3:13" hidden="1" x14ac:dyDescent="0.3">
      <c r="C32" s="448" t="str">
        <f>C25</f>
        <v>Compulsorily convertible preference shares ₹ each</v>
      </c>
      <c r="D32" s="360"/>
      <c r="E32" s="831">
        <f>'Qualitative Disclosures'!G26</f>
        <v>0</v>
      </c>
      <c r="F32" s="831">
        <f>'Qualitative Disclosures'!H26</f>
        <v>0</v>
      </c>
      <c r="G32" s="831">
        <f>'Qualitative Disclosures'!I26</f>
        <v>0</v>
      </c>
      <c r="H32" s="831">
        <f>'Qualitative Disclosures'!J26</f>
        <v>0</v>
      </c>
      <c r="M32" s="1756" t="str">
        <f>IF(AND(E32=0,F32=0,G32=0,H32=0),"No","Yes")</f>
        <v>No</v>
      </c>
    </row>
    <row r="33" spans="3:13" hidden="1" x14ac:dyDescent="0.3">
      <c r="C33" s="448" t="str">
        <f>C26</f>
        <v>Optionally convertible preference shares ₹ each</v>
      </c>
      <c r="D33" s="360"/>
      <c r="E33" s="831">
        <f>'Qualitative Disclosures'!G27</f>
        <v>0</v>
      </c>
      <c r="F33" s="831">
        <f>'Qualitative Disclosures'!H27</f>
        <v>0</v>
      </c>
      <c r="G33" s="831">
        <f>'Qualitative Disclosures'!I27</f>
        <v>0</v>
      </c>
      <c r="H33" s="831">
        <f>'Qualitative Disclosures'!J27</f>
        <v>0</v>
      </c>
      <c r="M33" s="1756" t="str">
        <f>IF(AND(E33=0,F33=0,G33=0,H33=0),"No","Yes")</f>
        <v>No</v>
      </c>
    </row>
    <row r="34" spans="3:13" hidden="1" x14ac:dyDescent="0.3">
      <c r="C34" s="448" t="str">
        <f>C27</f>
        <v>Redeemable preference shares ₹ each</v>
      </c>
      <c r="D34" s="360"/>
      <c r="E34" s="1953">
        <f>'Qualitative Disclosures'!G28</f>
        <v>0</v>
      </c>
      <c r="F34" s="1953">
        <f>'Qualitative Disclosures'!H28</f>
        <v>0</v>
      </c>
      <c r="G34" s="1953">
        <f>'Qualitative Disclosures'!I28</f>
        <v>0</v>
      </c>
      <c r="H34" s="1953">
        <f>'Qualitative Disclosures'!J28</f>
        <v>0</v>
      </c>
      <c r="M34" s="1756" t="str">
        <f>IF(AND(E34=0,F34=0,G34=0,H34=0),"No","Yes")</f>
        <v>No</v>
      </c>
    </row>
    <row r="35" spans="3:13" hidden="1" x14ac:dyDescent="0.3">
      <c r="C35" s="315"/>
      <c r="D35" s="360"/>
      <c r="E35" s="831"/>
      <c r="F35" s="1213"/>
      <c r="G35" s="831"/>
      <c r="H35" s="1213"/>
      <c r="M35" s="1756" t="str">
        <f>M29</f>
        <v>Yes</v>
      </c>
    </row>
    <row r="36" spans="3:13" hidden="1" x14ac:dyDescent="0.3">
      <c r="C36" s="445" t="str">
        <f>IF(M29="Yes","("&amp; CHAR(CODE(MID(C29,2,3))+1)&amp;")  Subscribed but not fully paid up","(" &amp; MID(C29,2,3)&amp; "Subscribed but not fully paid up")</f>
        <v>(d)  Subscribed but not fully paid up</v>
      </c>
      <c r="D36" s="493"/>
      <c r="E36" s="831"/>
      <c r="F36" s="1213"/>
      <c r="G36" s="831"/>
      <c r="H36" s="1213"/>
      <c r="M36" s="1756" t="str">
        <f>IF(AND(M37="No",M38="No",M39="No",M40="No",M41="No"),"No","Yes")</f>
        <v>No</v>
      </c>
    </row>
    <row r="37" spans="3:13" hidden="1" x14ac:dyDescent="0.3">
      <c r="C37" s="2824" t="str">
        <f>"Equity shares of "&amp;"₹"&amp;'Qualitative Disclosures'!F18&amp;" each with voting rights" &amp;",₹ "&amp;'Qualitative Disclosures'!F30&amp;" paid Up"</f>
        <v>Equity shares of ₹100 each with voting rights,₹ 0 paid Up</v>
      </c>
      <c r="D37" s="2825"/>
      <c r="E37" s="831">
        <f>'Qualitative Disclosures'!G30</f>
        <v>0</v>
      </c>
      <c r="F37" s="831">
        <f>'Qualitative Disclosures'!H30</f>
        <v>0</v>
      </c>
      <c r="G37" s="831">
        <f>'Qualitative Disclosures'!I30</f>
        <v>0</v>
      </c>
      <c r="H37" s="831">
        <f>'Qualitative Disclosures'!J30</f>
        <v>0</v>
      </c>
      <c r="J37" s="444"/>
      <c r="M37" s="1756" t="str">
        <f t="shared" ref="M37:M43" si="0">IF(AND(E37=0,F37=0,G37=0,H37=0),"No","Yes")</f>
        <v>No</v>
      </c>
    </row>
    <row r="38" spans="3:13" hidden="1" x14ac:dyDescent="0.3">
      <c r="C38" s="2824" t="str">
        <f>"Equity shares of "&amp;"₹"&amp;'Qualitative Disclosures'!F19&amp;" each with differential voting rights" &amp;",₹ "&amp;'Qualitative Disclosures'!F31&amp;" Not paid Up"</f>
        <v>Equity shares of ₹ each with differential voting rights,₹  Not paid Up</v>
      </c>
      <c r="D38" s="2825"/>
      <c r="E38" s="831">
        <f>'Qualitative Disclosures'!G31</f>
        <v>0</v>
      </c>
      <c r="F38" s="831">
        <f>'Qualitative Disclosures'!H31</f>
        <v>0</v>
      </c>
      <c r="G38" s="831">
        <f>'Qualitative Disclosures'!I31</f>
        <v>0</v>
      </c>
      <c r="H38" s="831">
        <f>'Qualitative Disclosures'!J31</f>
        <v>0</v>
      </c>
      <c r="J38" s="444"/>
      <c r="M38" s="1756" t="str">
        <f t="shared" si="0"/>
        <v>No</v>
      </c>
    </row>
    <row r="39" spans="3:13" hidden="1" x14ac:dyDescent="0.3">
      <c r="C39" s="2824" t="str">
        <f>"Compulsorily convertible preference shares "&amp;"₹"&amp;'Qualitative Disclosures'!F20&amp;" each " &amp;",₹ "&amp;'Qualitative Disclosures'!F32&amp;" Not paid Up"</f>
        <v>Compulsorily convertible preference shares ₹ each ,₹  Not paid Up</v>
      </c>
      <c r="D39" s="2825"/>
      <c r="E39" s="831">
        <f>'Qualitative Disclosures'!G32</f>
        <v>0</v>
      </c>
      <c r="F39" s="831">
        <f>'Qualitative Disclosures'!H32</f>
        <v>0</v>
      </c>
      <c r="G39" s="831">
        <f>'Qualitative Disclosures'!I32</f>
        <v>0</v>
      </c>
      <c r="H39" s="831">
        <f>'Qualitative Disclosures'!J32</f>
        <v>0</v>
      </c>
      <c r="M39" s="1756" t="str">
        <f t="shared" si="0"/>
        <v>No</v>
      </c>
    </row>
    <row r="40" spans="3:13" hidden="1" x14ac:dyDescent="0.3">
      <c r="C40" s="2824" t="str">
        <f>"Optionallyconvertible preference shares "&amp;"₹"&amp;'Qualitative Disclosures'!F21&amp;" each " &amp;",₹ "&amp;'Qualitative Disclosures'!F33&amp;" Not paid Up"</f>
        <v>Optionallyconvertible preference shares ₹ each ,₹  Not paid Up</v>
      </c>
      <c r="D40" s="2825"/>
      <c r="E40" s="831">
        <f>'Qualitative Disclosures'!G33</f>
        <v>0</v>
      </c>
      <c r="F40" s="831">
        <f>'Qualitative Disclosures'!H33</f>
        <v>0</v>
      </c>
      <c r="G40" s="831">
        <f>'Qualitative Disclosures'!I33</f>
        <v>0</v>
      </c>
      <c r="H40" s="831">
        <f>'Qualitative Disclosures'!J33</f>
        <v>0</v>
      </c>
      <c r="M40" s="1756" t="str">
        <f t="shared" si="0"/>
        <v>No</v>
      </c>
    </row>
    <row r="41" spans="3:13" hidden="1" x14ac:dyDescent="0.3">
      <c r="C41" s="2824" t="str">
        <f>"Redeemable preference shares "&amp;"₹"&amp;'Qualitative Disclosures'!F22&amp;" each " &amp;",₹ "&amp;'Qualitative Disclosures'!F34&amp;" Not paid Up"</f>
        <v>Redeemable preference shares ₹ each ,₹  Not paid Up</v>
      </c>
      <c r="D41" s="2825"/>
      <c r="E41" s="831">
        <f>'Qualitative Disclosures'!G34</f>
        <v>0</v>
      </c>
      <c r="F41" s="831">
        <f>'Qualitative Disclosures'!H34</f>
        <v>0</v>
      </c>
      <c r="G41" s="831">
        <f>'Qualitative Disclosures'!I34</f>
        <v>0</v>
      </c>
      <c r="H41" s="831">
        <f>'Qualitative Disclosures'!J34</f>
        <v>0</v>
      </c>
      <c r="M41" s="1756" t="str">
        <f t="shared" si="0"/>
        <v>No</v>
      </c>
    </row>
    <row r="42" spans="3:13" hidden="1" x14ac:dyDescent="0.3">
      <c r="C42" s="2402"/>
      <c r="D42" s="2403"/>
      <c r="E42" s="843"/>
      <c r="F42" s="2404"/>
      <c r="G42" s="843"/>
      <c r="H42" s="2404"/>
      <c r="M42" s="1756" t="str">
        <f>M41</f>
        <v>No</v>
      </c>
    </row>
    <row r="43" spans="3:13" hidden="1" x14ac:dyDescent="0.3">
      <c r="C43" s="457" t="str">
        <f>IF(M36="Yes","("&amp; CHAR(CODE(MID(C36,2,3))+1)&amp;")  Forfeited shares","(" &amp; MID(C36,2,3)&amp; "Forfeited shares")</f>
        <v>(d) Forfeited shares</v>
      </c>
      <c r="D43" s="219"/>
      <c r="E43" s="831"/>
      <c r="F43" s="1213"/>
      <c r="G43" s="831"/>
      <c r="H43" s="1213"/>
      <c r="M43" s="1756" t="str">
        <f t="shared" si="0"/>
        <v>No</v>
      </c>
    </row>
    <row r="44" spans="3:13" hidden="1" x14ac:dyDescent="0.3">
      <c r="C44" s="141"/>
      <c r="D44" s="50"/>
      <c r="E44" s="831"/>
      <c r="F44" s="1213"/>
      <c r="G44" s="831"/>
      <c r="H44" s="1213"/>
      <c r="M44" s="1756" t="str">
        <f>M43</f>
        <v>No</v>
      </c>
    </row>
    <row r="45" spans="3:13" x14ac:dyDescent="0.3">
      <c r="C45" s="2781" t="s">
        <v>35</v>
      </c>
      <c r="D45" s="2781"/>
      <c r="E45" s="2413">
        <f>SUM(E23:E27)</f>
        <v>150000</v>
      </c>
      <c r="F45" s="2413">
        <f>SUM(F30:F41)</f>
        <v>150000</v>
      </c>
      <c r="G45" s="2413">
        <f>SUM(G23:G27)</f>
        <v>150000</v>
      </c>
      <c r="H45" s="2413">
        <f>SUM(H30:H41)</f>
        <v>150000</v>
      </c>
      <c r="M45" s="1756" t="str">
        <f>IF(AND(E45=0,F45=0,G45=0,H45=0),"No","Yes")</f>
        <v>Yes</v>
      </c>
    </row>
    <row r="46" spans="3:13" x14ac:dyDescent="0.3">
      <c r="C46" s="962"/>
      <c r="D46" s="962"/>
      <c r="E46" s="1568"/>
      <c r="F46" s="1568"/>
      <c r="G46" s="1568"/>
      <c r="H46" s="1568"/>
      <c r="M46" s="1756" t="str">
        <f>+M47</f>
        <v>Yes</v>
      </c>
    </row>
    <row r="47" spans="3:13" x14ac:dyDescent="0.3">
      <c r="C47" s="32"/>
      <c r="F47" s="841"/>
      <c r="G47" s="841"/>
      <c r="H47" s="841"/>
      <c r="M47" s="1756" t="str">
        <f>M45</f>
        <v>Yes</v>
      </c>
    </row>
    <row r="48" spans="3:13" x14ac:dyDescent="0.3">
      <c r="F48" s="841"/>
      <c r="G48" s="841"/>
      <c r="H48" s="841"/>
      <c r="M48" s="1756" t="str">
        <f>M47</f>
        <v>Yes</v>
      </c>
    </row>
    <row r="49" spans="3:20" x14ac:dyDescent="0.3">
      <c r="C49" s="42" t="str">
        <f>+"("&amp;N49&amp;") "&amp;O49</f>
        <v>(i) Reconciliation of the number of shares and amount outstanding at the beginning and at the end of the reporting period:</v>
      </c>
      <c r="D49" s="41"/>
      <c r="E49" s="1210"/>
      <c r="F49" s="1210"/>
      <c r="G49" s="1210"/>
      <c r="H49" s="1678" t="str">
        <f>+H12</f>
        <v>Amount in Rs '00.</v>
      </c>
      <c r="I49" s="3"/>
      <c r="J49" s="3"/>
      <c r="K49" s="3"/>
      <c r="M49" s="1756" t="str">
        <f>M50</f>
        <v>Yes</v>
      </c>
      <c r="N49" s="4" t="s">
        <v>478</v>
      </c>
      <c r="O49" s="4" t="s">
        <v>1850</v>
      </c>
    </row>
    <row r="50" spans="3:20" x14ac:dyDescent="0.3">
      <c r="C50" s="2820" t="s">
        <v>20</v>
      </c>
      <c r="D50" s="2821"/>
      <c r="E50" s="2816" t="str">
        <f>BSCY</f>
        <v>As At 31st March 2025</v>
      </c>
      <c r="F50" s="2817"/>
      <c r="G50" s="2816" t="str">
        <f>BSPY</f>
        <v>As At 31st March 2024</v>
      </c>
      <c r="H50" s="2817"/>
      <c r="M50" s="1756" t="str">
        <f>M51</f>
        <v>Yes</v>
      </c>
    </row>
    <row r="51" spans="3:20" s="146" customFormat="1" ht="30" x14ac:dyDescent="0.3">
      <c r="C51" s="2826"/>
      <c r="D51" s="2827"/>
      <c r="E51" s="2405" t="s">
        <v>442</v>
      </c>
      <c r="F51" s="2405" t="s">
        <v>183</v>
      </c>
      <c r="G51" s="2405" t="s">
        <v>442</v>
      </c>
      <c r="H51" s="2405" t="s">
        <v>183</v>
      </c>
      <c r="M51" s="1756" t="str">
        <f>IF(COUNTIF(M52:M100,"Yes")&lt;&gt;0,"Yes","No")</f>
        <v>Yes</v>
      </c>
      <c r="N51" s="1"/>
      <c r="O51" s="1"/>
      <c r="P51" s="1"/>
      <c r="Q51" s="1"/>
      <c r="R51" s="1"/>
      <c r="S51" s="1"/>
      <c r="T51" s="1"/>
    </row>
    <row r="52" spans="3:20" x14ac:dyDescent="0.3">
      <c r="C52" s="566" t="s">
        <v>124</v>
      </c>
      <c r="D52" s="529"/>
      <c r="E52" s="843"/>
      <c r="F52" s="843"/>
      <c r="G52" s="843"/>
      <c r="H52" s="843"/>
      <c r="M52" s="1756" t="str">
        <f>M60</f>
        <v>Yes</v>
      </c>
    </row>
    <row r="53" spans="3:20" x14ac:dyDescent="0.3">
      <c r="C53" s="567" t="s">
        <v>804</v>
      </c>
      <c r="D53" s="41"/>
      <c r="E53" s="831">
        <f>G60</f>
        <v>150000</v>
      </c>
      <c r="F53" s="831">
        <f>H60</f>
        <v>150000</v>
      </c>
      <c r="G53" s="831">
        <f>'Qualitative Disclosures'!G43</f>
        <v>150000</v>
      </c>
      <c r="H53" s="831">
        <f>'Qualitative Disclosures'!H43</f>
        <v>150000</v>
      </c>
      <c r="M53" s="1756" t="str">
        <f t="shared" ref="M53:M60" si="1">IF(AND(E53=0,F53=0,G53=0,H53=0),"No","Yes")</f>
        <v>Yes</v>
      </c>
    </row>
    <row r="54" spans="3:20" hidden="1" x14ac:dyDescent="0.3">
      <c r="C54" s="317" t="s">
        <v>118</v>
      </c>
      <c r="D54" s="41"/>
      <c r="E54" s="831">
        <f>'Qualitative Disclosures'!E44</f>
        <v>0</v>
      </c>
      <c r="F54" s="831">
        <f>'Qualitative Disclosures'!F44</f>
        <v>0</v>
      </c>
      <c r="G54" s="831">
        <f>'Qualitative Disclosures'!G44</f>
        <v>0</v>
      </c>
      <c r="H54" s="831">
        <f>'Qualitative Disclosures'!H44</f>
        <v>0</v>
      </c>
      <c r="M54" s="1756" t="str">
        <f t="shared" si="1"/>
        <v>No</v>
      </c>
    </row>
    <row r="55" spans="3:20" hidden="1" x14ac:dyDescent="0.3">
      <c r="C55" s="317" t="s">
        <v>119</v>
      </c>
      <c r="D55" s="41"/>
      <c r="E55" s="831">
        <f>'Qualitative Disclosures'!E45</f>
        <v>0</v>
      </c>
      <c r="F55" s="831">
        <f>'Qualitative Disclosures'!F45</f>
        <v>0</v>
      </c>
      <c r="G55" s="831">
        <f>'Qualitative Disclosures'!G45</f>
        <v>0</v>
      </c>
      <c r="H55" s="831">
        <f>'Qualitative Disclosures'!H45</f>
        <v>0</v>
      </c>
      <c r="M55" s="1756" t="str">
        <f t="shared" si="1"/>
        <v>No</v>
      </c>
    </row>
    <row r="56" spans="3:20" hidden="1" x14ac:dyDescent="0.3">
      <c r="C56" s="317" t="s">
        <v>120</v>
      </c>
      <c r="D56" s="41"/>
      <c r="E56" s="831">
        <f>'Qualitative Disclosures'!E46</f>
        <v>0</v>
      </c>
      <c r="F56" s="831">
        <f>'Qualitative Disclosures'!F46</f>
        <v>0</v>
      </c>
      <c r="G56" s="831">
        <f>'Qualitative Disclosures'!G46</f>
        <v>0</v>
      </c>
      <c r="H56" s="831">
        <f>'Qualitative Disclosures'!H46</f>
        <v>0</v>
      </c>
      <c r="M56" s="1756" t="str">
        <f t="shared" si="1"/>
        <v>No</v>
      </c>
    </row>
    <row r="57" spans="3:20" hidden="1" x14ac:dyDescent="0.3">
      <c r="C57" s="317" t="s">
        <v>121</v>
      </c>
      <c r="D57" s="41"/>
      <c r="E57" s="831">
        <f>'Qualitative Disclosures'!E47</f>
        <v>0</v>
      </c>
      <c r="F57" s="831">
        <f>'Qualitative Disclosures'!F47</f>
        <v>0</v>
      </c>
      <c r="G57" s="831">
        <f>'Qualitative Disclosures'!G47</f>
        <v>0</v>
      </c>
      <c r="H57" s="831">
        <f>'Qualitative Disclosures'!H47</f>
        <v>0</v>
      </c>
      <c r="M57" s="1756" t="str">
        <f t="shared" si="1"/>
        <v>No</v>
      </c>
    </row>
    <row r="58" spans="3:20" hidden="1" x14ac:dyDescent="0.3">
      <c r="C58" s="317" t="s">
        <v>122</v>
      </c>
      <c r="D58" s="41"/>
      <c r="E58" s="831">
        <f>'Qualitative Disclosures'!E48</f>
        <v>0</v>
      </c>
      <c r="F58" s="831">
        <f>'Qualitative Disclosures'!F48</f>
        <v>0</v>
      </c>
      <c r="G58" s="831">
        <f>'Qualitative Disclosures'!G48</f>
        <v>0</v>
      </c>
      <c r="H58" s="831">
        <f>'Qualitative Disclosures'!H48</f>
        <v>0</v>
      </c>
      <c r="M58" s="1756" t="str">
        <f t="shared" si="1"/>
        <v>No</v>
      </c>
    </row>
    <row r="59" spans="3:20" hidden="1" x14ac:dyDescent="0.3">
      <c r="C59" s="317" t="s">
        <v>123</v>
      </c>
      <c r="D59" s="41"/>
      <c r="E59" s="831">
        <f>'Qualitative Disclosures'!E49</f>
        <v>0</v>
      </c>
      <c r="F59" s="831">
        <f>'Qualitative Disclosures'!F49</f>
        <v>0</v>
      </c>
      <c r="G59" s="831">
        <f>'Qualitative Disclosures'!G49</f>
        <v>0</v>
      </c>
      <c r="H59" s="831">
        <f>'Qualitative Disclosures'!H49</f>
        <v>0</v>
      </c>
      <c r="M59" s="1756" t="str">
        <f t="shared" si="1"/>
        <v>No</v>
      </c>
    </row>
    <row r="60" spans="3:20" x14ac:dyDescent="0.3">
      <c r="C60" s="2805" t="s">
        <v>805</v>
      </c>
      <c r="D60" s="2806"/>
      <c r="E60" s="2413">
        <f>E53+SUM(E54:E59)</f>
        <v>150000</v>
      </c>
      <c r="F60" s="2413">
        <f>F53+SUM(F54:F59)</f>
        <v>150000</v>
      </c>
      <c r="G60" s="2413">
        <f>G53+SUM(G54:G59)</f>
        <v>150000</v>
      </c>
      <c r="H60" s="2413">
        <f>H53+SUM(H54:H59)</f>
        <v>150000</v>
      </c>
      <c r="M60" s="1756" t="str">
        <f t="shared" si="1"/>
        <v>Yes</v>
      </c>
    </row>
    <row r="61" spans="3:20" hidden="1" x14ac:dyDescent="0.3">
      <c r="C61" s="1425"/>
      <c r="D61" s="1267"/>
      <c r="E61" s="1403"/>
      <c r="F61" s="1403"/>
      <c r="G61" s="1403"/>
      <c r="H61" s="1403"/>
      <c r="M61" s="1756" t="str">
        <f>IF(COUNTIF(M62:M70,"Yes")&lt;&gt;0,"Yes","No")</f>
        <v>No</v>
      </c>
    </row>
    <row r="62" spans="3:20" hidden="1" x14ac:dyDescent="0.3">
      <c r="C62" s="1436" t="s">
        <v>126</v>
      </c>
      <c r="D62" s="1437"/>
      <c r="E62" s="1438"/>
      <c r="F62" s="1438"/>
      <c r="G62" s="1438"/>
      <c r="H62" s="1438"/>
      <c r="M62" s="1756" t="str">
        <f>M70</f>
        <v>No</v>
      </c>
    </row>
    <row r="63" spans="3:20" hidden="1" x14ac:dyDescent="0.3">
      <c r="C63" s="1434" t="s">
        <v>804</v>
      </c>
      <c r="D63" s="1437"/>
      <c r="E63" s="1438">
        <f>G70</f>
        <v>0</v>
      </c>
      <c r="F63" s="1438">
        <f>H70</f>
        <v>0</v>
      </c>
      <c r="G63" s="1438">
        <f>'Qualitative Disclosures'!G53</f>
        <v>0</v>
      </c>
      <c r="H63" s="1438">
        <f>'Qualitative Disclosures'!H53</f>
        <v>0</v>
      </c>
      <c r="M63" s="1756" t="str">
        <f t="shared" ref="M63:M67" si="2">IF(AND(E63=0,F63=0,G63=0,H63=0),"No","Yes")</f>
        <v>No</v>
      </c>
    </row>
    <row r="64" spans="3:20" hidden="1" x14ac:dyDescent="0.3">
      <c r="C64" s="1435" t="s">
        <v>118</v>
      </c>
      <c r="D64" s="1437"/>
      <c r="E64" s="1438">
        <f>'Qualitative Disclosures'!E54</f>
        <v>0</v>
      </c>
      <c r="F64" s="1438">
        <f>'Qualitative Disclosures'!F54</f>
        <v>0</v>
      </c>
      <c r="G64" s="1438">
        <f>'Qualitative Disclosures'!G54</f>
        <v>0</v>
      </c>
      <c r="H64" s="1438">
        <f>'Qualitative Disclosures'!H54</f>
        <v>0</v>
      </c>
      <c r="M64" s="1756" t="str">
        <f t="shared" si="2"/>
        <v>No</v>
      </c>
    </row>
    <row r="65" spans="3:13" hidden="1" x14ac:dyDescent="0.3">
      <c r="C65" s="1435" t="s">
        <v>119</v>
      </c>
      <c r="D65" s="1437"/>
      <c r="E65" s="1438">
        <f>'Qualitative Disclosures'!E55</f>
        <v>0</v>
      </c>
      <c r="F65" s="1438">
        <f>'Qualitative Disclosures'!F55</f>
        <v>0</v>
      </c>
      <c r="G65" s="1438">
        <f>'Qualitative Disclosures'!G55</f>
        <v>0</v>
      </c>
      <c r="H65" s="1438">
        <f>'Qualitative Disclosures'!H55</f>
        <v>0</v>
      </c>
      <c r="M65" s="1756" t="str">
        <f t="shared" si="2"/>
        <v>No</v>
      </c>
    </row>
    <row r="66" spans="3:13" hidden="1" x14ac:dyDescent="0.3">
      <c r="C66" s="1435" t="s">
        <v>120</v>
      </c>
      <c r="D66" s="1437"/>
      <c r="E66" s="1438">
        <f>'Qualitative Disclosures'!E56</f>
        <v>0</v>
      </c>
      <c r="F66" s="1438">
        <f>'Qualitative Disclosures'!F56</f>
        <v>0</v>
      </c>
      <c r="G66" s="1438">
        <f>'Qualitative Disclosures'!G56</f>
        <v>0</v>
      </c>
      <c r="H66" s="1438">
        <f>'Qualitative Disclosures'!H56</f>
        <v>0</v>
      </c>
      <c r="M66" s="1756" t="str">
        <f t="shared" si="2"/>
        <v>No</v>
      </c>
    </row>
    <row r="67" spans="3:13" hidden="1" x14ac:dyDescent="0.3">
      <c r="C67" s="1435" t="s">
        <v>121</v>
      </c>
      <c r="D67" s="1437"/>
      <c r="E67" s="1438">
        <f>'Qualitative Disclosures'!E57</f>
        <v>0</v>
      </c>
      <c r="F67" s="1438">
        <f>'Qualitative Disclosures'!F57</f>
        <v>0</v>
      </c>
      <c r="G67" s="1438">
        <f>'Qualitative Disclosures'!G57</f>
        <v>0</v>
      </c>
      <c r="H67" s="1438">
        <f>'Qualitative Disclosures'!H57</f>
        <v>0</v>
      </c>
      <c r="M67" s="1756" t="str">
        <f t="shared" si="2"/>
        <v>No</v>
      </c>
    </row>
    <row r="68" spans="3:13" hidden="1" x14ac:dyDescent="0.3">
      <c r="C68" s="1435" t="s">
        <v>122</v>
      </c>
      <c r="D68" s="1437"/>
      <c r="E68" s="1438">
        <f>'Qualitative Disclosures'!E58</f>
        <v>0</v>
      </c>
      <c r="F68" s="1438">
        <f>'Qualitative Disclosures'!F58</f>
        <v>0</v>
      </c>
      <c r="G68" s="1438">
        <f>'Qualitative Disclosures'!G58</f>
        <v>0</v>
      </c>
      <c r="H68" s="1438">
        <f>'Qualitative Disclosures'!H58</f>
        <v>0</v>
      </c>
      <c r="M68" s="1756" t="str">
        <f>IF(AND(E68=0,F68=0,G68=0,H68=0),"No","Yes")</f>
        <v>No</v>
      </c>
    </row>
    <row r="69" spans="3:13" hidden="1" x14ac:dyDescent="0.3">
      <c r="C69" s="1435" t="s">
        <v>123</v>
      </c>
      <c r="D69" s="1437"/>
      <c r="E69" s="1438">
        <f>'Qualitative Disclosures'!E59</f>
        <v>0</v>
      </c>
      <c r="F69" s="1438">
        <f>'Qualitative Disclosures'!F59</f>
        <v>0</v>
      </c>
      <c r="G69" s="1438">
        <f>'Qualitative Disclosures'!G59</f>
        <v>0</v>
      </c>
      <c r="H69" s="1438">
        <f>'Qualitative Disclosures'!H59</f>
        <v>0</v>
      </c>
      <c r="M69" s="1756" t="str">
        <f>IF(AND(E69=0,F69=0,G69=0,H69=0),"No","Yes")</f>
        <v>No</v>
      </c>
    </row>
    <row r="70" spans="3:13" hidden="1" x14ac:dyDescent="0.3">
      <c r="C70" s="2807" t="s">
        <v>805</v>
      </c>
      <c r="D70" s="2808"/>
      <c r="E70" s="1405">
        <f>E63+SUM(E64:E69)</f>
        <v>0</v>
      </c>
      <c r="F70" s="1405">
        <f>F63+SUM(F64:F69)</f>
        <v>0</v>
      </c>
      <c r="G70" s="1405">
        <f>G63+SUM(G64:G69)</f>
        <v>0</v>
      </c>
      <c r="H70" s="1405">
        <f>H63+SUM(H64:H69)</f>
        <v>0</v>
      </c>
      <c r="M70" s="1756" t="str">
        <f>IF(AND(E70=0,F70=0,G70=0,H70=0),"No","Yes")</f>
        <v>No</v>
      </c>
    </row>
    <row r="71" spans="3:13" hidden="1" x14ac:dyDescent="0.3">
      <c r="C71" s="1436"/>
      <c r="D71" s="1437"/>
      <c r="E71" s="1438"/>
      <c r="F71" s="1438"/>
      <c r="G71" s="1438"/>
      <c r="H71" s="1438"/>
      <c r="M71" s="1756" t="str">
        <f>IF(COUNTIF(M72:M80,"Yes")&lt;&gt;0,"Yes","No")</f>
        <v>No</v>
      </c>
    </row>
    <row r="72" spans="3:13" hidden="1" x14ac:dyDescent="0.3">
      <c r="C72" s="1436" t="s">
        <v>1338</v>
      </c>
      <c r="D72" s="1437"/>
      <c r="E72" s="1438"/>
      <c r="F72" s="1438"/>
      <c r="G72" s="1438"/>
      <c r="H72" s="1438"/>
      <c r="M72" s="1756" t="str">
        <f>M80</f>
        <v>No</v>
      </c>
    </row>
    <row r="73" spans="3:13" hidden="1" x14ac:dyDescent="0.3">
      <c r="C73" s="1425" t="s">
        <v>804</v>
      </c>
      <c r="D73" s="1437"/>
      <c r="E73" s="1438">
        <f>G80</f>
        <v>0</v>
      </c>
      <c r="F73" s="1438">
        <f>H80</f>
        <v>0</v>
      </c>
      <c r="G73" s="1438">
        <f>'Qualitative Disclosures'!G63</f>
        <v>0</v>
      </c>
      <c r="H73" s="1438">
        <f>'Qualitative Disclosures'!H63</f>
        <v>0</v>
      </c>
      <c r="M73" s="1756" t="str">
        <f t="shared" ref="M73:M80" si="3">IF(AND(E73=0,F73=0,G73=0,H73=0),"No","Yes")</f>
        <v>No</v>
      </c>
    </row>
    <row r="74" spans="3:13" hidden="1" x14ac:dyDescent="0.3">
      <c r="C74" s="1435" t="s">
        <v>118</v>
      </c>
      <c r="D74" s="1437"/>
      <c r="E74" s="1438">
        <f>'Qualitative Disclosures'!E64</f>
        <v>0</v>
      </c>
      <c r="F74" s="1438">
        <f>'Qualitative Disclosures'!F64</f>
        <v>0</v>
      </c>
      <c r="G74" s="1438">
        <f>'Qualitative Disclosures'!G64</f>
        <v>0</v>
      </c>
      <c r="H74" s="1438">
        <f>'Qualitative Disclosures'!H64</f>
        <v>0</v>
      </c>
      <c r="M74" s="1756" t="str">
        <f t="shared" si="3"/>
        <v>No</v>
      </c>
    </row>
    <row r="75" spans="3:13" hidden="1" x14ac:dyDescent="0.3">
      <c r="C75" s="1435" t="s">
        <v>119</v>
      </c>
      <c r="D75" s="1437"/>
      <c r="E75" s="1438">
        <f>'Qualitative Disclosures'!E65</f>
        <v>0</v>
      </c>
      <c r="F75" s="1438">
        <f>'Qualitative Disclosures'!F65</f>
        <v>0</v>
      </c>
      <c r="G75" s="1438">
        <f>'Qualitative Disclosures'!G65</f>
        <v>0</v>
      </c>
      <c r="H75" s="1438">
        <f>'Qualitative Disclosures'!H65</f>
        <v>0</v>
      </c>
      <c r="M75" s="1756" t="str">
        <f t="shared" si="3"/>
        <v>No</v>
      </c>
    </row>
    <row r="76" spans="3:13" hidden="1" x14ac:dyDescent="0.3">
      <c r="C76" s="1435" t="s">
        <v>120</v>
      </c>
      <c r="D76" s="1437"/>
      <c r="E76" s="1438">
        <f>'Qualitative Disclosures'!E66</f>
        <v>0</v>
      </c>
      <c r="F76" s="1438">
        <f>'Qualitative Disclosures'!F66</f>
        <v>0</v>
      </c>
      <c r="G76" s="1438">
        <f>'Qualitative Disclosures'!G66</f>
        <v>0</v>
      </c>
      <c r="H76" s="1438">
        <f>'Qualitative Disclosures'!H66</f>
        <v>0</v>
      </c>
      <c r="M76" s="1756" t="str">
        <f t="shared" si="3"/>
        <v>No</v>
      </c>
    </row>
    <row r="77" spans="3:13" hidden="1" x14ac:dyDescent="0.3">
      <c r="C77" s="1435" t="s">
        <v>121</v>
      </c>
      <c r="D77" s="1437"/>
      <c r="E77" s="1438">
        <f>'Qualitative Disclosures'!E67</f>
        <v>0</v>
      </c>
      <c r="F77" s="1438">
        <f>'Qualitative Disclosures'!F67</f>
        <v>0</v>
      </c>
      <c r="G77" s="1438">
        <f>'Qualitative Disclosures'!G67</f>
        <v>0</v>
      </c>
      <c r="H77" s="1438">
        <f>'Qualitative Disclosures'!H67</f>
        <v>0</v>
      </c>
      <c r="M77" s="1756" t="str">
        <f t="shared" si="3"/>
        <v>No</v>
      </c>
    </row>
    <row r="78" spans="3:13" hidden="1" x14ac:dyDescent="0.3">
      <c r="C78" s="1435" t="s">
        <v>122</v>
      </c>
      <c r="D78" s="1437"/>
      <c r="E78" s="1438">
        <f>'Qualitative Disclosures'!E68</f>
        <v>0</v>
      </c>
      <c r="F78" s="1438">
        <f>'Qualitative Disclosures'!F68</f>
        <v>0</v>
      </c>
      <c r="G78" s="1438">
        <f>'Qualitative Disclosures'!G68</f>
        <v>0</v>
      </c>
      <c r="H78" s="1438">
        <f>'Qualitative Disclosures'!H68</f>
        <v>0</v>
      </c>
      <c r="M78" s="1756" t="str">
        <f t="shared" si="3"/>
        <v>No</v>
      </c>
    </row>
    <row r="79" spans="3:13" hidden="1" x14ac:dyDescent="0.3">
      <c r="C79" s="1435" t="s">
        <v>123</v>
      </c>
      <c r="D79" s="1437"/>
      <c r="E79" s="1438">
        <f>'Qualitative Disclosures'!E69</f>
        <v>0</v>
      </c>
      <c r="F79" s="1438">
        <f>'Qualitative Disclosures'!F69</f>
        <v>0</v>
      </c>
      <c r="G79" s="1438">
        <f>'Qualitative Disclosures'!G69</f>
        <v>0</v>
      </c>
      <c r="H79" s="1438">
        <f>'Qualitative Disclosures'!H69</f>
        <v>0</v>
      </c>
      <c r="M79" s="1756" t="str">
        <f t="shared" si="3"/>
        <v>No</v>
      </c>
    </row>
    <row r="80" spans="3:13" hidden="1" x14ac:dyDescent="0.3">
      <c r="C80" s="2807" t="s">
        <v>805</v>
      </c>
      <c r="D80" s="2808"/>
      <c r="E80" s="1405">
        <f>E73+SUM(E74:E79)</f>
        <v>0</v>
      </c>
      <c r="F80" s="1405">
        <f>F73+SUM(F74:F79)</f>
        <v>0</v>
      </c>
      <c r="G80" s="1405">
        <f>G73+SUM(G74:G79)</f>
        <v>0</v>
      </c>
      <c r="H80" s="1405">
        <f>H73+SUM(H74:H79)</f>
        <v>0</v>
      </c>
      <c r="M80" s="1756" t="str">
        <f t="shared" si="3"/>
        <v>No</v>
      </c>
    </row>
    <row r="81" spans="3:13" hidden="1" x14ac:dyDescent="0.3">
      <c r="C81" s="1425"/>
      <c r="D81" s="1437"/>
      <c r="E81" s="1438"/>
      <c r="F81" s="1438"/>
      <c r="G81" s="1438"/>
      <c r="H81" s="1438"/>
      <c r="M81" s="1756" t="str">
        <f>IF(COUNTIF(M82:M90,"Yes")&lt;&gt;0,"Yes","No")</f>
        <v>No</v>
      </c>
    </row>
    <row r="82" spans="3:13" hidden="1" x14ac:dyDescent="0.3">
      <c r="C82" s="1436" t="s">
        <v>1339</v>
      </c>
      <c r="D82" s="1437"/>
      <c r="E82" s="1438"/>
      <c r="F82" s="1438"/>
      <c r="G82" s="1438"/>
      <c r="H82" s="1438"/>
      <c r="M82" s="1756" t="str">
        <f>M90</f>
        <v>No</v>
      </c>
    </row>
    <row r="83" spans="3:13" hidden="1" x14ac:dyDescent="0.3">
      <c r="C83" s="1425" t="s">
        <v>804</v>
      </c>
      <c r="D83" s="1437"/>
      <c r="E83" s="1438">
        <f>G90</f>
        <v>0</v>
      </c>
      <c r="F83" s="1438">
        <f>H90</f>
        <v>0</v>
      </c>
      <c r="G83" s="1438">
        <f>'Qualitative Disclosures'!G73</f>
        <v>0</v>
      </c>
      <c r="H83" s="1438">
        <f>'Qualitative Disclosures'!H73</f>
        <v>0</v>
      </c>
      <c r="M83" s="1756" t="str">
        <f t="shared" ref="M83:M90" si="4">IF(AND(E83=0,F83=0,G83=0,H83=0),"No","Yes")</f>
        <v>No</v>
      </c>
    </row>
    <row r="84" spans="3:13" hidden="1" x14ac:dyDescent="0.3">
      <c r="C84" s="1435" t="s">
        <v>118</v>
      </c>
      <c r="D84" s="1437"/>
      <c r="E84" s="1438">
        <f>'Qualitative Disclosures'!E74</f>
        <v>0</v>
      </c>
      <c r="F84" s="1438">
        <f>'Qualitative Disclosures'!F74</f>
        <v>0</v>
      </c>
      <c r="G84" s="1438">
        <f>'Qualitative Disclosures'!G74</f>
        <v>0</v>
      </c>
      <c r="H84" s="1438">
        <f>'Qualitative Disclosures'!H74</f>
        <v>0</v>
      </c>
      <c r="M84" s="1756" t="str">
        <f t="shared" si="4"/>
        <v>No</v>
      </c>
    </row>
    <row r="85" spans="3:13" hidden="1" x14ac:dyDescent="0.3">
      <c r="C85" s="1435" t="s">
        <v>119</v>
      </c>
      <c r="D85" s="1437"/>
      <c r="E85" s="1438">
        <f>'Qualitative Disclosures'!E75</f>
        <v>0</v>
      </c>
      <c r="F85" s="1438">
        <f>'Qualitative Disclosures'!F75</f>
        <v>0</v>
      </c>
      <c r="G85" s="1438">
        <f>'Qualitative Disclosures'!G75</f>
        <v>0</v>
      </c>
      <c r="H85" s="1438">
        <f>'Qualitative Disclosures'!H75</f>
        <v>0</v>
      </c>
      <c r="M85" s="1756" t="str">
        <f t="shared" si="4"/>
        <v>No</v>
      </c>
    </row>
    <row r="86" spans="3:13" hidden="1" x14ac:dyDescent="0.3">
      <c r="C86" s="1435" t="s">
        <v>120</v>
      </c>
      <c r="D86" s="1437"/>
      <c r="E86" s="1438">
        <f>'Qualitative Disclosures'!E76</f>
        <v>0</v>
      </c>
      <c r="F86" s="1438">
        <f>'Qualitative Disclosures'!F76</f>
        <v>0</v>
      </c>
      <c r="G86" s="1438">
        <f>'Qualitative Disclosures'!G76</f>
        <v>0</v>
      </c>
      <c r="H86" s="1438">
        <f>'Qualitative Disclosures'!H76</f>
        <v>0</v>
      </c>
      <c r="M86" s="1756" t="str">
        <f t="shared" si="4"/>
        <v>No</v>
      </c>
    </row>
    <row r="87" spans="3:13" hidden="1" x14ac:dyDescent="0.3">
      <c r="C87" s="1435" t="s">
        <v>121</v>
      </c>
      <c r="D87" s="1437"/>
      <c r="E87" s="1438">
        <f>'Qualitative Disclosures'!E77</f>
        <v>0</v>
      </c>
      <c r="F87" s="1438">
        <f>'Qualitative Disclosures'!F77</f>
        <v>0</v>
      </c>
      <c r="G87" s="1438">
        <f>'Qualitative Disclosures'!G77</f>
        <v>0</v>
      </c>
      <c r="H87" s="1438">
        <f>'Qualitative Disclosures'!H77</f>
        <v>0</v>
      </c>
      <c r="M87" s="1756" t="str">
        <f t="shared" si="4"/>
        <v>No</v>
      </c>
    </row>
    <row r="88" spans="3:13" hidden="1" x14ac:dyDescent="0.3">
      <c r="C88" s="1435" t="s">
        <v>122</v>
      </c>
      <c r="D88" s="1437"/>
      <c r="E88" s="1438">
        <f>'Qualitative Disclosures'!E78</f>
        <v>0</v>
      </c>
      <c r="F88" s="1438">
        <f>'Qualitative Disclosures'!F78</f>
        <v>0</v>
      </c>
      <c r="G88" s="1438">
        <f>'Qualitative Disclosures'!G78</f>
        <v>0</v>
      </c>
      <c r="H88" s="1438">
        <f>'Qualitative Disclosures'!H78</f>
        <v>0</v>
      </c>
      <c r="M88" s="1756" t="str">
        <f t="shared" si="4"/>
        <v>No</v>
      </c>
    </row>
    <row r="89" spans="3:13" hidden="1" x14ac:dyDescent="0.3">
      <c r="C89" s="1435" t="s">
        <v>123</v>
      </c>
      <c r="D89" s="1437"/>
      <c r="E89" s="1438">
        <f>'Qualitative Disclosures'!E79</f>
        <v>0</v>
      </c>
      <c r="F89" s="1438">
        <f>'Qualitative Disclosures'!F79</f>
        <v>0</v>
      </c>
      <c r="G89" s="1438">
        <f>'Qualitative Disclosures'!G79</f>
        <v>0</v>
      </c>
      <c r="H89" s="1438">
        <f>'Qualitative Disclosures'!H79</f>
        <v>0</v>
      </c>
      <c r="M89" s="1756" t="str">
        <f t="shared" si="4"/>
        <v>No</v>
      </c>
    </row>
    <row r="90" spans="3:13" hidden="1" x14ac:dyDescent="0.3">
      <c r="C90" s="2807" t="s">
        <v>805</v>
      </c>
      <c r="D90" s="2808"/>
      <c r="E90" s="1405">
        <f>E83+SUM(E84:E89)</f>
        <v>0</v>
      </c>
      <c r="F90" s="1405">
        <f>F83+SUM(F84:F89)</f>
        <v>0</v>
      </c>
      <c r="G90" s="1405">
        <f>G83+SUM(G84:G89)</f>
        <v>0</v>
      </c>
      <c r="H90" s="1405">
        <f>H83+SUM(H84:H89)</f>
        <v>0</v>
      </c>
      <c r="M90" s="1756" t="str">
        <f t="shared" si="4"/>
        <v>No</v>
      </c>
    </row>
    <row r="91" spans="3:13" hidden="1" x14ac:dyDescent="0.3">
      <c r="C91" s="1436"/>
      <c r="D91" s="1437"/>
      <c r="E91" s="1438"/>
      <c r="F91" s="1438"/>
      <c r="G91" s="1438"/>
      <c r="H91" s="1438"/>
      <c r="M91" s="1756" t="str">
        <f>IF(COUNTIF(M92:M100,"Yes")&lt;&gt;0,"Yes","No")</f>
        <v>No</v>
      </c>
    </row>
    <row r="92" spans="3:13" hidden="1" x14ac:dyDescent="0.3">
      <c r="C92" s="1436" t="s">
        <v>1340</v>
      </c>
      <c r="D92" s="1437"/>
      <c r="E92" s="1438"/>
      <c r="F92" s="1438"/>
      <c r="G92" s="1438"/>
      <c r="H92" s="1438"/>
      <c r="M92" s="1756" t="str">
        <f>M100</f>
        <v>No</v>
      </c>
    </row>
    <row r="93" spans="3:13" hidden="1" x14ac:dyDescent="0.3">
      <c r="C93" s="1425" t="s">
        <v>804</v>
      </c>
      <c r="D93" s="1437"/>
      <c r="E93" s="1438">
        <f>G100</f>
        <v>0</v>
      </c>
      <c r="F93" s="1438">
        <f>H100</f>
        <v>0</v>
      </c>
      <c r="G93" s="1438">
        <f>'Qualitative Disclosures'!G83</f>
        <v>0</v>
      </c>
      <c r="H93" s="1438">
        <f>'Qualitative Disclosures'!H83</f>
        <v>0</v>
      </c>
      <c r="M93" s="1756" t="str">
        <f t="shared" ref="M93:M100" si="5">IF(AND(E93=0,F93=0,G93=0,H93=0),"No","Yes")</f>
        <v>No</v>
      </c>
    </row>
    <row r="94" spans="3:13" hidden="1" x14ac:dyDescent="0.3">
      <c r="C94" s="1435" t="s">
        <v>118</v>
      </c>
      <c r="D94" s="1437"/>
      <c r="E94" s="1438">
        <f>'Qualitative Disclosures'!E84</f>
        <v>0</v>
      </c>
      <c r="F94" s="1438">
        <f>'Qualitative Disclosures'!F84</f>
        <v>0</v>
      </c>
      <c r="G94" s="1438">
        <f>'Qualitative Disclosures'!G84</f>
        <v>0</v>
      </c>
      <c r="H94" s="1438">
        <f>'Qualitative Disclosures'!H84</f>
        <v>0</v>
      </c>
      <c r="M94" s="1756" t="str">
        <f t="shared" si="5"/>
        <v>No</v>
      </c>
    </row>
    <row r="95" spans="3:13" hidden="1" x14ac:dyDescent="0.3">
      <c r="C95" s="1435" t="s">
        <v>119</v>
      </c>
      <c r="D95" s="1437"/>
      <c r="E95" s="1438">
        <f>'Qualitative Disclosures'!E85</f>
        <v>0</v>
      </c>
      <c r="F95" s="1438">
        <f>'Qualitative Disclosures'!F85</f>
        <v>0</v>
      </c>
      <c r="G95" s="1438">
        <f>'Qualitative Disclosures'!G85</f>
        <v>0</v>
      </c>
      <c r="H95" s="1438">
        <f>'Qualitative Disclosures'!H85</f>
        <v>0</v>
      </c>
      <c r="M95" s="1756" t="str">
        <f t="shared" si="5"/>
        <v>No</v>
      </c>
    </row>
    <row r="96" spans="3:13" hidden="1" x14ac:dyDescent="0.3">
      <c r="C96" s="1435" t="s">
        <v>120</v>
      </c>
      <c r="D96" s="1437"/>
      <c r="E96" s="1438">
        <f>'Qualitative Disclosures'!E86</f>
        <v>0</v>
      </c>
      <c r="F96" s="1438">
        <f>'Qualitative Disclosures'!F86</f>
        <v>0</v>
      </c>
      <c r="G96" s="1438">
        <f>'Qualitative Disclosures'!G86</f>
        <v>0</v>
      </c>
      <c r="H96" s="1438">
        <f>'Qualitative Disclosures'!H86</f>
        <v>0</v>
      </c>
      <c r="M96" s="1756" t="str">
        <f t="shared" si="5"/>
        <v>No</v>
      </c>
    </row>
    <row r="97" spans="3:15" hidden="1" x14ac:dyDescent="0.3">
      <c r="C97" s="1435" t="s">
        <v>121</v>
      </c>
      <c r="D97" s="1437"/>
      <c r="E97" s="1438">
        <f>'Qualitative Disclosures'!E87</f>
        <v>0</v>
      </c>
      <c r="F97" s="1438">
        <f>'Qualitative Disclosures'!F87</f>
        <v>0</v>
      </c>
      <c r="G97" s="1438">
        <f>'Qualitative Disclosures'!G87</f>
        <v>0</v>
      </c>
      <c r="H97" s="1438">
        <f>'Qualitative Disclosures'!H87</f>
        <v>0</v>
      </c>
      <c r="M97" s="1756" t="str">
        <f t="shared" si="5"/>
        <v>No</v>
      </c>
    </row>
    <row r="98" spans="3:15" hidden="1" x14ac:dyDescent="0.3">
      <c r="C98" s="1435" t="s">
        <v>122</v>
      </c>
      <c r="D98" s="1437"/>
      <c r="E98" s="1438">
        <f>'Qualitative Disclosures'!E88</f>
        <v>0</v>
      </c>
      <c r="F98" s="1438">
        <f>'Qualitative Disclosures'!F88</f>
        <v>0</v>
      </c>
      <c r="G98" s="1438">
        <f>'Qualitative Disclosures'!G88</f>
        <v>0</v>
      </c>
      <c r="H98" s="1438">
        <f>'Qualitative Disclosures'!H88</f>
        <v>0</v>
      </c>
      <c r="M98" s="1756" t="str">
        <f t="shared" si="5"/>
        <v>No</v>
      </c>
    </row>
    <row r="99" spans="3:15" hidden="1" x14ac:dyDescent="0.3">
      <c r="C99" s="1435" t="s">
        <v>123</v>
      </c>
      <c r="D99" s="1437"/>
      <c r="E99" s="1438">
        <f>'Qualitative Disclosures'!E89</f>
        <v>0</v>
      </c>
      <c r="F99" s="1438">
        <f>'Qualitative Disclosures'!F89</f>
        <v>0</v>
      </c>
      <c r="G99" s="1438">
        <f>'Qualitative Disclosures'!G89</f>
        <v>0</v>
      </c>
      <c r="H99" s="1438">
        <f>'Qualitative Disclosures'!H89</f>
        <v>0</v>
      </c>
      <c r="M99" s="1756" t="str">
        <f t="shared" si="5"/>
        <v>No</v>
      </c>
    </row>
    <row r="100" spans="3:15" hidden="1" x14ac:dyDescent="0.3">
      <c r="C100" s="2807" t="s">
        <v>805</v>
      </c>
      <c r="D100" s="2808"/>
      <c r="E100" s="1405">
        <f>E93+SUM(E94:E99)</f>
        <v>0</v>
      </c>
      <c r="F100" s="1405">
        <f>F93+SUM(F94:F99)</f>
        <v>0</v>
      </c>
      <c r="G100" s="1405">
        <f>G93+SUM(G94:G99)</f>
        <v>0</v>
      </c>
      <c r="H100" s="1405">
        <f>H93+SUM(H94:H99)</f>
        <v>0</v>
      </c>
      <c r="M100" s="1756" t="str">
        <f t="shared" si="5"/>
        <v>No</v>
      </c>
    </row>
    <row r="101" spans="3:15" x14ac:dyDescent="0.3">
      <c r="C101" s="41"/>
      <c r="D101" s="41"/>
      <c r="E101" s="1210"/>
      <c r="F101" s="1210"/>
      <c r="G101" s="1210"/>
      <c r="H101" s="1210"/>
      <c r="M101" s="1756" t="str">
        <f>M12</f>
        <v>Yes</v>
      </c>
    </row>
    <row r="102" spans="3:15" x14ac:dyDescent="0.3">
      <c r="C102" s="42" t="str">
        <f>+"("&amp;N102&amp;") "&amp;O102</f>
        <v>(ii) Rights, preferences and restrictions attached to shares</v>
      </c>
      <c r="D102" s="41"/>
      <c r="E102" s="1210"/>
      <c r="F102" s="1210"/>
      <c r="G102" s="1210"/>
      <c r="H102" s="1210"/>
      <c r="M102" s="1756" t="str">
        <f>IF(COUNTIF(M103:M109,"Yes")&lt;&gt;0,"Yes","No")</f>
        <v>Yes</v>
      </c>
      <c r="N102" s="42" t="str">
        <f>+IF(M49="Yes",LOWER(ROMAN(_xlfn.ARABIC(N49)+1)),N49)</f>
        <v>ii</v>
      </c>
      <c r="O102" s="4" t="s">
        <v>1851</v>
      </c>
    </row>
    <row r="103" spans="3:15" s="963" customFormat="1" ht="75" customHeight="1" x14ac:dyDescent="0.3">
      <c r="C103" s="2813" t="str">
        <f>+'Qualitative Disclosures'!C94</f>
        <v>Equity Shares: The Company has one class of equity shares. Each shareholder is eligible for one vote per share held. The dividend proposed by the Board of Directors is subject to the approval of the shareholders in the ensuing Annual General Meeting, except in case of interim dividend. In the event of liquidation, the equity shareholders are eligible to receive the remaining assets of the Company after distribution of all preferential amounts, in proportion to their shareholding.</v>
      </c>
      <c r="D103" s="2814"/>
      <c r="E103" s="2814"/>
      <c r="F103" s="2814"/>
      <c r="G103" s="2814"/>
      <c r="H103" s="2814"/>
      <c r="M103" s="1756" t="str">
        <f>IF(AND(C103=0,D103=0,E103=0,F103=0,G103=0,H103=0,I103=0),"No","Yes")</f>
        <v>Yes</v>
      </c>
    </row>
    <row r="104" spans="3:15" s="1" customFormat="1" hidden="1" x14ac:dyDescent="0.3">
      <c r="C104" s="1439" t="str">
        <f>+'Qualitative Disclosures'!C96</f>
        <v xml:space="preserve">Preference Shares: </v>
      </c>
      <c r="D104" s="1440"/>
      <c r="E104" s="1569"/>
      <c r="F104" s="1569"/>
      <c r="G104" s="1569"/>
      <c r="H104" s="1610"/>
      <c r="M104" s="1756" t="str">
        <f>IF(AND(C104=0,D104=0,E104=0,F104=0,G104=0,H104=0,I104=0),"No","Yes")</f>
        <v>Yes</v>
      </c>
    </row>
    <row r="105" spans="3:15" s="1" customFormat="1" hidden="1" x14ac:dyDescent="0.3">
      <c r="C105" s="1442"/>
      <c r="D105" s="1440"/>
      <c r="E105" s="1569"/>
      <c r="F105" s="1569"/>
      <c r="G105" s="1569"/>
      <c r="H105" s="1610"/>
      <c r="M105" s="1756" t="str">
        <f>+M104</f>
        <v>Yes</v>
      </c>
    </row>
    <row r="106" spans="3:15" s="1" customFormat="1" hidden="1" x14ac:dyDescent="0.3">
      <c r="C106" s="1442"/>
      <c r="D106" s="1440"/>
      <c r="E106" s="1569"/>
      <c r="F106" s="1569"/>
      <c r="G106" s="1569"/>
      <c r="H106" s="1610"/>
      <c r="M106" s="1756" t="str">
        <f>+M105</f>
        <v>Yes</v>
      </c>
    </row>
    <row r="107" spans="3:15" s="1" customFormat="1" hidden="1" x14ac:dyDescent="0.3">
      <c r="C107" s="1442"/>
      <c r="D107" s="1440"/>
      <c r="E107" s="1569"/>
      <c r="F107" s="1569"/>
      <c r="G107" s="1569"/>
      <c r="H107" s="1610"/>
      <c r="M107" s="1756" t="str">
        <f>+M106</f>
        <v>Yes</v>
      </c>
    </row>
    <row r="108" spans="3:15" s="1" customFormat="1" hidden="1" x14ac:dyDescent="0.3">
      <c r="C108" s="1443"/>
      <c r="D108" s="1444"/>
      <c r="E108" s="1570"/>
      <c r="F108" s="1570"/>
      <c r="G108" s="1570"/>
      <c r="H108" s="1611"/>
      <c r="M108" s="1756" t="str">
        <f>+M107</f>
        <v>Yes</v>
      </c>
    </row>
    <row r="109" spans="3:15" s="1" customFormat="1" hidden="1" x14ac:dyDescent="0.3">
      <c r="E109" s="1731"/>
      <c r="F109" s="1731"/>
      <c r="G109" s="1731"/>
      <c r="H109" s="1731"/>
      <c r="M109" s="1756" t="str">
        <f>IF(AND(C109=0,D109=0,E109=0,F109=0,G109=0,H109=0,I109=0),"No","Yes")</f>
        <v>No</v>
      </c>
    </row>
    <row r="110" spans="3:15" x14ac:dyDescent="0.3">
      <c r="C110" s="42" t="str">
        <f>+"("&amp;N110&amp;") "&amp;O110</f>
        <v>(iii) Details of shares held by the holding company:</v>
      </c>
      <c r="D110" s="41"/>
      <c r="E110" s="1210"/>
      <c r="F110" s="1210"/>
      <c r="G110" s="1210"/>
      <c r="H110" s="1678" t="str">
        <f>+H49</f>
        <v>Amount in Rs '00.</v>
      </c>
      <c r="M110" s="1756" t="str">
        <f>M111</f>
        <v>Yes</v>
      </c>
      <c r="N110" s="42" t="str">
        <f>+IF(M102="Yes",LOWER(ROMAN(_xlfn.ARABIC(N102)+1)),N102)</f>
        <v>iii</v>
      </c>
      <c r="O110" s="4" t="s">
        <v>3800</v>
      </c>
    </row>
    <row r="111" spans="3:15" x14ac:dyDescent="0.3">
      <c r="C111" s="2809" t="s">
        <v>20</v>
      </c>
      <c r="D111" s="2810"/>
      <c r="E111" s="2816" t="str">
        <f>BSCY</f>
        <v>As At 31st March 2025</v>
      </c>
      <c r="F111" s="2817"/>
      <c r="G111" s="2781" t="str">
        <f>BSPY</f>
        <v>As At 31st March 2024</v>
      </c>
      <c r="H111" s="2781"/>
      <c r="M111" s="1756" t="str">
        <f>M112</f>
        <v>Yes</v>
      </c>
    </row>
    <row r="112" spans="3:15" ht="30" x14ac:dyDescent="0.3">
      <c r="C112" s="2811"/>
      <c r="D112" s="2812"/>
      <c r="E112" s="2415" t="s">
        <v>125</v>
      </c>
      <c r="F112" s="2416" t="s">
        <v>273</v>
      </c>
      <c r="G112" s="2417" t="s">
        <v>125</v>
      </c>
      <c r="H112" s="2416" t="s">
        <v>273</v>
      </c>
      <c r="M112" s="1756" t="str">
        <f>IF(COUNTIF(M113:M138,"Yes")&lt;&gt;0,"Yes","No")</f>
        <v>Yes</v>
      </c>
    </row>
    <row r="113" spans="3:13" x14ac:dyDescent="0.3">
      <c r="C113" s="2386" t="s">
        <v>3175</v>
      </c>
      <c r="D113" s="536"/>
      <c r="E113" s="843">
        <f>'Qualitative Disclosures'!F104</f>
        <v>149999</v>
      </c>
      <c r="F113" s="2414">
        <f>'Qualitative Disclosures'!G104</f>
        <v>0.99999333333333329</v>
      </c>
      <c r="G113" s="843">
        <f>'Qualitative Disclosures'!H104</f>
        <v>149999</v>
      </c>
      <c r="H113" s="2414">
        <f>'Qualitative Disclosures'!I104</f>
        <v>0.99999333333333329</v>
      </c>
      <c r="M113" s="1756" t="str">
        <f>IF(AND(E113=0,F113=0,G113=0,H113=0),"No","Yes")</f>
        <v>Yes</v>
      </c>
    </row>
    <row r="114" spans="3:13" ht="33" hidden="1" x14ac:dyDescent="0.3">
      <c r="C114" s="116" t="str">
        <f>'Qualitative Disclosures'!C105&amp;", the Ultimate holding company"</f>
        <v>Merex Technology Inc, the Ultimate holding company</v>
      </c>
      <c r="D114" s="6"/>
      <c r="E114" s="1953">
        <f>'Qualitative Disclosures'!F105</f>
        <v>0</v>
      </c>
      <c r="F114" s="1953">
        <f>'Qualitative Disclosures'!G105</f>
        <v>0</v>
      </c>
      <c r="G114" s="1953">
        <f>'Qualitative Disclosures'!H105</f>
        <v>0</v>
      </c>
      <c r="H114" s="1953">
        <f>'Qualitative Disclosures'!I105</f>
        <v>0</v>
      </c>
      <c r="M114" s="1756" t="str">
        <f t="shared" ref="M114:M138" si="6">IF(AND(E114=0,F114=0,G114=0,H114=0),"No","Yes")</f>
        <v>No</v>
      </c>
    </row>
    <row r="115" spans="3:13" hidden="1" x14ac:dyDescent="0.3">
      <c r="C115" s="114" t="s">
        <v>1350</v>
      </c>
      <c r="D115" s="6"/>
      <c r="E115" s="831"/>
      <c r="F115" s="831"/>
      <c r="G115" s="831"/>
      <c r="H115" s="831"/>
      <c r="M115" s="1756" t="str">
        <f>IF(AND(M116="No",M117="No",M118="No",M119="No",M120="No"),"No","Yes")</f>
        <v>No</v>
      </c>
    </row>
    <row r="116" spans="3:13" ht="17.25" hidden="1" customHeight="1" x14ac:dyDescent="0.3">
      <c r="C116" s="287" t="str">
        <f>'Qualitative Disclosures'!C107</f>
        <v>Meridian IT Solutions PTE Ltd (Singapore)</v>
      </c>
      <c r="D116" s="6"/>
      <c r="E116" s="831">
        <f>'Qualitative Disclosures'!F107</f>
        <v>0</v>
      </c>
      <c r="F116" s="831">
        <f>'Qualitative Disclosures'!G107</f>
        <v>0</v>
      </c>
      <c r="G116" s="831">
        <f>'Qualitative Disclosures'!H107</f>
        <v>0</v>
      </c>
      <c r="H116" s="831">
        <f>'Qualitative Disclosures'!I107</f>
        <v>0</v>
      </c>
      <c r="M116" s="1756" t="str">
        <f t="shared" si="6"/>
        <v>No</v>
      </c>
    </row>
    <row r="117" spans="3:13" hidden="1" x14ac:dyDescent="0.3">
      <c r="C117" s="287" t="str">
        <f>'Qualitative Disclosures'!C108</f>
        <v>Meridian IT Pty Ltd (Australia)</v>
      </c>
      <c r="D117" s="6"/>
      <c r="E117" s="831">
        <f>'Qualitative Disclosures'!F108</f>
        <v>0</v>
      </c>
      <c r="F117" s="831">
        <f>'Qualitative Disclosures'!G108</f>
        <v>0</v>
      </c>
      <c r="G117" s="831">
        <f>'Qualitative Disclosures'!H108</f>
        <v>0</v>
      </c>
      <c r="H117" s="831">
        <f>'Qualitative Disclosures'!I108</f>
        <v>0</v>
      </c>
      <c r="M117" s="1756" t="str">
        <f t="shared" si="6"/>
        <v>No</v>
      </c>
    </row>
    <row r="118" spans="3:13" hidden="1" x14ac:dyDescent="0.3">
      <c r="C118" s="287" t="str">
        <f>'Qualitative Disclosures'!C109</f>
        <v>Meridian IT Ltd UK</v>
      </c>
      <c r="D118" s="6"/>
      <c r="E118" s="831">
        <f>'Qualitative Disclosures'!F109</f>
        <v>0</v>
      </c>
      <c r="F118" s="831">
        <f>'Qualitative Disclosures'!G109</f>
        <v>0</v>
      </c>
      <c r="G118" s="831">
        <f>'Qualitative Disclosures'!H109</f>
        <v>0</v>
      </c>
      <c r="H118" s="831">
        <f>'Qualitative Disclosures'!I109</f>
        <v>0</v>
      </c>
      <c r="M118" s="1756" t="str">
        <f t="shared" si="6"/>
        <v>No</v>
      </c>
    </row>
    <row r="119" spans="3:13" hidden="1" x14ac:dyDescent="0.3">
      <c r="C119" s="287" t="str">
        <f>'Qualitative Disclosures'!C110</f>
        <v>&lt;Name&gt;</v>
      </c>
      <c r="D119" s="6"/>
      <c r="E119" s="831">
        <f>'Qualitative Disclosures'!F110</f>
        <v>0</v>
      </c>
      <c r="F119" s="831">
        <f>'Qualitative Disclosures'!G110</f>
        <v>0</v>
      </c>
      <c r="G119" s="831">
        <f>'Qualitative Disclosures'!H110</f>
        <v>0</v>
      </c>
      <c r="H119" s="831">
        <f>'Qualitative Disclosures'!I110</f>
        <v>0</v>
      </c>
      <c r="M119" s="1756" t="str">
        <f t="shared" si="6"/>
        <v>No</v>
      </c>
    </row>
    <row r="120" spans="3:13" hidden="1" x14ac:dyDescent="0.3">
      <c r="C120" s="287" t="str">
        <f>'Qualitative Disclosures'!C111</f>
        <v>&lt;Name&gt;</v>
      </c>
      <c r="D120" s="6"/>
      <c r="E120" s="1953">
        <f>'Qualitative Disclosures'!F111</f>
        <v>0</v>
      </c>
      <c r="F120" s="1953">
        <f>'Qualitative Disclosures'!G111</f>
        <v>0</v>
      </c>
      <c r="G120" s="1953">
        <f>'Qualitative Disclosures'!H111</f>
        <v>0</v>
      </c>
      <c r="H120" s="1953">
        <f>'Qualitative Disclosures'!I111</f>
        <v>0</v>
      </c>
      <c r="M120" s="1756" t="str">
        <f t="shared" si="6"/>
        <v>No</v>
      </c>
    </row>
    <row r="121" spans="3:13" hidden="1" x14ac:dyDescent="0.3">
      <c r="C121" s="116" t="s">
        <v>1351</v>
      </c>
      <c r="D121" s="6"/>
      <c r="E121" s="831"/>
      <c r="F121" s="831"/>
      <c r="G121" s="831"/>
      <c r="H121" s="831"/>
      <c r="M121" s="1756" t="str">
        <f>IF(AND(M122="No",M123="No",M124="No",M125="No",M126="No"),"No","Yes")</f>
        <v>No</v>
      </c>
    </row>
    <row r="122" spans="3:13" hidden="1" x14ac:dyDescent="0.3">
      <c r="C122" s="287" t="str">
        <f>'Qualitative Disclosures'!C113</f>
        <v>&lt;Name&gt;</v>
      </c>
      <c r="D122" s="6"/>
      <c r="E122" s="831">
        <f>'Qualitative Disclosures'!F113</f>
        <v>0</v>
      </c>
      <c r="F122" s="831">
        <f>'Qualitative Disclosures'!G113</f>
        <v>0</v>
      </c>
      <c r="G122" s="831">
        <f>'Qualitative Disclosures'!H113</f>
        <v>0</v>
      </c>
      <c r="H122" s="831">
        <f>'Qualitative Disclosures'!I113</f>
        <v>0</v>
      </c>
      <c r="M122" s="1756" t="str">
        <f t="shared" si="6"/>
        <v>No</v>
      </c>
    </row>
    <row r="123" spans="3:13" hidden="1" x14ac:dyDescent="0.3">
      <c r="C123" s="287" t="str">
        <f>'Qualitative Disclosures'!C114</f>
        <v>&lt;Name&gt;</v>
      </c>
      <c r="D123" s="6"/>
      <c r="E123" s="831">
        <f>'Qualitative Disclosures'!F114</f>
        <v>0</v>
      </c>
      <c r="F123" s="831">
        <f>'Qualitative Disclosures'!G114</f>
        <v>0</v>
      </c>
      <c r="G123" s="831">
        <f>'Qualitative Disclosures'!H114</f>
        <v>0</v>
      </c>
      <c r="H123" s="831">
        <f>'Qualitative Disclosures'!I114</f>
        <v>0</v>
      </c>
      <c r="M123" s="1756" t="str">
        <f t="shared" si="6"/>
        <v>No</v>
      </c>
    </row>
    <row r="124" spans="3:13" hidden="1" x14ac:dyDescent="0.3">
      <c r="C124" s="287" t="str">
        <f>'Qualitative Disclosures'!C115</f>
        <v>&lt;Name&gt;</v>
      </c>
      <c r="D124" s="6"/>
      <c r="E124" s="831">
        <f>'Qualitative Disclosures'!F115</f>
        <v>0</v>
      </c>
      <c r="F124" s="831">
        <f>'Qualitative Disclosures'!G115</f>
        <v>0</v>
      </c>
      <c r="G124" s="831">
        <f>'Qualitative Disclosures'!H115</f>
        <v>0</v>
      </c>
      <c r="H124" s="831">
        <f>'Qualitative Disclosures'!I115</f>
        <v>0</v>
      </c>
      <c r="M124" s="1756" t="str">
        <f t="shared" si="6"/>
        <v>No</v>
      </c>
    </row>
    <row r="125" spans="3:13" hidden="1" x14ac:dyDescent="0.3">
      <c r="C125" s="287" t="str">
        <f>'Qualitative Disclosures'!C116</f>
        <v>&lt;Name&gt;</v>
      </c>
      <c r="D125" s="6"/>
      <c r="E125" s="831">
        <f>'Qualitative Disclosures'!F116</f>
        <v>0</v>
      </c>
      <c r="F125" s="831">
        <f>'Qualitative Disclosures'!G116</f>
        <v>0</v>
      </c>
      <c r="G125" s="831">
        <f>'Qualitative Disclosures'!H116</f>
        <v>0</v>
      </c>
      <c r="H125" s="831">
        <f>'Qualitative Disclosures'!I116</f>
        <v>0</v>
      </c>
      <c r="M125" s="1756" t="str">
        <f t="shared" si="6"/>
        <v>No</v>
      </c>
    </row>
    <row r="126" spans="3:13" hidden="1" x14ac:dyDescent="0.3">
      <c r="C126" s="287" t="str">
        <f>'Qualitative Disclosures'!C117</f>
        <v>&lt;Name&gt;</v>
      </c>
      <c r="D126" s="6"/>
      <c r="E126" s="1953">
        <f>'Qualitative Disclosures'!F117</f>
        <v>0</v>
      </c>
      <c r="F126" s="1953">
        <f>'Qualitative Disclosures'!G117</f>
        <v>0</v>
      </c>
      <c r="G126" s="1953">
        <f>'Qualitative Disclosures'!H117</f>
        <v>0</v>
      </c>
      <c r="H126" s="1953">
        <f>'Qualitative Disclosures'!I117</f>
        <v>0</v>
      </c>
      <c r="M126" s="1756" t="str">
        <f t="shared" si="6"/>
        <v>No</v>
      </c>
    </row>
    <row r="127" spans="3:13" ht="30" hidden="1" x14ac:dyDescent="0.3">
      <c r="C127" s="114" t="s">
        <v>1352</v>
      </c>
      <c r="D127" s="6"/>
      <c r="E127" s="831"/>
      <c r="F127" s="831"/>
      <c r="G127" s="831"/>
      <c r="H127" s="831"/>
      <c r="M127" s="1756" t="str">
        <f>IF(AND(M128="No",M129="No",M130="No",M131="No",M132="No"),"No","Yes")</f>
        <v>No</v>
      </c>
    </row>
    <row r="128" spans="3:13" hidden="1" x14ac:dyDescent="0.3">
      <c r="C128" s="287" t="str">
        <f>'Qualitative Disclosures'!C119</f>
        <v>Meridian Group International Inc. (USA)</v>
      </c>
      <c r="D128" s="6"/>
      <c r="E128" s="831">
        <f>'Qualitative Disclosures'!F119</f>
        <v>0</v>
      </c>
      <c r="F128" s="831">
        <f>'Qualitative Disclosures'!G119</f>
        <v>0</v>
      </c>
      <c r="G128" s="831">
        <f>'Qualitative Disclosures'!H119</f>
        <v>0</v>
      </c>
      <c r="H128" s="831">
        <f>'Qualitative Disclosures'!I119</f>
        <v>0</v>
      </c>
      <c r="M128" s="1756" t="str">
        <f t="shared" si="6"/>
        <v>No</v>
      </c>
    </row>
    <row r="129" spans="3:15" hidden="1" x14ac:dyDescent="0.3">
      <c r="C129" s="287" t="str">
        <f>'Qualitative Disclosures'!C120</f>
        <v>Meridian IT Asia Pacific Pty Ltd</v>
      </c>
      <c r="D129" s="6"/>
      <c r="E129" s="831">
        <f>'Qualitative Disclosures'!F120</f>
        <v>0</v>
      </c>
      <c r="F129" s="831">
        <f>'Qualitative Disclosures'!G120</f>
        <v>0</v>
      </c>
      <c r="G129" s="831">
        <f>'Qualitative Disclosures'!H120</f>
        <v>0</v>
      </c>
      <c r="H129" s="831">
        <f>'Qualitative Disclosures'!I120</f>
        <v>0</v>
      </c>
      <c r="M129" s="1756" t="str">
        <f t="shared" si="6"/>
        <v>No</v>
      </c>
    </row>
    <row r="130" spans="3:15" hidden="1" x14ac:dyDescent="0.3">
      <c r="C130" s="287" t="str">
        <f>'Qualitative Disclosures'!C121</f>
        <v>Concat AG IT Solutions (Germany)</v>
      </c>
      <c r="D130" s="6"/>
      <c r="E130" s="831">
        <f>'Qualitative Disclosures'!F121</f>
        <v>0</v>
      </c>
      <c r="F130" s="831">
        <f>'Qualitative Disclosures'!G121</f>
        <v>0</v>
      </c>
      <c r="G130" s="831">
        <f>'Qualitative Disclosures'!H121</f>
        <v>0</v>
      </c>
      <c r="H130" s="831">
        <f>'Qualitative Disclosures'!I121</f>
        <v>0</v>
      </c>
      <c r="M130" s="1756" t="str">
        <f t="shared" si="6"/>
        <v>No</v>
      </c>
    </row>
    <row r="131" spans="3:15" hidden="1" x14ac:dyDescent="0.3">
      <c r="C131" s="287" t="str">
        <f>'Qualitative Disclosures'!C122</f>
        <v>Meridian Leasing Corporation (USA)</v>
      </c>
      <c r="D131" s="6"/>
      <c r="E131" s="831">
        <f>'Qualitative Disclosures'!F122</f>
        <v>0</v>
      </c>
      <c r="F131" s="831">
        <f>'Qualitative Disclosures'!G122</f>
        <v>0</v>
      </c>
      <c r="G131" s="831">
        <f>'Qualitative Disclosures'!H122</f>
        <v>0</v>
      </c>
      <c r="H131" s="831">
        <f>'Qualitative Disclosures'!I122</f>
        <v>0</v>
      </c>
      <c r="M131" s="1756" t="str">
        <f t="shared" si="6"/>
        <v>No</v>
      </c>
    </row>
    <row r="132" spans="3:15" hidden="1" x14ac:dyDescent="0.3">
      <c r="C132" s="1446" t="str">
        <f>'Qualitative Disclosures'!C123</f>
        <v>&lt;Name&gt;</v>
      </c>
      <c r="D132" s="1441"/>
      <c r="E132" s="1404">
        <f>'Qualitative Disclosures'!F123</f>
        <v>0</v>
      </c>
      <c r="F132" s="1404">
        <f>'Qualitative Disclosures'!G123</f>
        <v>0</v>
      </c>
      <c r="G132" s="1404">
        <f>'Qualitative Disclosures'!H123</f>
        <v>0</v>
      </c>
      <c r="H132" s="1404">
        <f>'Qualitative Disclosures'!I123</f>
        <v>0</v>
      </c>
      <c r="M132" s="1756" t="str">
        <f t="shared" si="6"/>
        <v>No</v>
      </c>
    </row>
    <row r="133" spans="3:15" hidden="1" x14ac:dyDescent="0.3">
      <c r="C133" s="1445" t="s">
        <v>1353</v>
      </c>
      <c r="D133" s="1441"/>
      <c r="E133" s="1403"/>
      <c r="F133" s="1403"/>
      <c r="G133" s="1403"/>
      <c r="H133" s="1403"/>
      <c r="M133" s="1756" t="str">
        <f>IF(AND(M134="No",M135="No",M136="No",M137="No",M138="No"),"No","Yes")</f>
        <v>No</v>
      </c>
    </row>
    <row r="134" spans="3:15" hidden="1" x14ac:dyDescent="0.3">
      <c r="C134" s="1446" t="str">
        <f>'Qualitative Disclosures'!C125</f>
        <v>&lt;Name&gt;</v>
      </c>
      <c r="D134" s="1441"/>
      <c r="E134" s="1403">
        <f>'Qualitative Disclosures'!F125</f>
        <v>0</v>
      </c>
      <c r="F134" s="1403">
        <f>'Qualitative Disclosures'!G125</f>
        <v>0</v>
      </c>
      <c r="G134" s="1403">
        <f>'Qualitative Disclosures'!H125</f>
        <v>0</v>
      </c>
      <c r="H134" s="1403">
        <f>'Qualitative Disclosures'!I125</f>
        <v>0</v>
      </c>
      <c r="M134" s="1756" t="str">
        <f t="shared" si="6"/>
        <v>No</v>
      </c>
    </row>
    <row r="135" spans="3:15" hidden="1" x14ac:dyDescent="0.3">
      <c r="C135" s="1446" t="str">
        <f>'Qualitative Disclosures'!C126</f>
        <v>&lt;Name&gt;</v>
      </c>
      <c r="D135" s="1441"/>
      <c r="E135" s="1403">
        <f>'Qualitative Disclosures'!F126</f>
        <v>0</v>
      </c>
      <c r="F135" s="1403">
        <f>'Qualitative Disclosures'!G126</f>
        <v>0</v>
      </c>
      <c r="G135" s="1403">
        <f>'Qualitative Disclosures'!H126</f>
        <v>0</v>
      </c>
      <c r="H135" s="1403">
        <f>'Qualitative Disclosures'!I126</f>
        <v>0</v>
      </c>
      <c r="M135" s="1756" t="str">
        <f t="shared" si="6"/>
        <v>No</v>
      </c>
    </row>
    <row r="136" spans="3:15" hidden="1" x14ac:dyDescent="0.3">
      <c r="C136" s="1446" t="str">
        <f>'Qualitative Disclosures'!C127</f>
        <v>&lt;Name&gt;</v>
      </c>
      <c r="D136" s="1441"/>
      <c r="E136" s="1403">
        <f>'Qualitative Disclosures'!F127</f>
        <v>0</v>
      </c>
      <c r="F136" s="1403">
        <f>'Qualitative Disclosures'!G127</f>
        <v>0</v>
      </c>
      <c r="G136" s="1403">
        <f>'Qualitative Disclosures'!H127</f>
        <v>0</v>
      </c>
      <c r="H136" s="1403">
        <f>'Qualitative Disclosures'!I127</f>
        <v>0</v>
      </c>
      <c r="M136" s="1756" t="str">
        <f t="shared" si="6"/>
        <v>No</v>
      </c>
    </row>
    <row r="137" spans="3:15" hidden="1" x14ac:dyDescent="0.3">
      <c r="C137" s="1446" t="str">
        <f>'Qualitative Disclosures'!C128</f>
        <v>&lt;Name&gt;</v>
      </c>
      <c r="D137" s="1441"/>
      <c r="E137" s="1403">
        <f>'Qualitative Disclosures'!F128</f>
        <v>0</v>
      </c>
      <c r="F137" s="1403">
        <f>'Qualitative Disclosures'!G128</f>
        <v>0</v>
      </c>
      <c r="G137" s="1403">
        <f>'Qualitative Disclosures'!H128</f>
        <v>0</v>
      </c>
      <c r="H137" s="1403">
        <f>'Qualitative Disclosures'!I128</f>
        <v>0</v>
      </c>
      <c r="M137" s="1756" t="str">
        <f t="shared" si="6"/>
        <v>No</v>
      </c>
    </row>
    <row r="138" spans="3:15" hidden="1" x14ac:dyDescent="0.3">
      <c r="C138" s="1446" t="str">
        <f>'Qualitative Disclosures'!C129</f>
        <v>&lt;Name&gt;</v>
      </c>
      <c r="D138" s="1441"/>
      <c r="E138" s="1403">
        <f>'Qualitative Disclosures'!F129</f>
        <v>0</v>
      </c>
      <c r="F138" s="1403">
        <f>'Qualitative Disclosures'!G129</f>
        <v>0</v>
      </c>
      <c r="G138" s="1403">
        <f>'Qualitative Disclosures'!H129</f>
        <v>0</v>
      </c>
      <c r="H138" s="1403">
        <f>'Qualitative Disclosures'!I129</f>
        <v>0</v>
      </c>
      <c r="M138" s="1756" t="str">
        <f t="shared" si="6"/>
        <v>No</v>
      </c>
    </row>
    <row r="139" spans="3:15" x14ac:dyDescent="0.3">
      <c r="C139" s="1732"/>
      <c r="D139" s="529"/>
      <c r="E139" s="1598"/>
      <c r="F139" s="1598"/>
      <c r="G139" s="1598"/>
      <c r="H139" s="1598"/>
      <c r="M139" s="1756" t="str">
        <f>M110</f>
        <v>Yes</v>
      </c>
    </row>
    <row r="140" spans="3:15" x14ac:dyDescent="0.3">
      <c r="C140" s="42" t="str">
        <f>+"("&amp;N140&amp;") "&amp;O140</f>
        <v>(iv) Details of shares held by each shareholder holding more than 5% shares:</v>
      </c>
      <c r="D140" s="41"/>
      <c r="E140" s="1210"/>
      <c r="F140" s="1210"/>
      <c r="G140" s="1210"/>
      <c r="H140" s="1678" t="str">
        <f>+H110</f>
        <v>Amount in Rs '00.</v>
      </c>
      <c r="M140" s="1756" t="str">
        <f>M141</f>
        <v>Yes</v>
      </c>
      <c r="N140" s="42" t="str">
        <f>+IF(M110="Yes",LOWER(ROMAN(_xlfn.ARABIC(N110)+1)),N110)</f>
        <v>iv</v>
      </c>
      <c r="O140" s="1" t="s">
        <v>1852</v>
      </c>
    </row>
    <row r="141" spans="3:15" x14ac:dyDescent="0.3">
      <c r="C141" s="2836" t="s">
        <v>444</v>
      </c>
      <c r="D141" s="2836"/>
      <c r="E141" s="2835" t="str">
        <f>BSCY</f>
        <v>As At 31st March 2025</v>
      </c>
      <c r="F141" s="2837"/>
      <c r="G141" s="2835" t="str">
        <f>BSPY</f>
        <v>As At 31st March 2024</v>
      </c>
      <c r="H141" s="2817"/>
      <c r="M141" s="1756" t="str">
        <f>M142</f>
        <v>Yes</v>
      </c>
    </row>
    <row r="142" spans="3:15" ht="45" x14ac:dyDescent="0.3">
      <c r="C142" s="2836"/>
      <c r="D142" s="2836"/>
      <c r="E142" s="2405" t="s">
        <v>446</v>
      </c>
      <c r="F142" s="2405" t="s">
        <v>134</v>
      </c>
      <c r="G142" s="2405" t="s">
        <v>446</v>
      </c>
      <c r="H142" s="2405" t="s">
        <v>134</v>
      </c>
      <c r="M142" s="1756" t="str">
        <f>IF(COUNTIF(M143:M247,"Yes")&lt;&gt;0,"Yes","No")</f>
        <v>Yes</v>
      </c>
    </row>
    <row r="143" spans="3:15" x14ac:dyDescent="0.3">
      <c r="C143" s="116" t="s">
        <v>124</v>
      </c>
      <c r="D143" s="3"/>
      <c r="E143" s="831"/>
      <c r="F143" s="831"/>
      <c r="G143" s="831"/>
      <c r="H143" s="831"/>
      <c r="M143" s="1756" t="str">
        <f>IF(COUNTIF(M144:M163,"Yes")&lt;&gt;0,"Yes","No")</f>
        <v>Yes</v>
      </c>
    </row>
    <row r="144" spans="3:15" x14ac:dyDescent="0.3">
      <c r="C144" s="2418" t="str">
        <f>'Qualitative Disclosures'!C136</f>
        <v>Meridian IT Asia Pacific Pty Ltd</v>
      </c>
      <c r="D144" s="261"/>
      <c r="E144" s="831">
        <f>'Qualitative Disclosures'!F136</f>
        <v>149999</v>
      </c>
      <c r="F144" s="2419">
        <f>+'Qualitative Disclosures'!G136</f>
        <v>0.99999333333333329</v>
      </c>
      <c r="G144" s="831">
        <f>'Qualitative Disclosures'!H136</f>
        <v>149999</v>
      </c>
      <c r="H144" s="2419">
        <f>'Qualitative Disclosures'!I136</f>
        <v>0.99999333333333329</v>
      </c>
      <c r="M144" s="1756" t="str">
        <f>IF(AND(E144=0,F144=0,G144=0,H144=0),"No","Yes")</f>
        <v>Yes</v>
      </c>
    </row>
    <row r="145" spans="3:13" hidden="1" x14ac:dyDescent="0.3">
      <c r="C145" s="1447">
        <f>'Qualitative Disclosures'!C137</f>
        <v>0</v>
      </c>
      <c r="D145" s="1448"/>
      <c r="E145" s="1403">
        <f>'Qualitative Disclosures'!F137</f>
        <v>0</v>
      </c>
      <c r="F145" s="1403">
        <f>'Qualitative Disclosures'!G137</f>
        <v>0</v>
      </c>
      <c r="G145" s="1403">
        <f>'Qualitative Disclosures'!H137</f>
        <v>0</v>
      </c>
      <c r="H145" s="1403">
        <f>'Qualitative Disclosures'!I137</f>
        <v>0</v>
      </c>
      <c r="M145" s="1756" t="str">
        <f>IF(AND(E145=0,F145=0,G145=0,H145=0),"No","Yes")</f>
        <v>No</v>
      </c>
    </row>
    <row r="146" spans="3:13" s="1" customFormat="1" hidden="1" x14ac:dyDescent="0.3">
      <c r="C146" s="1447" t="str">
        <f>'Qualitative Disclosures'!C138</f>
        <v>Shareholder 3</v>
      </c>
      <c r="D146" s="1440"/>
      <c r="E146" s="1438">
        <f>'Qualitative Disclosures'!F138</f>
        <v>0</v>
      </c>
      <c r="F146" s="1438">
        <f>'Qualitative Disclosures'!G138</f>
        <v>0</v>
      </c>
      <c r="G146" s="1438">
        <f>'Qualitative Disclosures'!H138</f>
        <v>0</v>
      </c>
      <c r="H146" s="1438">
        <f>'Qualitative Disclosures'!I138</f>
        <v>0</v>
      </c>
      <c r="M146" s="1756" t="str">
        <f t="shared" ref="M146:M205" si="7">IF(AND(E146=0,F146=0,G146=0,H146=0),"No","Yes")</f>
        <v>No</v>
      </c>
    </row>
    <row r="147" spans="3:13" s="1" customFormat="1" hidden="1" x14ac:dyDescent="0.3">
      <c r="C147" s="1447" t="str">
        <f>'Qualitative Disclosures'!C139</f>
        <v>Shareholder 4</v>
      </c>
      <c r="D147" s="1440"/>
      <c r="E147" s="1438">
        <f>'Qualitative Disclosures'!F139</f>
        <v>0</v>
      </c>
      <c r="F147" s="1438">
        <f>'Qualitative Disclosures'!G139</f>
        <v>0</v>
      </c>
      <c r="G147" s="1438">
        <f>'Qualitative Disclosures'!H139</f>
        <v>0</v>
      </c>
      <c r="H147" s="1438">
        <f>'Qualitative Disclosures'!I139</f>
        <v>0</v>
      </c>
      <c r="M147" s="1756" t="str">
        <f t="shared" si="7"/>
        <v>No</v>
      </c>
    </row>
    <row r="148" spans="3:13" s="1" customFormat="1" hidden="1" x14ac:dyDescent="0.3">
      <c r="C148" s="1447" t="str">
        <f>'Qualitative Disclosures'!C140</f>
        <v>Shareholder 5</v>
      </c>
      <c r="D148" s="1440"/>
      <c r="E148" s="1438">
        <f>'Qualitative Disclosures'!F140</f>
        <v>0</v>
      </c>
      <c r="F148" s="1438">
        <f>'Qualitative Disclosures'!G140</f>
        <v>0</v>
      </c>
      <c r="G148" s="1438">
        <f>'Qualitative Disclosures'!H140</f>
        <v>0</v>
      </c>
      <c r="H148" s="1438">
        <f>'Qualitative Disclosures'!I140</f>
        <v>0</v>
      </c>
      <c r="M148" s="1756" t="str">
        <f t="shared" si="7"/>
        <v>No</v>
      </c>
    </row>
    <row r="149" spans="3:13" s="1" customFormat="1" hidden="1" x14ac:dyDescent="0.3">
      <c r="C149" s="1447" t="str">
        <f>'Qualitative Disclosures'!C141</f>
        <v>Shareholder 6</v>
      </c>
      <c r="D149" s="1440"/>
      <c r="E149" s="1438">
        <f>'Qualitative Disclosures'!F141</f>
        <v>0</v>
      </c>
      <c r="F149" s="1438">
        <f>'Qualitative Disclosures'!G141</f>
        <v>0</v>
      </c>
      <c r="G149" s="1438">
        <f>'Qualitative Disclosures'!H141</f>
        <v>0</v>
      </c>
      <c r="H149" s="1438">
        <f>'Qualitative Disclosures'!I141</f>
        <v>0</v>
      </c>
      <c r="M149" s="1756" t="str">
        <f t="shared" si="7"/>
        <v>No</v>
      </c>
    </row>
    <row r="150" spans="3:13" s="1" customFormat="1" hidden="1" x14ac:dyDescent="0.3">
      <c r="C150" s="1447" t="str">
        <f>'Qualitative Disclosures'!C142</f>
        <v>Shareholder 7</v>
      </c>
      <c r="D150" s="1440"/>
      <c r="E150" s="1438">
        <f>'Qualitative Disclosures'!F142</f>
        <v>0</v>
      </c>
      <c r="F150" s="1438">
        <f>'Qualitative Disclosures'!G142</f>
        <v>0</v>
      </c>
      <c r="G150" s="1438">
        <f>'Qualitative Disclosures'!H142</f>
        <v>0</v>
      </c>
      <c r="H150" s="1438">
        <f>'Qualitative Disclosures'!I142</f>
        <v>0</v>
      </c>
      <c r="M150" s="1756" t="str">
        <f t="shared" si="7"/>
        <v>No</v>
      </c>
    </row>
    <row r="151" spans="3:13" s="1" customFormat="1" hidden="1" x14ac:dyDescent="0.3">
      <c r="C151" s="1447" t="str">
        <f>'Qualitative Disclosures'!C143</f>
        <v>Shareholder 8</v>
      </c>
      <c r="D151" s="1440"/>
      <c r="E151" s="1438">
        <f>'Qualitative Disclosures'!F143</f>
        <v>0</v>
      </c>
      <c r="F151" s="1438">
        <f>'Qualitative Disclosures'!G143</f>
        <v>0</v>
      </c>
      <c r="G151" s="1438">
        <f>'Qualitative Disclosures'!H143</f>
        <v>0</v>
      </c>
      <c r="H151" s="1438">
        <f>'Qualitative Disclosures'!I143</f>
        <v>0</v>
      </c>
      <c r="M151" s="1756" t="str">
        <f t="shared" si="7"/>
        <v>No</v>
      </c>
    </row>
    <row r="152" spans="3:13" s="1" customFormat="1" hidden="1" x14ac:dyDescent="0.3">
      <c r="C152" s="1447" t="str">
        <f>'Qualitative Disclosures'!C144</f>
        <v>Shareholder 9</v>
      </c>
      <c r="D152" s="1440"/>
      <c r="E152" s="1438">
        <f>'Qualitative Disclosures'!F144</f>
        <v>0</v>
      </c>
      <c r="F152" s="1438">
        <f>'Qualitative Disclosures'!G144</f>
        <v>0</v>
      </c>
      <c r="G152" s="1438">
        <f>'Qualitative Disclosures'!H144</f>
        <v>0</v>
      </c>
      <c r="H152" s="1438">
        <f>'Qualitative Disclosures'!I144</f>
        <v>0</v>
      </c>
      <c r="M152" s="1756" t="str">
        <f t="shared" si="7"/>
        <v>No</v>
      </c>
    </row>
    <row r="153" spans="3:13" s="1" customFormat="1" hidden="1" x14ac:dyDescent="0.3">
      <c r="C153" s="1447" t="str">
        <f>'Qualitative Disclosures'!C145</f>
        <v>Shareholder 10</v>
      </c>
      <c r="D153" s="1440"/>
      <c r="E153" s="1438">
        <f>'Qualitative Disclosures'!F145</f>
        <v>0</v>
      </c>
      <c r="F153" s="1438">
        <f>'Qualitative Disclosures'!G145</f>
        <v>0</v>
      </c>
      <c r="G153" s="1438">
        <f>'Qualitative Disclosures'!H145</f>
        <v>0</v>
      </c>
      <c r="H153" s="1438">
        <f>'Qualitative Disclosures'!I145</f>
        <v>0</v>
      </c>
      <c r="M153" s="1756" t="str">
        <f t="shared" si="7"/>
        <v>No</v>
      </c>
    </row>
    <row r="154" spans="3:13" s="1" customFormat="1" hidden="1" x14ac:dyDescent="0.3">
      <c r="C154" s="1447" t="str">
        <f>'Qualitative Disclosures'!C146</f>
        <v>Shareholder 11</v>
      </c>
      <c r="D154" s="1440"/>
      <c r="E154" s="1438">
        <f>'Qualitative Disclosures'!F146</f>
        <v>0</v>
      </c>
      <c r="F154" s="1438">
        <f>'Qualitative Disclosures'!G146</f>
        <v>0</v>
      </c>
      <c r="G154" s="1438">
        <f>'Qualitative Disclosures'!H146</f>
        <v>0</v>
      </c>
      <c r="H154" s="1438">
        <f>'Qualitative Disclosures'!I146</f>
        <v>0</v>
      </c>
      <c r="M154" s="1756" t="str">
        <f t="shared" si="7"/>
        <v>No</v>
      </c>
    </row>
    <row r="155" spans="3:13" s="1" customFormat="1" hidden="1" x14ac:dyDescent="0.3">
      <c r="C155" s="1447" t="str">
        <f>'Qualitative Disclosures'!C147</f>
        <v>Shareholder 12</v>
      </c>
      <c r="D155" s="1440"/>
      <c r="E155" s="1571">
        <f>'Qualitative Disclosures'!F147</f>
        <v>0</v>
      </c>
      <c r="F155" s="1571">
        <f>'Qualitative Disclosures'!G147</f>
        <v>0</v>
      </c>
      <c r="G155" s="1571">
        <f>'Qualitative Disclosures'!H147</f>
        <v>0</v>
      </c>
      <c r="H155" s="1571">
        <f>'Qualitative Disclosures'!I147</f>
        <v>0</v>
      </c>
      <c r="M155" s="1756" t="str">
        <f t="shared" si="7"/>
        <v>No</v>
      </c>
    </row>
    <row r="156" spans="3:13" s="1" customFormat="1" hidden="1" x14ac:dyDescent="0.3">
      <c r="C156" s="1447" t="str">
        <f>'Qualitative Disclosures'!C148</f>
        <v>Shareholder 13</v>
      </c>
      <c r="D156" s="1440"/>
      <c r="E156" s="1571">
        <f>'Qualitative Disclosures'!F148</f>
        <v>0</v>
      </c>
      <c r="F156" s="1571">
        <f>'Qualitative Disclosures'!G148</f>
        <v>0</v>
      </c>
      <c r="G156" s="1571">
        <f>'Qualitative Disclosures'!H148</f>
        <v>0</v>
      </c>
      <c r="H156" s="1571">
        <f>'Qualitative Disclosures'!I148</f>
        <v>0</v>
      </c>
      <c r="M156" s="1756" t="str">
        <f t="shared" si="7"/>
        <v>No</v>
      </c>
    </row>
    <row r="157" spans="3:13" s="1" customFormat="1" hidden="1" x14ac:dyDescent="0.3">
      <c r="C157" s="1447" t="str">
        <f>'Qualitative Disclosures'!C149</f>
        <v>Shareholder 14</v>
      </c>
      <c r="D157" s="1440"/>
      <c r="E157" s="1571">
        <f>'Qualitative Disclosures'!F149</f>
        <v>0</v>
      </c>
      <c r="F157" s="1571">
        <f>'Qualitative Disclosures'!G149</f>
        <v>0</v>
      </c>
      <c r="G157" s="1571">
        <f>'Qualitative Disclosures'!H149</f>
        <v>0</v>
      </c>
      <c r="H157" s="1571">
        <f>'Qualitative Disclosures'!I149</f>
        <v>0</v>
      </c>
      <c r="M157" s="1756" t="str">
        <f t="shared" si="7"/>
        <v>No</v>
      </c>
    </row>
    <row r="158" spans="3:13" s="1" customFormat="1" hidden="1" x14ac:dyDescent="0.3">
      <c r="C158" s="1447" t="str">
        <f>'Qualitative Disclosures'!C150</f>
        <v>Shareholder 15</v>
      </c>
      <c r="D158" s="1440"/>
      <c r="E158" s="1571">
        <f>'Qualitative Disclosures'!F150</f>
        <v>0</v>
      </c>
      <c r="F158" s="1571">
        <f>'Qualitative Disclosures'!G150</f>
        <v>0</v>
      </c>
      <c r="G158" s="1571">
        <f>'Qualitative Disclosures'!H150</f>
        <v>0</v>
      </c>
      <c r="H158" s="1571">
        <f>'Qualitative Disclosures'!I150</f>
        <v>0</v>
      </c>
      <c r="M158" s="1756" t="str">
        <f t="shared" si="7"/>
        <v>No</v>
      </c>
    </row>
    <row r="159" spans="3:13" s="1" customFormat="1" hidden="1" x14ac:dyDescent="0.3">
      <c r="C159" s="1447" t="str">
        <f>'Qualitative Disclosures'!C151</f>
        <v>Shareholder 16</v>
      </c>
      <c r="D159" s="1440"/>
      <c r="E159" s="1571">
        <f>'Qualitative Disclosures'!F151</f>
        <v>0</v>
      </c>
      <c r="F159" s="1571">
        <f>'Qualitative Disclosures'!G151</f>
        <v>0</v>
      </c>
      <c r="G159" s="1571">
        <f>'Qualitative Disclosures'!H151</f>
        <v>0</v>
      </c>
      <c r="H159" s="1571">
        <f>'Qualitative Disclosures'!I151</f>
        <v>0</v>
      </c>
      <c r="M159" s="1756" t="str">
        <f t="shared" si="7"/>
        <v>No</v>
      </c>
    </row>
    <row r="160" spans="3:13" s="1" customFormat="1" hidden="1" x14ac:dyDescent="0.3">
      <c r="C160" s="1447" t="str">
        <f>'Qualitative Disclosures'!C152</f>
        <v>Shareholder 17</v>
      </c>
      <c r="D160" s="1440"/>
      <c r="E160" s="1571">
        <f>'Qualitative Disclosures'!F152</f>
        <v>0</v>
      </c>
      <c r="F160" s="1571">
        <f>'Qualitative Disclosures'!G152</f>
        <v>0</v>
      </c>
      <c r="G160" s="1571">
        <f>'Qualitative Disclosures'!H152</f>
        <v>0</v>
      </c>
      <c r="H160" s="1571">
        <f>'Qualitative Disclosures'!I152</f>
        <v>0</v>
      </c>
      <c r="M160" s="1756" t="str">
        <f t="shared" si="7"/>
        <v>No</v>
      </c>
    </row>
    <row r="161" spans="3:13" s="1" customFormat="1" hidden="1" x14ac:dyDescent="0.3">
      <c r="C161" s="1447" t="str">
        <f>'Qualitative Disclosures'!C153</f>
        <v>Shareholder 18</v>
      </c>
      <c r="D161" s="1440"/>
      <c r="E161" s="1571">
        <f>'Qualitative Disclosures'!F153</f>
        <v>0</v>
      </c>
      <c r="F161" s="1571">
        <f>'Qualitative Disclosures'!G153</f>
        <v>0</v>
      </c>
      <c r="G161" s="1571">
        <f>'Qualitative Disclosures'!H153</f>
        <v>0</v>
      </c>
      <c r="H161" s="1571">
        <f>'Qualitative Disclosures'!I153</f>
        <v>0</v>
      </c>
      <c r="M161" s="1756" t="str">
        <f t="shared" si="7"/>
        <v>No</v>
      </c>
    </row>
    <row r="162" spans="3:13" s="1" customFormat="1" hidden="1" x14ac:dyDescent="0.3">
      <c r="C162" s="1447" t="str">
        <f>'Qualitative Disclosures'!C154</f>
        <v>Shareholder 19</v>
      </c>
      <c r="D162" s="1440"/>
      <c r="E162" s="1571">
        <f>'Qualitative Disclosures'!F154</f>
        <v>0</v>
      </c>
      <c r="F162" s="1571">
        <f>'Qualitative Disclosures'!G154</f>
        <v>0</v>
      </c>
      <c r="G162" s="1571">
        <f>'Qualitative Disclosures'!H154</f>
        <v>0</v>
      </c>
      <c r="H162" s="1571">
        <f>'Qualitative Disclosures'!I154</f>
        <v>0</v>
      </c>
      <c r="M162" s="1756" t="str">
        <f t="shared" si="7"/>
        <v>No</v>
      </c>
    </row>
    <row r="163" spans="3:13" s="1" customFormat="1" hidden="1" x14ac:dyDescent="0.3">
      <c r="C163" s="1447" t="str">
        <f>'Qualitative Disclosures'!C155</f>
        <v>Shareholder 20</v>
      </c>
      <c r="D163" s="1440"/>
      <c r="E163" s="1572">
        <f>'Qualitative Disclosures'!F155</f>
        <v>0</v>
      </c>
      <c r="F163" s="1572">
        <f>'Qualitative Disclosures'!G155</f>
        <v>0</v>
      </c>
      <c r="G163" s="1572">
        <f>'Qualitative Disclosures'!H155</f>
        <v>0</v>
      </c>
      <c r="H163" s="1572">
        <f>'Qualitative Disclosures'!I155</f>
        <v>0</v>
      </c>
      <c r="M163" s="1756" t="str">
        <f t="shared" si="7"/>
        <v>No</v>
      </c>
    </row>
    <row r="164" spans="3:13" s="1" customFormat="1" ht="33" hidden="1" x14ac:dyDescent="0.3">
      <c r="C164" s="1449" t="s">
        <v>126</v>
      </c>
      <c r="D164" s="1440"/>
      <c r="E164" s="1571"/>
      <c r="F164" s="1571"/>
      <c r="G164" s="1571"/>
      <c r="H164" s="1571"/>
      <c r="M164" s="1756" t="str">
        <f>IF(COUNTIF(M165:M184,"Yes")&lt;&gt;0,"Yes","No")</f>
        <v>No</v>
      </c>
    </row>
    <row r="165" spans="3:13" s="1" customFormat="1" hidden="1" x14ac:dyDescent="0.3">
      <c r="C165" s="1447" t="str">
        <f>'Qualitative Disclosures'!C157</f>
        <v>Shareholder 1</v>
      </c>
      <c r="D165" s="1440"/>
      <c r="E165" s="1571">
        <f>'Qualitative Disclosures'!F157</f>
        <v>0</v>
      </c>
      <c r="F165" s="1571">
        <f>'Qualitative Disclosures'!G157</f>
        <v>0</v>
      </c>
      <c r="G165" s="1571">
        <f>'Qualitative Disclosures'!H157</f>
        <v>0</v>
      </c>
      <c r="H165" s="1571">
        <f>'Qualitative Disclosures'!I157</f>
        <v>0</v>
      </c>
      <c r="M165" s="1756" t="str">
        <f t="shared" si="7"/>
        <v>No</v>
      </c>
    </row>
    <row r="166" spans="3:13" s="1" customFormat="1" hidden="1" x14ac:dyDescent="0.3">
      <c r="C166" s="1447" t="str">
        <f>'Qualitative Disclosures'!C158</f>
        <v>Shareholder 2</v>
      </c>
      <c r="D166" s="1440"/>
      <c r="E166" s="1571">
        <f>'Qualitative Disclosures'!F158</f>
        <v>0</v>
      </c>
      <c r="F166" s="1571">
        <f>'Qualitative Disclosures'!G158</f>
        <v>0</v>
      </c>
      <c r="G166" s="1571">
        <f>'Qualitative Disclosures'!H158</f>
        <v>0</v>
      </c>
      <c r="H166" s="1571">
        <f>'Qualitative Disclosures'!I158</f>
        <v>0</v>
      </c>
      <c r="M166" s="1756" t="str">
        <f t="shared" si="7"/>
        <v>No</v>
      </c>
    </row>
    <row r="167" spans="3:13" s="1" customFormat="1" hidden="1" x14ac:dyDescent="0.3">
      <c r="C167" s="1447" t="str">
        <f>'Qualitative Disclosures'!C159</f>
        <v>Shareholder 3</v>
      </c>
      <c r="D167" s="1440"/>
      <c r="E167" s="1571">
        <f>'Qualitative Disclosures'!F159</f>
        <v>0</v>
      </c>
      <c r="F167" s="1571">
        <f>'Qualitative Disclosures'!G159</f>
        <v>0</v>
      </c>
      <c r="G167" s="1571">
        <f>'Qualitative Disclosures'!H159</f>
        <v>0</v>
      </c>
      <c r="H167" s="1571">
        <f>'Qualitative Disclosures'!I159</f>
        <v>0</v>
      </c>
      <c r="M167" s="1756" t="str">
        <f t="shared" si="7"/>
        <v>No</v>
      </c>
    </row>
    <row r="168" spans="3:13" s="1" customFormat="1" hidden="1" x14ac:dyDescent="0.3">
      <c r="C168" s="1447" t="str">
        <f>'Qualitative Disclosures'!C160</f>
        <v>Shareholder 4</v>
      </c>
      <c r="D168" s="1440"/>
      <c r="E168" s="1571">
        <f>'Qualitative Disclosures'!F160</f>
        <v>0</v>
      </c>
      <c r="F168" s="1571">
        <f>'Qualitative Disclosures'!G160</f>
        <v>0</v>
      </c>
      <c r="G168" s="1571">
        <f>'Qualitative Disclosures'!H160</f>
        <v>0</v>
      </c>
      <c r="H168" s="1571">
        <f>'Qualitative Disclosures'!I160</f>
        <v>0</v>
      </c>
      <c r="M168" s="1756" t="str">
        <f t="shared" si="7"/>
        <v>No</v>
      </c>
    </row>
    <row r="169" spans="3:13" s="1" customFormat="1" hidden="1" x14ac:dyDescent="0.3">
      <c r="C169" s="1447" t="str">
        <f>'Qualitative Disclosures'!C161</f>
        <v>Shareholder 5</v>
      </c>
      <c r="D169" s="1440"/>
      <c r="E169" s="1571">
        <f>'Qualitative Disclosures'!F161</f>
        <v>0</v>
      </c>
      <c r="F169" s="1571">
        <f>'Qualitative Disclosures'!G161</f>
        <v>0</v>
      </c>
      <c r="G169" s="1571">
        <f>'Qualitative Disclosures'!H161</f>
        <v>0</v>
      </c>
      <c r="H169" s="1571">
        <f>'Qualitative Disclosures'!I161</f>
        <v>0</v>
      </c>
      <c r="M169" s="1756" t="str">
        <f t="shared" si="7"/>
        <v>No</v>
      </c>
    </row>
    <row r="170" spans="3:13" s="1" customFormat="1" hidden="1" x14ac:dyDescent="0.3">
      <c r="C170" s="1447" t="str">
        <f>'Qualitative Disclosures'!C162</f>
        <v>Shareholder 6</v>
      </c>
      <c r="D170" s="1440"/>
      <c r="E170" s="1571">
        <f>'Qualitative Disclosures'!F162</f>
        <v>0</v>
      </c>
      <c r="F170" s="1571">
        <f>'Qualitative Disclosures'!G162</f>
        <v>0</v>
      </c>
      <c r="G170" s="1571">
        <f>'Qualitative Disclosures'!H162</f>
        <v>0</v>
      </c>
      <c r="H170" s="1571">
        <f>'Qualitative Disclosures'!I162</f>
        <v>0</v>
      </c>
      <c r="M170" s="1756" t="str">
        <f t="shared" si="7"/>
        <v>No</v>
      </c>
    </row>
    <row r="171" spans="3:13" s="1" customFormat="1" hidden="1" x14ac:dyDescent="0.3">
      <c r="C171" s="1447" t="str">
        <f>'Qualitative Disclosures'!C163</f>
        <v>Shareholder 7</v>
      </c>
      <c r="D171" s="1440"/>
      <c r="E171" s="1571">
        <f>'Qualitative Disclosures'!F163</f>
        <v>0</v>
      </c>
      <c r="F171" s="1571">
        <f>'Qualitative Disclosures'!G163</f>
        <v>0</v>
      </c>
      <c r="G171" s="1571">
        <f>'Qualitative Disclosures'!H163</f>
        <v>0</v>
      </c>
      <c r="H171" s="1571">
        <f>'Qualitative Disclosures'!I163</f>
        <v>0</v>
      </c>
      <c r="M171" s="1756" t="str">
        <f t="shared" si="7"/>
        <v>No</v>
      </c>
    </row>
    <row r="172" spans="3:13" s="1" customFormat="1" hidden="1" x14ac:dyDescent="0.3">
      <c r="C172" s="1447" t="str">
        <f>'Qualitative Disclosures'!C164</f>
        <v>Shareholder 8</v>
      </c>
      <c r="D172" s="1440"/>
      <c r="E172" s="1571">
        <f>'Qualitative Disclosures'!F164</f>
        <v>0</v>
      </c>
      <c r="F172" s="1571">
        <f>'Qualitative Disclosures'!G164</f>
        <v>0</v>
      </c>
      <c r="G172" s="1571">
        <f>'Qualitative Disclosures'!H164</f>
        <v>0</v>
      </c>
      <c r="H172" s="1571">
        <f>'Qualitative Disclosures'!I164</f>
        <v>0</v>
      </c>
      <c r="M172" s="1756" t="str">
        <f t="shared" si="7"/>
        <v>No</v>
      </c>
    </row>
    <row r="173" spans="3:13" s="1" customFormat="1" hidden="1" x14ac:dyDescent="0.3">
      <c r="C173" s="1447" t="str">
        <f>'Qualitative Disclosures'!C165</f>
        <v>Shareholder 9</v>
      </c>
      <c r="D173" s="1440"/>
      <c r="E173" s="1571">
        <f>'Qualitative Disclosures'!F165</f>
        <v>0</v>
      </c>
      <c r="F173" s="1571">
        <f>'Qualitative Disclosures'!G165</f>
        <v>0</v>
      </c>
      <c r="G173" s="1571">
        <f>'Qualitative Disclosures'!H165</f>
        <v>0</v>
      </c>
      <c r="H173" s="1571">
        <f>'Qualitative Disclosures'!I165</f>
        <v>0</v>
      </c>
      <c r="M173" s="1756" t="str">
        <f t="shared" si="7"/>
        <v>No</v>
      </c>
    </row>
    <row r="174" spans="3:13" s="1" customFormat="1" hidden="1" x14ac:dyDescent="0.3">
      <c r="C174" s="1447" t="str">
        <f>'Qualitative Disclosures'!C166</f>
        <v>Shareholder 10</v>
      </c>
      <c r="D174" s="1440"/>
      <c r="E174" s="1571">
        <f>'Qualitative Disclosures'!F166</f>
        <v>0</v>
      </c>
      <c r="F174" s="1571">
        <f>'Qualitative Disclosures'!G166</f>
        <v>0</v>
      </c>
      <c r="G174" s="1571">
        <f>'Qualitative Disclosures'!H166</f>
        <v>0</v>
      </c>
      <c r="H174" s="1571">
        <f>'Qualitative Disclosures'!I166</f>
        <v>0</v>
      </c>
      <c r="M174" s="1756" t="str">
        <f t="shared" si="7"/>
        <v>No</v>
      </c>
    </row>
    <row r="175" spans="3:13" s="1" customFormat="1" hidden="1" x14ac:dyDescent="0.3">
      <c r="C175" s="1447" t="str">
        <f>'Qualitative Disclosures'!C167</f>
        <v>Shareholder 11</v>
      </c>
      <c r="D175" s="1440"/>
      <c r="E175" s="1571">
        <f>'Qualitative Disclosures'!F167</f>
        <v>0</v>
      </c>
      <c r="F175" s="1571">
        <f>'Qualitative Disclosures'!G167</f>
        <v>0</v>
      </c>
      <c r="G175" s="1571">
        <f>'Qualitative Disclosures'!H167</f>
        <v>0</v>
      </c>
      <c r="H175" s="1571">
        <f>'Qualitative Disclosures'!I167</f>
        <v>0</v>
      </c>
      <c r="M175" s="1756" t="str">
        <f t="shared" si="7"/>
        <v>No</v>
      </c>
    </row>
    <row r="176" spans="3:13" s="1" customFormat="1" hidden="1" x14ac:dyDescent="0.3">
      <c r="C176" s="1447" t="str">
        <f>'Qualitative Disclosures'!C168</f>
        <v>Shareholder 12</v>
      </c>
      <c r="D176" s="1440"/>
      <c r="E176" s="1571">
        <f>'Qualitative Disclosures'!F168</f>
        <v>0</v>
      </c>
      <c r="F176" s="1571">
        <f>'Qualitative Disclosures'!G168</f>
        <v>0</v>
      </c>
      <c r="G176" s="1571">
        <f>'Qualitative Disclosures'!H168</f>
        <v>0</v>
      </c>
      <c r="H176" s="1571">
        <f>'Qualitative Disclosures'!I168</f>
        <v>0</v>
      </c>
      <c r="M176" s="1756" t="str">
        <f t="shared" si="7"/>
        <v>No</v>
      </c>
    </row>
    <row r="177" spans="3:13" s="1" customFormat="1" hidden="1" x14ac:dyDescent="0.3">
      <c r="C177" s="1447" t="str">
        <f>'Qualitative Disclosures'!C169</f>
        <v>Shareholder 13</v>
      </c>
      <c r="D177" s="1440"/>
      <c r="E177" s="1571">
        <f>'Qualitative Disclosures'!F169</f>
        <v>0</v>
      </c>
      <c r="F177" s="1571">
        <f>'Qualitative Disclosures'!G169</f>
        <v>0</v>
      </c>
      <c r="G177" s="1571">
        <f>'Qualitative Disclosures'!H169</f>
        <v>0</v>
      </c>
      <c r="H177" s="1571">
        <f>'Qualitative Disclosures'!I169</f>
        <v>0</v>
      </c>
      <c r="M177" s="1756" t="str">
        <f t="shared" si="7"/>
        <v>No</v>
      </c>
    </row>
    <row r="178" spans="3:13" s="1" customFormat="1" hidden="1" x14ac:dyDescent="0.3">
      <c r="C178" s="1447" t="str">
        <f>'Qualitative Disclosures'!C170</f>
        <v>Shareholder 14</v>
      </c>
      <c r="D178" s="1440"/>
      <c r="E178" s="1571">
        <f>'Qualitative Disclosures'!F170</f>
        <v>0</v>
      </c>
      <c r="F178" s="1571">
        <f>'Qualitative Disclosures'!G170</f>
        <v>0</v>
      </c>
      <c r="G178" s="1571">
        <f>'Qualitative Disclosures'!H170</f>
        <v>0</v>
      </c>
      <c r="H178" s="1571">
        <f>'Qualitative Disclosures'!I170</f>
        <v>0</v>
      </c>
      <c r="M178" s="1756" t="str">
        <f t="shared" si="7"/>
        <v>No</v>
      </c>
    </row>
    <row r="179" spans="3:13" s="1" customFormat="1" hidden="1" x14ac:dyDescent="0.3">
      <c r="C179" s="1447" t="str">
        <f>'Qualitative Disclosures'!C171</f>
        <v>Shareholder 15</v>
      </c>
      <c r="D179" s="1440"/>
      <c r="E179" s="1571">
        <f>'Qualitative Disclosures'!F171</f>
        <v>0</v>
      </c>
      <c r="F179" s="1571">
        <f>'Qualitative Disclosures'!G171</f>
        <v>0</v>
      </c>
      <c r="G179" s="1571">
        <f>'Qualitative Disclosures'!H171</f>
        <v>0</v>
      </c>
      <c r="H179" s="1571">
        <f>'Qualitative Disclosures'!I171</f>
        <v>0</v>
      </c>
      <c r="M179" s="1756" t="str">
        <f t="shared" si="7"/>
        <v>No</v>
      </c>
    </row>
    <row r="180" spans="3:13" s="1" customFormat="1" hidden="1" x14ac:dyDescent="0.3">
      <c r="C180" s="1447" t="str">
        <f>'Qualitative Disclosures'!C172</f>
        <v>Shareholder 16</v>
      </c>
      <c r="D180" s="1440"/>
      <c r="E180" s="1571">
        <f>'Qualitative Disclosures'!F172</f>
        <v>0</v>
      </c>
      <c r="F180" s="1571">
        <f>'Qualitative Disclosures'!G172</f>
        <v>0</v>
      </c>
      <c r="G180" s="1571">
        <f>'Qualitative Disclosures'!H172</f>
        <v>0</v>
      </c>
      <c r="H180" s="1571">
        <f>'Qualitative Disclosures'!I172</f>
        <v>0</v>
      </c>
      <c r="M180" s="1756" t="str">
        <f t="shared" si="7"/>
        <v>No</v>
      </c>
    </row>
    <row r="181" spans="3:13" s="1" customFormat="1" hidden="1" x14ac:dyDescent="0.3">
      <c r="C181" s="1447" t="str">
        <f>'Qualitative Disclosures'!C173</f>
        <v>Shareholder 17</v>
      </c>
      <c r="D181" s="1440"/>
      <c r="E181" s="1571">
        <f>'Qualitative Disclosures'!F173</f>
        <v>0</v>
      </c>
      <c r="F181" s="1571">
        <f>'Qualitative Disclosures'!G173</f>
        <v>0</v>
      </c>
      <c r="G181" s="1571">
        <f>'Qualitative Disclosures'!H173</f>
        <v>0</v>
      </c>
      <c r="H181" s="1571">
        <f>'Qualitative Disclosures'!I173</f>
        <v>0</v>
      </c>
      <c r="M181" s="1756" t="str">
        <f t="shared" si="7"/>
        <v>No</v>
      </c>
    </row>
    <row r="182" spans="3:13" s="1" customFormat="1" hidden="1" x14ac:dyDescent="0.3">
      <c r="C182" s="1447" t="str">
        <f>'Qualitative Disclosures'!C174</f>
        <v>Shareholder 18</v>
      </c>
      <c r="D182" s="1440"/>
      <c r="E182" s="1571">
        <f>'Qualitative Disclosures'!F174</f>
        <v>0</v>
      </c>
      <c r="F182" s="1571">
        <f>'Qualitative Disclosures'!G174</f>
        <v>0</v>
      </c>
      <c r="G182" s="1571">
        <f>'Qualitative Disclosures'!H174</f>
        <v>0</v>
      </c>
      <c r="H182" s="1571">
        <f>'Qualitative Disclosures'!I174</f>
        <v>0</v>
      </c>
      <c r="M182" s="1756" t="str">
        <f t="shared" si="7"/>
        <v>No</v>
      </c>
    </row>
    <row r="183" spans="3:13" s="1" customFormat="1" hidden="1" x14ac:dyDescent="0.3">
      <c r="C183" s="1447" t="str">
        <f>'Qualitative Disclosures'!C175</f>
        <v>Shareholder 19</v>
      </c>
      <c r="D183" s="1440"/>
      <c r="E183" s="1571">
        <f>'Qualitative Disclosures'!F175</f>
        <v>0</v>
      </c>
      <c r="F183" s="1571">
        <f>'Qualitative Disclosures'!G175</f>
        <v>0</v>
      </c>
      <c r="G183" s="1571">
        <f>'Qualitative Disclosures'!H175</f>
        <v>0</v>
      </c>
      <c r="H183" s="1571">
        <f>'Qualitative Disclosures'!I175</f>
        <v>0</v>
      </c>
      <c r="M183" s="1756" t="str">
        <f t="shared" si="7"/>
        <v>No</v>
      </c>
    </row>
    <row r="184" spans="3:13" s="1" customFormat="1" hidden="1" x14ac:dyDescent="0.3">
      <c r="C184" s="1447" t="str">
        <f>'Qualitative Disclosures'!C176</f>
        <v>Shareholder 20</v>
      </c>
      <c r="D184" s="1440"/>
      <c r="E184" s="1572">
        <f>'Qualitative Disclosures'!F176</f>
        <v>0</v>
      </c>
      <c r="F184" s="1572">
        <f>'Qualitative Disclosures'!G176</f>
        <v>0</v>
      </c>
      <c r="G184" s="1572">
        <f>'Qualitative Disclosures'!H176</f>
        <v>0</v>
      </c>
      <c r="H184" s="1572">
        <f>'Qualitative Disclosures'!I176</f>
        <v>0</v>
      </c>
      <c r="M184" s="1756" t="str">
        <f t="shared" si="7"/>
        <v>No</v>
      </c>
    </row>
    <row r="185" spans="3:13" s="1" customFormat="1" hidden="1" x14ac:dyDescent="0.3">
      <c r="C185" s="1450" t="s">
        <v>127</v>
      </c>
      <c r="D185" s="1440"/>
      <c r="E185" s="1571"/>
      <c r="F185" s="1571"/>
      <c r="G185" s="1571"/>
      <c r="H185" s="1571"/>
      <c r="M185" s="1756" t="str">
        <f>IF(COUNTIF(M186:M205,"Yes")&lt;&gt;0,"Yes","No")</f>
        <v>No</v>
      </c>
    </row>
    <row r="186" spans="3:13" s="1" customFormat="1" hidden="1" x14ac:dyDescent="0.3">
      <c r="C186" s="1447" t="str">
        <f>'Qualitative Disclosures'!C178</f>
        <v>Shareholder 1</v>
      </c>
      <c r="D186" s="1440"/>
      <c r="E186" s="1571">
        <f>'Qualitative Disclosures'!F178</f>
        <v>0</v>
      </c>
      <c r="F186" s="1571">
        <f>'Qualitative Disclosures'!G178</f>
        <v>0</v>
      </c>
      <c r="G186" s="1571">
        <f>'Qualitative Disclosures'!H178</f>
        <v>0</v>
      </c>
      <c r="H186" s="1571">
        <f>'Qualitative Disclosures'!I178</f>
        <v>0</v>
      </c>
      <c r="M186" s="1756" t="str">
        <f t="shared" si="7"/>
        <v>No</v>
      </c>
    </row>
    <row r="187" spans="3:13" s="1" customFormat="1" hidden="1" x14ac:dyDescent="0.3">
      <c r="C187" s="1447" t="str">
        <f>'Qualitative Disclosures'!C179</f>
        <v>Shareholder 2</v>
      </c>
      <c r="D187" s="1440"/>
      <c r="E187" s="1571">
        <f>'Qualitative Disclosures'!F179</f>
        <v>0</v>
      </c>
      <c r="F187" s="1571">
        <f>'Qualitative Disclosures'!G179</f>
        <v>0</v>
      </c>
      <c r="G187" s="1571">
        <f>'Qualitative Disclosures'!H179</f>
        <v>0</v>
      </c>
      <c r="H187" s="1571">
        <f>'Qualitative Disclosures'!I179</f>
        <v>0</v>
      </c>
      <c r="M187" s="1756" t="str">
        <f t="shared" si="7"/>
        <v>No</v>
      </c>
    </row>
    <row r="188" spans="3:13" s="1" customFormat="1" hidden="1" x14ac:dyDescent="0.3">
      <c r="C188" s="1447" t="str">
        <f>'Qualitative Disclosures'!C180</f>
        <v>Shareholder 3</v>
      </c>
      <c r="D188" s="1440"/>
      <c r="E188" s="1571">
        <f>'Qualitative Disclosures'!F180</f>
        <v>0</v>
      </c>
      <c r="F188" s="1571">
        <f>'Qualitative Disclosures'!G180</f>
        <v>0</v>
      </c>
      <c r="G188" s="1571">
        <f>'Qualitative Disclosures'!H180</f>
        <v>0</v>
      </c>
      <c r="H188" s="1571">
        <f>'Qualitative Disclosures'!I180</f>
        <v>0</v>
      </c>
      <c r="M188" s="1756" t="str">
        <f t="shared" si="7"/>
        <v>No</v>
      </c>
    </row>
    <row r="189" spans="3:13" s="1" customFormat="1" hidden="1" x14ac:dyDescent="0.3">
      <c r="C189" s="1447" t="str">
        <f>'Qualitative Disclosures'!C181</f>
        <v>Shareholder 4</v>
      </c>
      <c r="D189" s="1440"/>
      <c r="E189" s="1571">
        <f>'Qualitative Disclosures'!F181</f>
        <v>0</v>
      </c>
      <c r="F189" s="1571">
        <f>'Qualitative Disclosures'!G181</f>
        <v>0</v>
      </c>
      <c r="G189" s="1571">
        <f>'Qualitative Disclosures'!H181</f>
        <v>0</v>
      </c>
      <c r="H189" s="1571">
        <f>'Qualitative Disclosures'!I181</f>
        <v>0</v>
      </c>
      <c r="M189" s="1756" t="str">
        <f t="shared" si="7"/>
        <v>No</v>
      </c>
    </row>
    <row r="190" spans="3:13" s="1" customFormat="1" hidden="1" x14ac:dyDescent="0.3">
      <c r="C190" s="1447" t="str">
        <f>'Qualitative Disclosures'!C182</f>
        <v>Shareholder 5</v>
      </c>
      <c r="D190" s="1440"/>
      <c r="E190" s="1571">
        <f>'Qualitative Disclosures'!F182</f>
        <v>0</v>
      </c>
      <c r="F190" s="1571">
        <f>'Qualitative Disclosures'!G182</f>
        <v>0</v>
      </c>
      <c r="G190" s="1571">
        <f>'Qualitative Disclosures'!H182</f>
        <v>0</v>
      </c>
      <c r="H190" s="1571">
        <f>'Qualitative Disclosures'!I182</f>
        <v>0</v>
      </c>
      <c r="M190" s="1756" t="str">
        <f t="shared" si="7"/>
        <v>No</v>
      </c>
    </row>
    <row r="191" spans="3:13" s="1" customFormat="1" hidden="1" x14ac:dyDescent="0.3">
      <c r="C191" s="1447" t="str">
        <f>'Qualitative Disclosures'!C183</f>
        <v>Shareholder 6</v>
      </c>
      <c r="D191" s="1440"/>
      <c r="E191" s="1571">
        <f>'Qualitative Disclosures'!F183</f>
        <v>0</v>
      </c>
      <c r="F191" s="1571">
        <f>'Qualitative Disclosures'!G183</f>
        <v>0</v>
      </c>
      <c r="G191" s="1571">
        <f>'Qualitative Disclosures'!H183</f>
        <v>0</v>
      </c>
      <c r="H191" s="1571">
        <f>'Qualitative Disclosures'!I183</f>
        <v>0</v>
      </c>
      <c r="M191" s="1756" t="str">
        <f t="shared" si="7"/>
        <v>No</v>
      </c>
    </row>
    <row r="192" spans="3:13" s="1" customFormat="1" hidden="1" x14ac:dyDescent="0.3">
      <c r="C192" s="1447" t="str">
        <f>'Qualitative Disclosures'!C184</f>
        <v>Shareholder 7</v>
      </c>
      <c r="D192" s="1440"/>
      <c r="E192" s="1571">
        <f>'Qualitative Disclosures'!F184</f>
        <v>0</v>
      </c>
      <c r="F192" s="1571">
        <f>'Qualitative Disclosures'!G184</f>
        <v>0</v>
      </c>
      <c r="G192" s="1571">
        <f>'Qualitative Disclosures'!H184</f>
        <v>0</v>
      </c>
      <c r="H192" s="1571">
        <f>'Qualitative Disclosures'!I184</f>
        <v>0</v>
      </c>
      <c r="M192" s="1756" t="str">
        <f t="shared" si="7"/>
        <v>No</v>
      </c>
    </row>
    <row r="193" spans="3:13" s="1" customFormat="1" hidden="1" x14ac:dyDescent="0.3">
      <c r="C193" s="1447" t="str">
        <f>'Qualitative Disclosures'!C185</f>
        <v>Shareholder 8</v>
      </c>
      <c r="D193" s="1440"/>
      <c r="E193" s="1571">
        <f>'Qualitative Disclosures'!F185</f>
        <v>0</v>
      </c>
      <c r="F193" s="1571">
        <f>'Qualitative Disclosures'!G185</f>
        <v>0</v>
      </c>
      <c r="G193" s="1571">
        <f>'Qualitative Disclosures'!H185</f>
        <v>0</v>
      </c>
      <c r="H193" s="1571">
        <f>'Qualitative Disclosures'!I185</f>
        <v>0</v>
      </c>
      <c r="M193" s="1756" t="str">
        <f t="shared" si="7"/>
        <v>No</v>
      </c>
    </row>
    <row r="194" spans="3:13" s="1" customFormat="1" hidden="1" x14ac:dyDescent="0.3">
      <c r="C194" s="1447" t="str">
        <f>'Qualitative Disclosures'!C186</f>
        <v>Shareholder 9</v>
      </c>
      <c r="D194" s="1440"/>
      <c r="E194" s="1571">
        <f>'Qualitative Disclosures'!F186</f>
        <v>0</v>
      </c>
      <c r="F194" s="1571">
        <f>'Qualitative Disclosures'!G186</f>
        <v>0</v>
      </c>
      <c r="G194" s="1571">
        <f>'Qualitative Disclosures'!H186</f>
        <v>0</v>
      </c>
      <c r="H194" s="1571">
        <f>'Qualitative Disclosures'!I186</f>
        <v>0</v>
      </c>
      <c r="M194" s="1756" t="str">
        <f t="shared" si="7"/>
        <v>No</v>
      </c>
    </row>
    <row r="195" spans="3:13" s="1" customFormat="1" hidden="1" x14ac:dyDescent="0.3">
      <c r="C195" s="1447" t="str">
        <f>'Qualitative Disclosures'!C187</f>
        <v>Shareholder 10</v>
      </c>
      <c r="D195" s="1440"/>
      <c r="E195" s="1571">
        <f>'Qualitative Disclosures'!F187</f>
        <v>0</v>
      </c>
      <c r="F195" s="1571">
        <f>'Qualitative Disclosures'!G187</f>
        <v>0</v>
      </c>
      <c r="G195" s="1571">
        <f>'Qualitative Disclosures'!H187</f>
        <v>0</v>
      </c>
      <c r="H195" s="1571">
        <f>'Qualitative Disclosures'!I187</f>
        <v>0</v>
      </c>
      <c r="M195" s="1756" t="str">
        <f t="shared" si="7"/>
        <v>No</v>
      </c>
    </row>
    <row r="196" spans="3:13" s="1" customFormat="1" hidden="1" x14ac:dyDescent="0.3">
      <c r="C196" s="1447" t="str">
        <f>'Qualitative Disclosures'!C188</f>
        <v>Shareholder 11</v>
      </c>
      <c r="D196" s="1440"/>
      <c r="E196" s="1571">
        <f>'Qualitative Disclosures'!F188</f>
        <v>0</v>
      </c>
      <c r="F196" s="1571">
        <f>'Qualitative Disclosures'!G188</f>
        <v>0</v>
      </c>
      <c r="G196" s="1571">
        <f>'Qualitative Disclosures'!H188</f>
        <v>0</v>
      </c>
      <c r="H196" s="1571">
        <f>'Qualitative Disclosures'!I188</f>
        <v>0</v>
      </c>
      <c r="M196" s="1756" t="str">
        <f t="shared" si="7"/>
        <v>No</v>
      </c>
    </row>
    <row r="197" spans="3:13" s="1" customFormat="1" hidden="1" x14ac:dyDescent="0.3">
      <c r="C197" s="1447" t="str">
        <f>'Qualitative Disclosures'!C189</f>
        <v>Shareholder 12</v>
      </c>
      <c r="D197" s="1440"/>
      <c r="E197" s="1571">
        <f>'Qualitative Disclosures'!F189</f>
        <v>0</v>
      </c>
      <c r="F197" s="1571">
        <f>'Qualitative Disclosures'!G189</f>
        <v>0</v>
      </c>
      <c r="G197" s="1571">
        <f>'Qualitative Disclosures'!H189</f>
        <v>0</v>
      </c>
      <c r="H197" s="1571">
        <f>'Qualitative Disclosures'!I189</f>
        <v>0</v>
      </c>
      <c r="M197" s="1756" t="str">
        <f t="shared" si="7"/>
        <v>No</v>
      </c>
    </row>
    <row r="198" spans="3:13" s="1" customFormat="1" hidden="1" x14ac:dyDescent="0.3">
      <c r="C198" s="1447" t="str">
        <f>'Qualitative Disclosures'!C190</f>
        <v>Shareholder 13</v>
      </c>
      <c r="D198" s="1440"/>
      <c r="E198" s="1571">
        <f>'Qualitative Disclosures'!F190</f>
        <v>0</v>
      </c>
      <c r="F198" s="1571">
        <f>'Qualitative Disclosures'!G190</f>
        <v>0</v>
      </c>
      <c r="G198" s="1571">
        <f>'Qualitative Disclosures'!H190</f>
        <v>0</v>
      </c>
      <c r="H198" s="1571">
        <f>'Qualitative Disclosures'!I190</f>
        <v>0</v>
      </c>
      <c r="M198" s="1756" t="str">
        <f t="shared" si="7"/>
        <v>No</v>
      </c>
    </row>
    <row r="199" spans="3:13" s="1" customFormat="1" hidden="1" x14ac:dyDescent="0.3">
      <c r="C199" s="1447" t="str">
        <f>'Qualitative Disclosures'!C191</f>
        <v>Shareholder 14</v>
      </c>
      <c r="D199" s="1440"/>
      <c r="E199" s="1571">
        <f>'Qualitative Disclosures'!F191</f>
        <v>0</v>
      </c>
      <c r="F199" s="1571">
        <f>'Qualitative Disclosures'!G191</f>
        <v>0</v>
      </c>
      <c r="G199" s="1571">
        <f>'Qualitative Disclosures'!H191</f>
        <v>0</v>
      </c>
      <c r="H199" s="1571">
        <f>'Qualitative Disclosures'!I191</f>
        <v>0</v>
      </c>
      <c r="M199" s="1756" t="str">
        <f t="shared" si="7"/>
        <v>No</v>
      </c>
    </row>
    <row r="200" spans="3:13" s="1" customFormat="1" hidden="1" x14ac:dyDescent="0.3">
      <c r="C200" s="1447" t="str">
        <f>'Qualitative Disclosures'!C192</f>
        <v>Shareholder 15</v>
      </c>
      <c r="D200" s="1440"/>
      <c r="E200" s="1571">
        <f>'Qualitative Disclosures'!F192</f>
        <v>0</v>
      </c>
      <c r="F200" s="1571">
        <f>'Qualitative Disclosures'!G192</f>
        <v>0</v>
      </c>
      <c r="G200" s="1571">
        <f>'Qualitative Disclosures'!H192</f>
        <v>0</v>
      </c>
      <c r="H200" s="1571">
        <f>'Qualitative Disclosures'!I192</f>
        <v>0</v>
      </c>
      <c r="M200" s="1756" t="str">
        <f t="shared" si="7"/>
        <v>No</v>
      </c>
    </row>
    <row r="201" spans="3:13" s="1" customFormat="1" hidden="1" x14ac:dyDescent="0.3">
      <c r="C201" s="1447" t="str">
        <f>'Qualitative Disclosures'!C193</f>
        <v>Shareholder 16</v>
      </c>
      <c r="D201" s="1440"/>
      <c r="E201" s="1571">
        <f>'Qualitative Disclosures'!F193</f>
        <v>0</v>
      </c>
      <c r="F201" s="1571">
        <f>'Qualitative Disclosures'!G193</f>
        <v>0</v>
      </c>
      <c r="G201" s="1571">
        <f>'Qualitative Disclosures'!H193</f>
        <v>0</v>
      </c>
      <c r="H201" s="1571">
        <f>'Qualitative Disclosures'!I193</f>
        <v>0</v>
      </c>
      <c r="M201" s="1756" t="str">
        <f t="shared" si="7"/>
        <v>No</v>
      </c>
    </row>
    <row r="202" spans="3:13" s="1" customFormat="1" hidden="1" x14ac:dyDescent="0.3">
      <c r="C202" s="1447" t="str">
        <f>'Qualitative Disclosures'!C194</f>
        <v>Shareholder 17</v>
      </c>
      <c r="D202" s="1440"/>
      <c r="E202" s="1571">
        <f>'Qualitative Disclosures'!F194</f>
        <v>0</v>
      </c>
      <c r="F202" s="1571">
        <f>'Qualitative Disclosures'!G194</f>
        <v>0</v>
      </c>
      <c r="G202" s="1571">
        <f>'Qualitative Disclosures'!H194</f>
        <v>0</v>
      </c>
      <c r="H202" s="1571">
        <f>'Qualitative Disclosures'!I194</f>
        <v>0</v>
      </c>
      <c r="M202" s="1756" t="str">
        <f t="shared" si="7"/>
        <v>No</v>
      </c>
    </row>
    <row r="203" spans="3:13" s="1" customFormat="1" hidden="1" x14ac:dyDescent="0.3">
      <c r="C203" s="1447" t="str">
        <f>'Qualitative Disclosures'!C195</f>
        <v>Shareholder 18</v>
      </c>
      <c r="D203" s="1440"/>
      <c r="E203" s="1571">
        <f>'Qualitative Disclosures'!F195</f>
        <v>0</v>
      </c>
      <c r="F203" s="1571">
        <f>'Qualitative Disclosures'!G195</f>
        <v>0</v>
      </c>
      <c r="G203" s="1571">
        <f>'Qualitative Disclosures'!H195</f>
        <v>0</v>
      </c>
      <c r="H203" s="1571">
        <f>'Qualitative Disclosures'!I195</f>
        <v>0</v>
      </c>
      <c r="M203" s="1756" t="str">
        <f t="shared" si="7"/>
        <v>No</v>
      </c>
    </row>
    <row r="204" spans="3:13" s="1" customFormat="1" hidden="1" x14ac:dyDescent="0.3">
      <c r="C204" s="1447" t="str">
        <f>'Qualitative Disclosures'!C196</f>
        <v>Shareholder 19</v>
      </c>
      <c r="D204" s="1440"/>
      <c r="E204" s="1571">
        <f>'Qualitative Disclosures'!F196</f>
        <v>0</v>
      </c>
      <c r="F204" s="1571">
        <f>'Qualitative Disclosures'!G196</f>
        <v>0</v>
      </c>
      <c r="G204" s="1571">
        <f>'Qualitative Disclosures'!H196</f>
        <v>0</v>
      </c>
      <c r="H204" s="1571">
        <f>'Qualitative Disclosures'!I196</f>
        <v>0</v>
      </c>
      <c r="M204" s="1756" t="str">
        <f t="shared" si="7"/>
        <v>No</v>
      </c>
    </row>
    <row r="205" spans="3:13" s="1" customFormat="1" hidden="1" x14ac:dyDescent="0.3">
      <c r="C205" s="1447" t="str">
        <f>'Qualitative Disclosures'!C197</f>
        <v>Shareholder 20</v>
      </c>
      <c r="D205" s="1440"/>
      <c r="E205" s="1572">
        <f>'Qualitative Disclosures'!F197</f>
        <v>0</v>
      </c>
      <c r="F205" s="1572">
        <f>'Qualitative Disclosures'!G197</f>
        <v>0</v>
      </c>
      <c r="G205" s="1572">
        <f>'Qualitative Disclosures'!H197</f>
        <v>0</v>
      </c>
      <c r="H205" s="1572">
        <f>'Qualitative Disclosures'!I197</f>
        <v>0</v>
      </c>
      <c r="M205" s="1756" t="str">
        <f t="shared" si="7"/>
        <v>No</v>
      </c>
    </row>
    <row r="206" spans="3:13" s="1" customFormat="1" hidden="1" x14ac:dyDescent="0.3">
      <c r="C206" s="1450" t="s">
        <v>128</v>
      </c>
      <c r="D206" s="1440"/>
      <c r="E206" s="1571"/>
      <c r="F206" s="1571"/>
      <c r="G206" s="1571"/>
      <c r="H206" s="1571"/>
      <c r="M206" s="1756" t="str">
        <f>IF(COUNTIF(M207:M226,"Yes")&lt;&gt;0,"Yes","No")</f>
        <v>No</v>
      </c>
    </row>
    <row r="207" spans="3:13" s="1" customFormat="1" hidden="1" x14ac:dyDescent="0.3">
      <c r="C207" s="1447" t="str">
        <f>'Qualitative Disclosures'!C199</f>
        <v>Shareholder 1</v>
      </c>
      <c r="D207" s="1440"/>
      <c r="E207" s="1571">
        <f>'Qualitative Disclosures'!F199</f>
        <v>0</v>
      </c>
      <c r="F207" s="1571">
        <f>'Qualitative Disclosures'!G199</f>
        <v>0</v>
      </c>
      <c r="G207" s="1571">
        <f>'Qualitative Disclosures'!H199</f>
        <v>0</v>
      </c>
      <c r="H207" s="1571">
        <f>'Qualitative Disclosures'!I199</f>
        <v>0</v>
      </c>
      <c r="M207" s="1756" t="str">
        <f t="shared" ref="M207:M247" si="8">IF(AND(E207=0,F207=0,G207=0,H207=0),"No","Yes")</f>
        <v>No</v>
      </c>
    </row>
    <row r="208" spans="3:13" s="1" customFormat="1" hidden="1" x14ac:dyDescent="0.3">
      <c r="C208" s="1447" t="str">
        <f>'Qualitative Disclosures'!C200</f>
        <v>Shareholder 2</v>
      </c>
      <c r="D208" s="1440"/>
      <c r="E208" s="1571">
        <f>'Qualitative Disclosures'!F200</f>
        <v>0</v>
      </c>
      <c r="F208" s="1571">
        <f>'Qualitative Disclosures'!G200</f>
        <v>0</v>
      </c>
      <c r="G208" s="1571">
        <f>'Qualitative Disclosures'!H200</f>
        <v>0</v>
      </c>
      <c r="H208" s="1571">
        <f>'Qualitative Disclosures'!I200</f>
        <v>0</v>
      </c>
      <c r="M208" s="1756" t="str">
        <f t="shared" si="8"/>
        <v>No</v>
      </c>
    </row>
    <row r="209" spans="3:13" s="1" customFormat="1" hidden="1" x14ac:dyDescent="0.3">
      <c r="C209" s="1447" t="str">
        <f>'Qualitative Disclosures'!C201</f>
        <v>Shareholder 3</v>
      </c>
      <c r="D209" s="1440"/>
      <c r="E209" s="1571">
        <f>'Qualitative Disclosures'!F201</f>
        <v>0</v>
      </c>
      <c r="F209" s="1571">
        <f>'Qualitative Disclosures'!G201</f>
        <v>0</v>
      </c>
      <c r="G209" s="1571">
        <f>'Qualitative Disclosures'!H201</f>
        <v>0</v>
      </c>
      <c r="H209" s="1571">
        <f>'Qualitative Disclosures'!I201</f>
        <v>0</v>
      </c>
      <c r="M209" s="1756" t="str">
        <f t="shared" si="8"/>
        <v>No</v>
      </c>
    </row>
    <row r="210" spans="3:13" s="1" customFormat="1" hidden="1" x14ac:dyDescent="0.3">
      <c r="C210" s="1447" t="str">
        <f>'Qualitative Disclosures'!C202</f>
        <v>Shareholder 4</v>
      </c>
      <c r="D210" s="1440"/>
      <c r="E210" s="1571">
        <f>'Qualitative Disclosures'!F202</f>
        <v>0</v>
      </c>
      <c r="F210" s="1571">
        <f>'Qualitative Disclosures'!G202</f>
        <v>0</v>
      </c>
      <c r="G210" s="1571">
        <f>'Qualitative Disclosures'!H202</f>
        <v>0</v>
      </c>
      <c r="H210" s="1571">
        <f>'Qualitative Disclosures'!I202</f>
        <v>0</v>
      </c>
      <c r="M210" s="1756" t="str">
        <f t="shared" si="8"/>
        <v>No</v>
      </c>
    </row>
    <row r="211" spans="3:13" s="1" customFormat="1" hidden="1" x14ac:dyDescent="0.3">
      <c r="C211" s="1447" t="str">
        <f>'Qualitative Disclosures'!C203</f>
        <v>Shareholder 5</v>
      </c>
      <c r="D211" s="1440"/>
      <c r="E211" s="1571">
        <f>'Qualitative Disclosures'!F203</f>
        <v>0</v>
      </c>
      <c r="F211" s="1571">
        <f>'Qualitative Disclosures'!G203</f>
        <v>0</v>
      </c>
      <c r="G211" s="1571">
        <f>'Qualitative Disclosures'!H203</f>
        <v>0</v>
      </c>
      <c r="H211" s="1571">
        <f>'Qualitative Disclosures'!I203</f>
        <v>0</v>
      </c>
      <c r="M211" s="1756" t="str">
        <f t="shared" si="8"/>
        <v>No</v>
      </c>
    </row>
    <row r="212" spans="3:13" s="1" customFormat="1" hidden="1" x14ac:dyDescent="0.3">
      <c r="C212" s="1447" t="str">
        <f>'Qualitative Disclosures'!C204</f>
        <v>Shareholder 6</v>
      </c>
      <c r="D212" s="1440"/>
      <c r="E212" s="1571">
        <f>'Qualitative Disclosures'!F204</f>
        <v>0</v>
      </c>
      <c r="F212" s="1571">
        <f>'Qualitative Disclosures'!G204</f>
        <v>0</v>
      </c>
      <c r="G212" s="1571">
        <f>'Qualitative Disclosures'!H204</f>
        <v>0</v>
      </c>
      <c r="H212" s="1571">
        <f>'Qualitative Disclosures'!I204</f>
        <v>0</v>
      </c>
      <c r="M212" s="1756" t="str">
        <f t="shared" si="8"/>
        <v>No</v>
      </c>
    </row>
    <row r="213" spans="3:13" s="1" customFormat="1" hidden="1" x14ac:dyDescent="0.3">
      <c r="C213" s="1447" t="str">
        <f>'Qualitative Disclosures'!C205</f>
        <v>Shareholder 7</v>
      </c>
      <c r="D213" s="1440"/>
      <c r="E213" s="1571">
        <f>'Qualitative Disclosures'!F205</f>
        <v>0</v>
      </c>
      <c r="F213" s="1571">
        <f>'Qualitative Disclosures'!G205</f>
        <v>0</v>
      </c>
      <c r="G213" s="1571">
        <f>'Qualitative Disclosures'!H205</f>
        <v>0</v>
      </c>
      <c r="H213" s="1571">
        <f>'Qualitative Disclosures'!I205</f>
        <v>0</v>
      </c>
      <c r="M213" s="1756" t="str">
        <f t="shared" si="8"/>
        <v>No</v>
      </c>
    </row>
    <row r="214" spans="3:13" s="1" customFormat="1" hidden="1" x14ac:dyDescent="0.3">
      <c r="C214" s="1447" t="str">
        <f>'Qualitative Disclosures'!C206</f>
        <v>Shareholder 8</v>
      </c>
      <c r="D214" s="1440"/>
      <c r="E214" s="1571">
        <f>'Qualitative Disclosures'!F206</f>
        <v>0</v>
      </c>
      <c r="F214" s="1571">
        <f>'Qualitative Disclosures'!G206</f>
        <v>0</v>
      </c>
      <c r="G214" s="1571">
        <f>'Qualitative Disclosures'!H206</f>
        <v>0</v>
      </c>
      <c r="H214" s="1571">
        <f>'Qualitative Disclosures'!I206</f>
        <v>0</v>
      </c>
      <c r="M214" s="1756" t="str">
        <f t="shared" si="8"/>
        <v>No</v>
      </c>
    </row>
    <row r="215" spans="3:13" s="1" customFormat="1" hidden="1" x14ac:dyDescent="0.3">
      <c r="C215" s="1447" t="str">
        <f>'Qualitative Disclosures'!C207</f>
        <v>Shareholder 9</v>
      </c>
      <c r="D215" s="1440"/>
      <c r="E215" s="1571">
        <f>'Qualitative Disclosures'!F207</f>
        <v>0</v>
      </c>
      <c r="F215" s="1571">
        <f>'Qualitative Disclosures'!G207</f>
        <v>0</v>
      </c>
      <c r="G215" s="1571">
        <f>'Qualitative Disclosures'!H207</f>
        <v>0</v>
      </c>
      <c r="H215" s="1571">
        <f>'Qualitative Disclosures'!I207</f>
        <v>0</v>
      </c>
      <c r="M215" s="1756" t="str">
        <f t="shared" si="8"/>
        <v>No</v>
      </c>
    </row>
    <row r="216" spans="3:13" s="1" customFormat="1" hidden="1" x14ac:dyDescent="0.3">
      <c r="C216" s="1447" t="str">
        <f>'Qualitative Disclosures'!C208</f>
        <v>Shareholder 10</v>
      </c>
      <c r="D216" s="1440"/>
      <c r="E216" s="1571">
        <f>'Qualitative Disclosures'!F208</f>
        <v>0</v>
      </c>
      <c r="F216" s="1571">
        <f>'Qualitative Disclosures'!G208</f>
        <v>0</v>
      </c>
      <c r="G216" s="1571">
        <f>'Qualitative Disclosures'!H208</f>
        <v>0</v>
      </c>
      <c r="H216" s="1571">
        <f>'Qualitative Disclosures'!I208</f>
        <v>0</v>
      </c>
      <c r="M216" s="1756" t="str">
        <f t="shared" si="8"/>
        <v>No</v>
      </c>
    </row>
    <row r="217" spans="3:13" s="1" customFormat="1" hidden="1" x14ac:dyDescent="0.3">
      <c r="C217" s="1447" t="str">
        <f>'Qualitative Disclosures'!C209</f>
        <v>Shareholder 11</v>
      </c>
      <c r="D217" s="1440"/>
      <c r="E217" s="1571">
        <f>'Qualitative Disclosures'!F209</f>
        <v>0</v>
      </c>
      <c r="F217" s="1571">
        <f>'Qualitative Disclosures'!G209</f>
        <v>0</v>
      </c>
      <c r="G217" s="1571">
        <f>'Qualitative Disclosures'!H209</f>
        <v>0</v>
      </c>
      <c r="H217" s="1571">
        <f>'Qualitative Disclosures'!I209</f>
        <v>0</v>
      </c>
      <c r="M217" s="1756" t="str">
        <f t="shared" si="8"/>
        <v>No</v>
      </c>
    </row>
    <row r="218" spans="3:13" s="1" customFormat="1" hidden="1" x14ac:dyDescent="0.3">
      <c r="C218" s="1447" t="str">
        <f>'Qualitative Disclosures'!C210</f>
        <v>Shareholder 12</v>
      </c>
      <c r="D218" s="1440"/>
      <c r="E218" s="1571">
        <f>'Qualitative Disclosures'!F210</f>
        <v>0</v>
      </c>
      <c r="F218" s="1571">
        <f>'Qualitative Disclosures'!G210</f>
        <v>0</v>
      </c>
      <c r="G218" s="1571">
        <f>'Qualitative Disclosures'!H210</f>
        <v>0</v>
      </c>
      <c r="H218" s="1571">
        <f>'Qualitative Disclosures'!I210</f>
        <v>0</v>
      </c>
      <c r="M218" s="1756" t="str">
        <f t="shared" si="8"/>
        <v>No</v>
      </c>
    </row>
    <row r="219" spans="3:13" s="1" customFormat="1" hidden="1" x14ac:dyDescent="0.3">
      <c r="C219" s="1447" t="str">
        <f>'Qualitative Disclosures'!C211</f>
        <v>Shareholder 13</v>
      </c>
      <c r="D219" s="1440"/>
      <c r="E219" s="1571">
        <f>'Qualitative Disclosures'!F211</f>
        <v>0</v>
      </c>
      <c r="F219" s="1571">
        <f>'Qualitative Disclosures'!G211</f>
        <v>0</v>
      </c>
      <c r="G219" s="1571">
        <f>'Qualitative Disclosures'!H211</f>
        <v>0</v>
      </c>
      <c r="H219" s="1571">
        <f>'Qualitative Disclosures'!I211</f>
        <v>0</v>
      </c>
      <c r="M219" s="1756" t="str">
        <f t="shared" si="8"/>
        <v>No</v>
      </c>
    </row>
    <row r="220" spans="3:13" s="1" customFormat="1" hidden="1" x14ac:dyDescent="0.3">
      <c r="C220" s="1447" t="str">
        <f>'Qualitative Disclosures'!C212</f>
        <v>Shareholder 14</v>
      </c>
      <c r="D220" s="1440"/>
      <c r="E220" s="1571">
        <f>'Qualitative Disclosures'!F212</f>
        <v>0</v>
      </c>
      <c r="F220" s="1571">
        <f>'Qualitative Disclosures'!G212</f>
        <v>0</v>
      </c>
      <c r="G220" s="1571">
        <f>'Qualitative Disclosures'!H212</f>
        <v>0</v>
      </c>
      <c r="H220" s="1571">
        <f>'Qualitative Disclosures'!I212</f>
        <v>0</v>
      </c>
      <c r="M220" s="1756" t="str">
        <f t="shared" si="8"/>
        <v>No</v>
      </c>
    </row>
    <row r="221" spans="3:13" s="1" customFormat="1" hidden="1" x14ac:dyDescent="0.3">
      <c r="C221" s="1447" t="str">
        <f>'Qualitative Disclosures'!C213</f>
        <v>Shareholder 15</v>
      </c>
      <c r="D221" s="1440"/>
      <c r="E221" s="1571">
        <f>'Qualitative Disclosures'!F213</f>
        <v>0</v>
      </c>
      <c r="F221" s="1571">
        <f>'Qualitative Disclosures'!G213</f>
        <v>0</v>
      </c>
      <c r="G221" s="1571">
        <f>'Qualitative Disclosures'!H213</f>
        <v>0</v>
      </c>
      <c r="H221" s="1571">
        <f>'Qualitative Disclosures'!I213</f>
        <v>0</v>
      </c>
      <c r="M221" s="1756" t="str">
        <f t="shared" si="8"/>
        <v>No</v>
      </c>
    </row>
    <row r="222" spans="3:13" s="1" customFormat="1" hidden="1" x14ac:dyDescent="0.3">
      <c r="C222" s="1447" t="str">
        <f>'Qualitative Disclosures'!C214</f>
        <v>Shareholder 16</v>
      </c>
      <c r="D222" s="1440"/>
      <c r="E222" s="1571">
        <f>'Qualitative Disclosures'!F214</f>
        <v>0</v>
      </c>
      <c r="F222" s="1571">
        <f>'Qualitative Disclosures'!G214</f>
        <v>0</v>
      </c>
      <c r="G222" s="1571">
        <f>'Qualitative Disclosures'!H214</f>
        <v>0</v>
      </c>
      <c r="H222" s="1571">
        <f>'Qualitative Disclosures'!I214</f>
        <v>0</v>
      </c>
      <c r="M222" s="1756" t="str">
        <f t="shared" si="8"/>
        <v>No</v>
      </c>
    </row>
    <row r="223" spans="3:13" s="1" customFormat="1" hidden="1" x14ac:dyDescent="0.3">
      <c r="C223" s="1447" t="str">
        <f>'Qualitative Disclosures'!C215</f>
        <v>Shareholder 17</v>
      </c>
      <c r="D223" s="1440"/>
      <c r="E223" s="1571">
        <f>'Qualitative Disclosures'!F215</f>
        <v>0</v>
      </c>
      <c r="F223" s="1571">
        <f>'Qualitative Disclosures'!G215</f>
        <v>0</v>
      </c>
      <c r="G223" s="1571">
        <f>'Qualitative Disclosures'!H215</f>
        <v>0</v>
      </c>
      <c r="H223" s="1571">
        <f>'Qualitative Disclosures'!I215</f>
        <v>0</v>
      </c>
      <c r="M223" s="1756" t="str">
        <f t="shared" si="8"/>
        <v>No</v>
      </c>
    </row>
    <row r="224" spans="3:13" s="1" customFormat="1" hidden="1" x14ac:dyDescent="0.3">
      <c r="C224" s="1447" t="str">
        <f>'Qualitative Disclosures'!C216</f>
        <v>Shareholder 18</v>
      </c>
      <c r="D224" s="1440"/>
      <c r="E224" s="1571">
        <f>'Qualitative Disclosures'!F216</f>
        <v>0</v>
      </c>
      <c r="F224" s="1571">
        <f>'Qualitative Disclosures'!G216</f>
        <v>0</v>
      </c>
      <c r="G224" s="1571">
        <f>'Qualitative Disclosures'!H216</f>
        <v>0</v>
      </c>
      <c r="H224" s="1571">
        <f>'Qualitative Disclosures'!I216</f>
        <v>0</v>
      </c>
      <c r="M224" s="1756" t="str">
        <f t="shared" si="8"/>
        <v>No</v>
      </c>
    </row>
    <row r="225" spans="3:13" s="1" customFormat="1" hidden="1" x14ac:dyDescent="0.3">
      <c r="C225" s="1447" t="str">
        <f>'Qualitative Disclosures'!C217</f>
        <v>Shareholder 19</v>
      </c>
      <c r="D225" s="1440"/>
      <c r="E225" s="1571">
        <f>'Qualitative Disclosures'!F217</f>
        <v>0</v>
      </c>
      <c r="F225" s="1571">
        <f>'Qualitative Disclosures'!G217</f>
        <v>0</v>
      </c>
      <c r="G225" s="1571">
        <f>'Qualitative Disclosures'!H217</f>
        <v>0</v>
      </c>
      <c r="H225" s="1571">
        <f>'Qualitative Disclosures'!I217</f>
        <v>0</v>
      </c>
      <c r="M225" s="1756" t="str">
        <f t="shared" si="8"/>
        <v>No</v>
      </c>
    </row>
    <row r="226" spans="3:13" s="1" customFormat="1" hidden="1" x14ac:dyDescent="0.3">
      <c r="C226" s="1447" t="str">
        <f>'Qualitative Disclosures'!C218</f>
        <v>Shareholder 20</v>
      </c>
      <c r="D226" s="1440"/>
      <c r="E226" s="1572">
        <f>'Qualitative Disclosures'!F218</f>
        <v>0</v>
      </c>
      <c r="F226" s="1572">
        <f>'Qualitative Disclosures'!G218</f>
        <v>0</v>
      </c>
      <c r="G226" s="1572">
        <f>'Qualitative Disclosures'!H218</f>
        <v>0</v>
      </c>
      <c r="H226" s="1572">
        <f>'Qualitative Disclosures'!I218</f>
        <v>0</v>
      </c>
      <c r="M226" s="1756" t="str">
        <f t="shared" si="8"/>
        <v>No</v>
      </c>
    </row>
    <row r="227" spans="3:13" s="1" customFormat="1" hidden="1" x14ac:dyDescent="0.3">
      <c r="C227" s="1449" t="s">
        <v>129</v>
      </c>
      <c r="D227" s="1440"/>
      <c r="E227" s="1571"/>
      <c r="F227" s="1571"/>
      <c r="G227" s="1571"/>
      <c r="H227" s="1571"/>
      <c r="M227" s="1756" t="str">
        <f>IF(COUNTIF(M228:M247,"Yes")&lt;&gt;0,"Yes","No")</f>
        <v>No</v>
      </c>
    </row>
    <row r="228" spans="3:13" s="1" customFormat="1" hidden="1" x14ac:dyDescent="0.3">
      <c r="C228" s="1447" t="str">
        <f>'Qualitative Disclosures'!C220</f>
        <v>Shareholder 1</v>
      </c>
      <c r="D228" s="1440"/>
      <c r="E228" s="1571">
        <f>'Qualitative Disclosures'!F220</f>
        <v>0</v>
      </c>
      <c r="F228" s="1571">
        <f>'Qualitative Disclosures'!G220</f>
        <v>0</v>
      </c>
      <c r="G228" s="1571">
        <f>'Qualitative Disclosures'!H220</f>
        <v>0</v>
      </c>
      <c r="H228" s="1571">
        <f>'Qualitative Disclosures'!I220</f>
        <v>0</v>
      </c>
      <c r="M228" s="1756" t="str">
        <f t="shared" si="8"/>
        <v>No</v>
      </c>
    </row>
    <row r="229" spans="3:13" s="1" customFormat="1" hidden="1" x14ac:dyDescent="0.3">
      <c r="C229" s="1447" t="str">
        <f>'Qualitative Disclosures'!C221</f>
        <v>Shareholder 2</v>
      </c>
      <c r="D229" s="1440"/>
      <c r="E229" s="1571">
        <f>'Qualitative Disclosures'!F221</f>
        <v>0</v>
      </c>
      <c r="F229" s="1571">
        <f>'Qualitative Disclosures'!G221</f>
        <v>0</v>
      </c>
      <c r="G229" s="1571">
        <f>'Qualitative Disclosures'!H221</f>
        <v>0</v>
      </c>
      <c r="H229" s="1571">
        <f>'Qualitative Disclosures'!I221</f>
        <v>0</v>
      </c>
      <c r="M229" s="1756" t="str">
        <f t="shared" si="8"/>
        <v>No</v>
      </c>
    </row>
    <row r="230" spans="3:13" s="1" customFormat="1" hidden="1" x14ac:dyDescent="0.3">
      <c r="C230" s="1447" t="str">
        <f>'Qualitative Disclosures'!C222</f>
        <v>Shareholder 3</v>
      </c>
      <c r="D230" s="1440"/>
      <c r="E230" s="1571">
        <f>'Qualitative Disclosures'!F222</f>
        <v>0</v>
      </c>
      <c r="F230" s="1571">
        <f>'Qualitative Disclosures'!G222</f>
        <v>0</v>
      </c>
      <c r="G230" s="1571">
        <f>'Qualitative Disclosures'!H222</f>
        <v>0</v>
      </c>
      <c r="H230" s="1571">
        <f>'Qualitative Disclosures'!I222</f>
        <v>0</v>
      </c>
      <c r="M230" s="1756" t="str">
        <f t="shared" si="8"/>
        <v>No</v>
      </c>
    </row>
    <row r="231" spans="3:13" s="1" customFormat="1" hidden="1" x14ac:dyDescent="0.3">
      <c r="C231" s="1447" t="str">
        <f>'Qualitative Disclosures'!C223</f>
        <v>Shareholder 4</v>
      </c>
      <c r="D231" s="1440"/>
      <c r="E231" s="1571">
        <f>'Qualitative Disclosures'!F223</f>
        <v>0</v>
      </c>
      <c r="F231" s="1571">
        <f>'Qualitative Disclosures'!G223</f>
        <v>0</v>
      </c>
      <c r="G231" s="1571">
        <f>'Qualitative Disclosures'!H223</f>
        <v>0</v>
      </c>
      <c r="H231" s="1571">
        <f>'Qualitative Disclosures'!I223</f>
        <v>0</v>
      </c>
      <c r="M231" s="1756" t="str">
        <f t="shared" si="8"/>
        <v>No</v>
      </c>
    </row>
    <row r="232" spans="3:13" s="1" customFormat="1" hidden="1" x14ac:dyDescent="0.3">
      <c r="C232" s="1447" t="str">
        <f>'Qualitative Disclosures'!C224</f>
        <v>Shareholder 5</v>
      </c>
      <c r="D232" s="1440"/>
      <c r="E232" s="1571">
        <f>'Qualitative Disclosures'!F224</f>
        <v>0</v>
      </c>
      <c r="F232" s="1571">
        <f>'Qualitative Disclosures'!G224</f>
        <v>0</v>
      </c>
      <c r="G232" s="1571">
        <f>'Qualitative Disclosures'!H224</f>
        <v>0</v>
      </c>
      <c r="H232" s="1571">
        <f>'Qualitative Disclosures'!I224</f>
        <v>0</v>
      </c>
      <c r="M232" s="1756" t="str">
        <f t="shared" si="8"/>
        <v>No</v>
      </c>
    </row>
    <row r="233" spans="3:13" s="1" customFormat="1" hidden="1" x14ac:dyDescent="0.3">
      <c r="C233" s="1447" t="str">
        <f>'Qualitative Disclosures'!C225</f>
        <v>Shareholder 6</v>
      </c>
      <c r="D233" s="1440"/>
      <c r="E233" s="1571">
        <f>'Qualitative Disclosures'!F225</f>
        <v>0</v>
      </c>
      <c r="F233" s="1571">
        <f>'Qualitative Disclosures'!G225</f>
        <v>0</v>
      </c>
      <c r="G233" s="1571">
        <f>'Qualitative Disclosures'!H225</f>
        <v>0</v>
      </c>
      <c r="H233" s="1571">
        <f>'Qualitative Disclosures'!I225</f>
        <v>0</v>
      </c>
      <c r="M233" s="1756" t="str">
        <f t="shared" si="8"/>
        <v>No</v>
      </c>
    </row>
    <row r="234" spans="3:13" s="1" customFormat="1" hidden="1" x14ac:dyDescent="0.3">
      <c r="C234" s="1447" t="str">
        <f>'Qualitative Disclosures'!C226</f>
        <v>Shareholder 7</v>
      </c>
      <c r="D234" s="1440"/>
      <c r="E234" s="1571">
        <f>'Qualitative Disclosures'!F226</f>
        <v>0</v>
      </c>
      <c r="F234" s="1571">
        <f>'Qualitative Disclosures'!G226</f>
        <v>0</v>
      </c>
      <c r="G234" s="1571">
        <f>'Qualitative Disclosures'!H226</f>
        <v>0</v>
      </c>
      <c r="H234" s="1571">
        <f>'Qualitative Disclosures'!I226</f>
        <v>0</v>
      </c>
      <c r="M234" s="1756" t="str">
        <f t="shared" si="8"/>
        <v>No</v>
      </c>
    </row>
    <row r="235" spans="3:13" s="1" customFormat="1" hidden="1" x14ac:dyDescent="0.3">
      <c r="C235" s="1447" t="str">
        <f>'Qualitative Disclosures'!C227</f>
        <v>Shareholder 8</v>
      </c>
      <c r="D235" s="1440"/>
      <c r="E235" s="1571">
        <f>'Qualitative Disclosures'!F227</f>
        <v>0</v>
      </c>
      <c r="F235" s="1571">
        <f>'Qualitative Disclosures'!G227</f>
        <v>0</v>
      </c>
      <c r="G235" s="1571">
        <f>'Qualitative Disclosures'!H227</f>
        <v>0</v>
      </c>
      <c r="H235" s="1571">
        <f>'Qualitative Disclosures'!I227</f>
        <v>0</v>
      </c>
      <c r="M235" s="1756" t="str">
        <f t="shared" si="8"/>
        <v>No</v>
      </c>
    </row>
    <row r="236" spans="3:13" s="1" customFormat="1" hidden="1" x14ac:dyDescent="0.3">
      <c r="C236" s="1447" t="str">
        <f>'Qualitative Disclosures'!C228</f>
        <v>Shareholder 9</v>
      </c>
      <c r="D236" s="1440"/>
      <c r="E236" s="1571">
        <f>'Qualitative Disclosures'!F228</f>
        <v>0</v>
      </c>
      <c r="F236" s="1571">
        <f>'Qualitative Disclosures'!G228</f>
        <v>0</v>
      </c>
      <c r="G236" s="1571">
        <f>'Qualitative Disclosures'!H228</f>
        <v>0</v>
      </c>
      <c r="H236" s="1571">
        <f>'Qualitative Disclosures'!I228</f>
        <v>0</v>
      </c>
      <c r="M236" s="1756" t="str">
        <f t="shared" si="8"/>
        <v>No</v>
      </c>
    </row>
    <row r="237" spans="3:13" s="1" customFormat="1" hidden="1" x14ac:dyDescent="0.3">
      <c r="C237" s="1447" t="str">
        <f>'Qualitative Disclosures'!C229</f>
        <v>Shareholder 10</v>
      </c>
      <c r="D237" s="1440"/>
      <c r="E237" s="1571">
        <f>'Qualitative Disclosures'!F229</f>
        <v>0</v>
      </c>
      <c r="F237" s="1571">
        <f>'Qualitative Disclosures'!G229</f>
        <v>0</v>
      </c>
      <c r="G237" s="1571">
        <f>'Qualitative Disclosures'!H229</f>
        <v>0</v>
      </c>
      <c r="H237" s="1571">
        <f>'Qualitative Disclosures'!I229</f>
        <v>0</v>
      </c>
      <c r="M237" s="1756" t="str">
        <f t="shared" si="8"/>
        <v>No</v>
      </c>
    </row>
    <row r="238" spans="3:13" s="1" customFormat="1" hidden="1" x14ac:dyDescent="0.3">
      <c r="C238" s="1447" t="str">
        <f>'Qualitative Disclosures'!C230</f>
        <v>Shareholder 11</v>
      </c>
      <c r="D238" s="1440"/>
      <c r="E238" s="1571">
        <f>'Qualitative Disclosures'!F230</f>
        <v>0</v>
      </c>
      <c r="F238" s="1571">
        <f>'Qualitative Disclosures'!G230</f>
        <v>0</v>
      </c>
      <c r="G238" s="1571">
        <f>'Qualitative Disclosures'!H230</f>
        <v>0</v>
      </c>
      <c r="H238" s="1571">
        <f>'Qualitative Disclosures'!I230</f>
        <v>0</v>
      </c>
      <c r="M238" s="1756" t="str">
        <f t="shared" si="8"/>
        <v>No</v>
      </c>
    </row>
    <row r="239" spans="3:13" s="1" customFormat="1" hidden="1" x14ac:dyDescent="0.3">
      <c r="C239" s="1447" t="str">
        <f>'Qualitative Disclosures'!C231</f>
        <v>Shareholder 12</v>
      </c>
      <c r="D239" s="1440"/>
      <c r="E239" s="1571">
        <f>'Qualitative Disclosures'!F231</f>
        <v>0</v>
      </c>
      <c r="F239" s="1571">
        <f>'Qualitative Disclosures'!G231</f>
        <v>0</v>
      </c>
      <c r="G239" s="1571">
        <f>'Qualitative Disclosures'!H231</f>
        <v>0</v>
      </c>
      <c r="H239" s="1571">
        <f>'Qualitative Disclosures'!I231</f>
        <v>0</v>
      </c>
      <c r="M239" s="1756" t="str">
        <f t="shared" si="8"/>
        <v>No</v>
      </c>
    </row>
    <row r="240" spans="3:13" s="1" customFormat="1" hidden="1" x14ac:dyDescent="0.3">
      <c r="C240" s="1447" t="str">
        <f>'Qualitative Disclosures'!C232</f>
        <v>Shareholder 13</v>
      </c>
      <c r="D240" s="1440"/>
      <c r="E240" s="1571">
        <f>'Qualitative Disclosures'!F232</f>
        <v>0</v>
      </c>
      <c r="F240" s="1571">
        <f>'Qualitative Disclosures'!G232</f>
        <v>0</v>
      </c>
      <c r="G240" s="1571">
        <f>'Qualitative Disclosures'!H232</f>
        <v>0</v>
      </c>
      <c r="H240" s="1571">
        <f>'Qualitative Disclosures'!I232</f>
        <v>0</v>
      </c>
      <c r="M240" s="1756" t="str">
        <f t="shared" si="8"/>
        <v>No</v>
      </c>
    </row>
    <row r="241" spans="3:15" s="1" customFormat="1" hidden="1" x14ac:dyDescent="0.3">
      <c r="C241" s="1447" t="str">
        <f>'Qualitative Disclosures'!C233</f>
        <v>Shareholder 14</v>
      </c>
      <c r="D241" s="1440"/>
      <c r="E241" s="1571">
        <f>'Qualitative Disclosures'!F233</f>
        <v>0</v>
      </c>
      <c r="F241" s="1571">
        <f>'Qualitative Disclosures'!G233</f>
        <v>0</v>
      </c>
      <c r="G241" s="1571">
        <f>'Qualitative Disclosures'!H233</f>
        <v>0</v>
      </c>
      <c r="H241" s="1571">
        <f>'Qualitative Disclosures'!I233</f>
        <v>0</v>
      </c>
      <c r="M241" s="1756" t="str">
        <f t="shared" si="8"/>
        <v>No</v>
      </c>
    </row>
    <row r="242" spans="3:15" s="1" customFormat="1" hidden="1" x14ac:dyDescent="0.3">
      <c r="C242" s="1447" t="str">
        <f>'Qualitative Disclosures'!C234</f>
        <v>Shareholder 15</v>
      </c>
      <c r="D242" s="1440"/>
      <c r="E242" s="1571">
        <f>'Qualitative Disclosures'!F234</f>
        <v>0</v>
      </c>
      <c r="F242" s="1571">
        <f>'Qualitative Disclosures'!G234</f>
        <v>0</v>
      </c>
      <c r="G242" s="1571">
        <f>'Qualitative Disclosures'!H234</f>
        <v>0</v>
      </c>
      <c r="H242" s="1571">
        <f>'Qualitative Disclosures'!I234</f>
        <v>0</v>
      </c>
      <c r="M242" s="1756" t="str">
        <f t="shared" si="8"/>
        <v>No</v>
      </c>
    </row>
    <row r="243" spans="3:15" s="1" customFormat="1" hidden="1" x14ac:dyDescent="0.3">
      <c r="C243" s="1447" t="str">
        <f>'Qualitative Disclosures'!C235</f>
        <v>Shareholder 16</v>
      </c>
      <c r="D243" s="1440"/>
      <c r="E243" s="1571">
        <f>'Qualitative Disclosures'!F235</f>
        <v>0</v>
      </c>
      <c r="F243" s="1571">
        <f>'Qualitative Disclosures'!G235</f>
        <v>0</v>
      </c>
      <c r="G243" s="1571">
        <f>'Qualitative Disclosures'!H235</f>
        <v>0</v>
      </c>
      <c r="H243" s="1571">
        <f>'Qualitative Disclosures'!I235</f>
        <v>0</v>
      </c>
      <c r="M243" s="1756" t="str">
        <f t="shared" si="8"/>
        <v>No</v>
      </c>
    </row>
    <row r="244" spans="3:15" s="1" customFormat="1" hidden="1" x14ac:dyDescent="0.3">
      <c r="C244" s="1447" t="str">
        <f>'Qualitative Disclosures'!C236</f>
        <v>Shareholder 17</v>
      </c>
      <c r="D244" s="1440"/>
      <c r="E244" s="1571">
        <f>'Qualitative Disclosures'!F236</f>
        <v>0</v>
      </c>
      <c r="F244" s="1571">
        <f>'Qualitative Disclosures'!G236</f>
        <v>0</v>
      </c>
      <c r="G244" s="1571">
        <f>'Qualitative Disclosures'!H236</f>
        <v>0</v>
      </c>
      <c r="H244" s="1571">
        <f>'Qualitative Disclosures'!I236</f>
        <v>0</v>
      </c>
      <c r="M244" s="1756" t="str">
        <f t="shared" si="8"/>
        <v>No</v>
      </c>
    </row>
    <row r="245" spans="3:15" s="1" customFormat="1" hidden="1" x14ac:dyDescent="0.3">
      <c r="C245" s="1447" t="str">
        <f>'Qualitative Disclosures'!C237</f>
        <v>Shareholder 18</v>
      </c>
      <c r="D245" s="1440"/>
      <c r="E245" s="1571">
        <f>'Qualitative Disclosures'!F237</f>
        <v>0</v>
      </c>
      <c r="F245" s="1571">
        <f>'Qualitative Disclosures'!G237</f>
        <v>0</v>
      </c>
      <c r="G245" s="1571">
        <f>'Qualitative Disclosures'!H237</f>
        <v>0</v>
      </c>
      <c r="H245" s="1571">
        <f>'Qualitative Disclosures'!I237</f>
        <v>0</v>
      </c>
      <c r="M245" s="1756" t="str">
        <f t="shared" si="8"/>
        <v>No</v>
      </c>
    </row>
    <row r="246" spans="3:15" s="1" customFormat="1" hidden="1" x14ac:dyDescent="0.3">
      <c r="C246" s="1447" t="str">
        <f>'Qualitative Disclosures'!C238</f>
        <v>Shareholder 19</v>
      </c>
      <c r="D246" s="1440"/>
      <c r="E246" s="1571">
        <f>'Qualitative Disclosures'!F238</f>
        <v>0</v>
      </c>
      <c r="F246" s="1571">
        <f>'Qualitative Disclosures'!G238</f>
        <v>0</v>
      </c>
      <c r="G246" s="1571">
        <f>'Qualitative Disclosures'!H238</f>
        <v>0</v>
      </c>
      <c r="H246" s="1571">
        <f>'Qualitative Disclosures'!I238</f>
        <v>0</v>
      </c>
      <c r="M246" s="1756" t="str">
        <f t="shared" si="8"/>
        <v>No</v>
      </c>
    </row>
    <row r="247" spans="3:15" s="1" customFormat="1" hidden="1" x14ac:dyDescent="0.3">
      <c r="C247" s="1447" t="str">
        <f>'Qualitative Disclosures'!C239</f>
        <v>Shareholder 20</v>
      </c>
      <c r="D247" s="1440"/>
      <c r="E247" s="1571">
        <f>'Qualitative Disclosures'!F239</f>
        <v>0</v>
      </c>
      <c r="F247" s="1571">
        <f>'Qualitative Disclosures'!G239</f>
        <v>0</v>
      </c>
      <c r="G247" s="1571">
        <f>'Qualitative Disclosures'!H239</f>
        <v>0</v>
      </c>
      <c r="H247" s="1571">
        <f>'Qualitative Disclosures'!I239</f>
        <v>0</v>
      </c>
      <c r="M247" s="1756" t="str">
        <f t="shared" si="8"/>
        <v>No</v>
      </c>
    </row>
    <row r="248" spans="3:15" s="1" customFormat="1" x14ac:dyDescent="0.3">
      <c r="C248" s="534"/>
      <c r="D248" s="534"/>
      <c r="E248" s="1733"/>
      <c r="F248" s="1733"/>
      <c r="G248" s="1733"/>
      <c r="H248" s="1733"/>
      <c r="M248" s="1756" t="str">
        <f>M142</f>
        <v>Yes</v>
      </c>
    </row>
    <row r="249" spans="3:15" s="1" customFormat="1" x14ac:dyDescent="0.3">
      <c r="E249" s="1731"/>
      <c r="F249" s="1731"/>
      <c r="G249" s="1731"/>
      <c r="H249" s="1731"/>
      <c r="M249" s="1756" t="str">
        <f>+M250</f>
        <v>Yes</v>
      </c>
    </row>
    <row r="250" spans="3:15" x14ac:dyDescent="0.3">
      <c r="C250" s="42" t="str">
        <f>+"("&amp;N250&amp;") "&amp;O250</f>
        <v>(v) Details of Shares Held by Promotors at the end of the year</v>
      </c>
      <c r="D250" s="2420"/>
      <c r="E250" s="1735"/>
      <c r="F250" s="1736"/>
      <c r="G250" s="1210"/>
      <c r="H250" s="1210"/>
      <c r="M250" s="1756" t="str">
        <f>M251</f>
        <v>Yes</v>
      </c>
      <c r="N250" s="42" t="str">
        <f>+IF(M140="Yes",LOWER(ROMAN(_xlfn.ARABIC(N140)+1)),N140)</f>
        <v>v</v>
      </c>
      <c r="O250" s="1" t="s">
        <v>1853</v>
      </c>
    </row>
    <row r="251" spans="3:15" x14ac:dyDescent="0.3">
      <c r="C251" s="1734"/>
      <c r="D251" s="1734"/>
      <c r="E251" s="1735"/>
      <c r="F251" s="1735"/>
      <c r="G251" s="1736"/>
      <c r="H251" s="1210"/>
      <c r="M251" s="1756" t="str">
        <f>M252</f>
        <v>Yes</v>
      </c>
    </row>
    <row r="252" spans="3:15" x14ac:dyDescent="0.3">
      <c r="C252" s="2841" t="s">
        <v>852</v>
      </c>
      <c r="D252" s="2842"/>
      <c r="E252" s="2838" t="str">
        <f>BSCY</f>
        <v>As At 31st March 2025</v>
      </c>
      <c r="F252" s="2838"/>
      <c r="G252" s="2839" t="str">
        <f>BSPY</f>
        <v>As At 31st March 2024</v>
      </c>
      <c r="H252" s="2840"/>
      <c r="I252" s="2523"/>
      <c r="M252" s="1756" t="str">
        <f>M253</f>
        <v>Yes</v>
      </c>
    </row>
    <row r="253" spans="3:15" ht="30" x14ac:dyDescent="0.3">
      <c r="C253" s="2843"/>
      <c r="D253" s="2844"/>
      <c r="E253" s="2471" t="s">
        <v>1149</v>
      </c>
      <c r="F253" s="2471" t="s">
        <v>1372</v>
      </c>
      <c r="G253" s="2471" t="s">
        <v>1149</v>
      </c>
      <c r="H253" s="2471" t="s">
        <v>1372</v>
      </c>
      <c r="I253" s="2472" t="s">
        <v>1373</v>
      </c>
      <c r="M253" s="1756" t="str">
        <f>IF(COUNTIF(M254:M263,"Yes")&lt;&gt;0,"Yes","No")</f>
        <v>Yes</v>
      </c>
    </row>
    <row r="254" spans="3:15" x14ac:dyDescent="0.3">
      <c r="C254" s="403" t="str">
        <f>'Qualitative Disclosures'!C246</f>
        <v>Meridian IT Asia Pacific Pty Ltd</v>
      </c>
      <c r="D254" s="2421"/>
      <c r="E254" s="2422">
        <f>'Qualitative Disclosures'!F246</f>
        <v>149999</v>
      </c>
      <c r="F254" s="2423">
        <f>'Qualitative Disclosures'!G246</f>
        <v>0.99999333333333329</v>
      </c>
      <c r="G254" s="2422">
        <f>'Qualitative Disclosures'!H246</f>
        <v>149999</v>
      </c>
      <c r="H254" s="2423">
        <f>'Qualitative Disclosures'!I246</f>
        <v>0.99999333333333329</v>
      </c>
      <c r="I254" s="2424">
        <f>'Qualitative Disclosures'!J246</f>
        <v>0</v>
      </c>
      <c r="M254" s="1756" t="str">
        <f>IF(AND(E254=0,F254=0,G254=0,H254=0),"No","Yes")</f>
        <v>Yes</v>
      </c>
    </row>
    <row r="255" spans="3:15" hidden="1" x14ac:dyDescent="0.3">
      <c r="C255" s="1442">
        <f>'Qualitative Disclosures'!C247</f>
        <v>0</v>
      </c>
      <c r="D255" s="1451"/>
      <c r="E255" s="1573">
        <f>'Qualitative Disclosures'!F247</f>
        <v>0</v>
      </c>
      <c r="F255" s="2302">
        <f>'Qualitative Disclosures'!G247</f>
        <v>0</v>
      </c>
      <c r="G255" s="1573">
        <f>'Qualitative Disclosures'!H247</f>
        <v>0</v>
      </c>
      <c r="H255" s="2302">
        <f>'Qualitative Disclosures'!I247</f>
        <v>0</v>
      </c>
      <c r="I255" s="1737">
        <f>'Qualitative Disclosures'!J247</f>
        <v>0</v>
      </c>
      <c r="M255" s="1756" t="str">
        <f t="shared" ref="M255:M263" si="9">IF(AND(E255=0,F255=0,G255=0,H255=0),"No","Yes")</f>
        <v>No</v>
      </c>
    </row>
    <row r="256" spans="3:15" hidden="1" x14ac:dyDescent="0.3">
      <c r="C256" s="1442" t="str">
        <f>'Qualitative Disclosures'!C248</f>
        <v>&lt;Name&gt; - &lt;Class of shares&gt;</v>
      </c>
      <c r="D256" s="1451"/>
      <c r="E256" s="1573">
        <f>'Qualitative Disclosures'!F248</f>
        <v>0</v>
      </c>
      <c r="F256" s="1573">
        <f>'Qualitative Disclosures'!G248</f>
        <v>0</v>
      </c>
      <c r="G256" s="1573">
        <f>'Qualitative Disclosures'!H248</f>
        <v>0</v>
      </c>
      <c r="H256" s="1573">
        <f>'Qualitative Disclosures'!I248</f>
        <v>0</v>
      </c>
      <c r="I256" s="1737">
        <f>'Qualitative Disclosures'!J248</f>
        <v>0</v>
      </c>
      <c r="M256" s="1756" t="str">
        <f t="shared" si="9"/>
        <v>No</v>
      </c>
    </row>
    <row r="257" spans="3:13" hidden="1" x14ac:dyDescent="0.3">
      <c r="C257" s="1442" t="str">
        <f>'Qualitative Disclosures'!C249</f>
        <v>&lt;Name&gt; - &lt;Class of shares&gt;</v>
      </c>
      <c r="D257" s="1451"/>
      <c r="E257" s="1573">
        <f>'Qualitative Disclosures'!F249</f>
        <v>0</v>
      </c>
      <c r="F257" s="1573">
        <f>'Qualitative Disclosures'!G249</f>
        <v>0</v>
      </c>
      <c r="G257" s="1573">
        <f>'Qualitative Disclosures'!H249</f>
        <v>0</v>
      </c>
      <c r="H257" s="1573">
        <f>'Qualitative Disclosures'!I249</f>
        <v>0</v>
      </c>
      <c r="I257" s="1737">
        <f>'Qualitative Disclosures'!J249</f>
        <v>0</v>
      </c>
      <c r="M257" s="1756" t="str">
        <f t="shared" si="9"/>
        <v>No</v>
      </c>
    </row>
    <row r="258" spans="3:13" hidden="1" x14ac:dyDescent="0.3">
      <c r="C258" s="1442" t="str">
        <f>'Qualitative Disclosures'!C250</f>
        <v>&lt;Name&gt; - &lt;Class of shares&gt;</v>
      </c>
      <c r="D258" s="1451"/>
      <c r="E258" s="1573">
        <f>'Qualitative Disclosures'!F250</f>
        <v>0</v>
      </c>
      <c r="F258" s="1573">
        <f>'Qualitative Disclosures'!G250</f>
        <v>0</v>
      </c>
      <c r="G258" s="1573">
        <f>'Qualitative Disclosures'!H250</f>
        <v>0</v>
      </c>
      <c r="H258" s="1573">
        <f>'Qualitative Disclosures'!I250</f>
        <v>0</v>
      </c>
      <c r="I258" s="1737">
        <f>'Qualitative Disclosures'!J250</f>
        <v>0</v>
      </c>
      <c r="M258" s="1756" t="str">
        <f t="shared" si="9"/>
        <v>No</v>
      </c>
    </row>
    <row r="259" spans="3:13" hidden="1" x14ac:dyDescent="0.3">
      <c r="C259" s="1442" t="str">
        <f>'Qualitative Disclosures'!C251</f>
        <v>&lt;Name&gt; - &lt;Class of shares&gt;</v>
      </c>
      <c r="D259" s="1451"/>
      <c r="E259" s="1573">
        <f>'Qualitative Disclosures'!F251</f>
        <v>0</v>
      </c>
      <c r="F259" s="1573">
        <f>'Qualitative Disclosures'!G251</f>
        <v>0</v>
      </c>
      <c r="G259" s="1573">
        <f>'Qualitative Disclosures'!H251</f>
        <v>0</v>
      </c>
      <c r="H259" s="1573">
        <f>'Qualitative Disclosures'!I251</f>
        <v>0</v>
      </c>
      <c r="I259" s="1737">
        <f>'Qualitative Disclosures'!J251</f>
        <v>0</v>
      </c>
      <c r="M259" s="1756" t="str">
        <f t="shared" si="9"/>
        <v>No</v>
      </c>
    </row>
    <row r="260" spans="3:13" hidden="1" x14ac:dyDescent="0.3">
      <c r="C260" s="1442" t="str">
        <f>'Qualitative Disclosures'!C252</f>
        <v>&lt;Name&gt; - &lt;Class of shares&gt;</v>
      </c>
      <c r="D260" s="1451"/>
      <c r="E260" s="1573">
        <f>'Qualitative Disclosures'!F252</f>
        <v>0</v>
      </c>
      <c r="F260" s="1573">
        <f>'Qualitative Disclosures'!G252</f>
        <v>0</v>
      </c>
      <c r="G260" s="1573">
        <f>'Qualitative Disclosures'!H252</f>
        <v>0</v>
      </c>
      <c r="H260" s="1573">
        <f>'Qualitative Disclosures'!I252</f>
        <v>0</v>
      </c>
      <c r="I260" s="1737">
        <f>'Qualitative Disclosures'!J252</f>
        <v>0</v>
      </c>
      <c r="M260" s="1756" t="str">
        <f t="shared" si="9"/>
        <v>No</v>
      </c>
    </row>
    <row r="261" spans="3:13" hidden="1" x14ac:dyDescent="0.3">
      <c r="C261" s="1442" t="str">
        <f>'Qualitative Disclosures'!C253</f>
        <v>&lt;Name&gt; - &lt;Class of shares&gt;</v>
      </c>
      <c r="D261" s="1451"/>
      <c r="E261" s="1573">
        <f>'Qualitative Disclosures'!F253</f>
        <v>0</v>
      </c>
      <c r="F261" s="1573">
        <f>'Qualitative Disclosures'!G253</f>
        <v>0</v>
      </c>
      <c r="G261" s="1573">
        <f>'Qualitative Disclosures'!H253</f>
        <v>0</v>
      </c>
      <c r="H261" s="1573">
        <f>'Qualitative Disclosures'!I253</f>
        <v>0</v>
      </c>
      <c r="I261" s="1737">
        <f>'Qualitative Disclosures'!J253</f>
        <v>0</v>
      </c>
      <c r="M261" s="1756" t="str">
        <f t="shared" si="9"/>
        <v>No</v>
      </c>
    </row>
    <row r="262" spans="3:13" hidden="1" x14ac:dyDescent="0.3">
      <c r="C262" s="1442" t="str">
        <f>'Qualitative Disclosures'!C254</f>
        <v>&lt;Name&gt; - &lt;Class of shares&gt;</v>
      </c>
      <c r="D262" s="1451"/>
      <c r="E262" s="1573">
        <f>'Qualitative Disclosures'!F254</f>
        <v>0</v>
      </c>
      <c r="F262" s="1573">
        <f>'Qualitative Disclosures'!G254</f>
        <v>0</v>
      </c>
      <c r="G262" s="1573">
        <f>'Qualitative Disclosures'!H254</f>
        <v>0</v>
      </c>
      <c r="H262" s="1573">
        <f>'Qualitative Disclosures'!I254</f>
        <v>0</v>
      </c>
      <c r="I262" s="1737">
        <f>'Qualitative Disclosures'!J254</f>
        <v>0</v>
      </c>
      <c r="M262" s="1756" t="str">
        <f t="shared" si="9"/>
        <v>No</v>
      </c>
    </row>
    <row r="263" spans="3:13" hidden="1" x14ac:dyDescent="0.3">
      <c r="C263" s="1442" t="str">
        <f>'Qualitative Disclosures'!C255</f>
        <v>&lt;Name&gt; - &lt;Class of shares&gt;</v>
      </c>
      <c r="D263" s="1451"/>
      <c r="E263" s="1573">
        <f>'Qualitative Disclosures'!F255</f>
        <v>0</v>
      </c>
      <c r="F263" s="1573">
        <f>'Qualitative Disclosures'!G255</f>
        <v>0</v>
      </c>
      <c r="G263" s="1573">
        <f>'Qualitative Disclosures'!H255</f>
        <v>0</v>
      </c>
      <c r="H263" s="1573">
        <f>'Qualitative Disclosures'!I255</f>
        <v>0</v>
      </c>
      <c r="I263" s="1737">
        <f>'Qualitative Disclosures'!J255</f>
        <v>0</v>
      </c>
      <c r="M263" s="1756" t="str">
        <f t="shared" si="9"/>
        <v>No</v>
      </c>
    </row>
    <row r="264" spans="3:13" x14ac:dyDescent="0.3">
      <c r="C264" s="2425"/>
      <c r="D264" s="2425"/>
      <c r="E264" s="2426"/>
      <c r="F264" s="2426"/>
      <c r="G264" s="2427"/>
      <c r="H264" s="2428"/>
      <c r="I264" s="529"/>
      <c r="M264" s="1756" t="str">
        <f>M253</f>
        <v>Yes</v>
      </c>
    </row>
    <row r="265" spans="3:13" x14ac:dyDescent="0.3">
      <c r="C265" s="2848" t="s">
        <v>852</v>
      </c>
      <c r="D265" s="2849"/>
      <c r="E265" s="2845" t="str">
        <f>BSPY</f>
        <v>As At 31st March 2024</v>
      </c>
      <c r="F265" s="2845"/>
      <c r="G265" s="2846" t="str">
        <f>LEFT(E265,19) &amp; RIGHT(E265,2)-1</f>
        <v>As At 31st March 2023</v>
      </c>
      <c r="H265" s="2847"/>
      <c r="I265" s="186"/>
      <c r="M265" s="1756" t="str">
        <f>M266</f>
        <v>Yes</v>
      </c>
    </row>
    <row r="266" spans="3:13" ht="30" x14ac:dyDescent="0.3">
      <c r="C266" s="2843"/>
      <c r="D266" s="2850"/>
      <c r="E266" s="2473" t="s">
        <v>1149</v>
      </c>
      <c r="F266" s="2471" t="s">
        <v>1372</v>
      </c>
      <c r="G266" s="2471" t="s">
        <v>1149</v>
      </c>
      <c r="H266" s="2471" t="s">
        <v>1372</v>
      </c>
      <c r="I266" s="2472" t="s">
        <v>1373</v>
      </c>
      <c r="M266" s="1756" t="str">
        <f>IF(COUNTIF(M267:M276,"Yes")&lt;&gt;0,"Yes","No")</f>
        <v>Yes</v>
      </c>
    </row>
    <row r="267" spans="3:13" x14ac:dyDescent="0.3">
      <c r="C267" s="2474" t="str">
        <f>'Qualitative Disclosures'!C259</f>
        <v>Meridian IT Asia Pacific Pty Ltd</v>
      </c>
      <c r="D267" s="2475"/>
      <c r="E267" s="2476">
        <f>'Qualitative Disclosures'!F259</f>
        <v>149999</v>
      </c>
      <c r="F267" s="2477">
        <f>'Qualitative Disclosures'!G259</f>
        <v>0.99999333333333329</v>
      </c>
      <c r="G267" s="2476">
        <f>'Qualitative Disclosures'!H259</f>
        <v>149999</v>
      </c>
      <c r="H267" s="2477">
        <f>'Qualitative Disclosures'!I259</f>
        <v>0.99999333333333329</v>
      </c>
      <c r="I267" s="2478">
        <f>'Qualitative Disclosures'!J259</f>
        <v>0</v>
      </c>
      <c r="M267" s="1756" t="str">
        <f>IF(AND(E267=0,F267=0,G267=0,H267=0),"No","Yes")</f>
        <v>Yes</v>
      </c>
    </row>
    <row r="268" spans="3:13" hidden="1" x14ac:dyDescent="0.3">
      <c r="C268" s="2432">
        <f>'Qualitative Disclosures'!C260</f>
        <v>0</v>
      </c>
      <c r="D268" s="2433"/>
      <c r="E268" s="2434">
        <f>'Qualitative Disclosures'!F260</f>
        <v>0</v>
      </c>
      <c r="F268" s="2435">
        <f>'Qualitative Disclosures'!G260</f>
        <v>0</v>
      </c>
      <c r="G268" s="2434">
        <f>'Qualitative Disclosures'!H260</f>
        <v>0</v>
      </c>
      <c r="H268" s="2435">
        <f>'Qualitative Disclosures'!I260</f>
        <v>0</v>
      </c>
      <c r="I268" s="2436">
        <f>'Qualitative Disclosures'!J260</f>
        <v>0</v>
      </c>
      <c r="M268" s="1756" t="str">
        <f t="shared" ref="M268:M276" si="10">IF(AND(E268=0,F268=0,G268=0,H268=0),"No","Yes")</f>
        <v>No</v>
      </c>
    </row>
    <row r="269" spans="3:13" hidden="1" x14ac:dyDescent="0.3">
      <c r="C269" s="2429" t="str">
        <f>'Qualitative Disclosures'!C261</f>
        <v>&lt;Name&gt; - &lt;Class of shares&gt;</v>
      </c>
      <c r="D269" s="551"/>
      <c r="E269" s="2430">
        <f>'Qualitative Disclosures'!F261</f>
        <v>0</v>
      </c>
      <c r="F269" s="2430">
        <f>'Qualitative Disclosures'!G261</f>
        <v>0</v>
      </c>
      <c r="G269" s="2430">
        <f>'Qualitative Disclosures'!H261</f>
        <v>0</v>
      </c>
      <c r="H269" s="2430">
        <f>'Qualitative Disclosures'!I261</f>
        <v>0</v>
      </c>
      <c r="I269" s="2431">
        <f>'Qualitative Disclosures'!J261</f>
        <v>0</v>
      </c>
      <c r="M269" s="1756" t="str">
        <f t="shared" si="10"/>
        <v>No</v>
      </c>
    </row>
    <row r="270" spans="3:13" hidden="1" x14ac:dyDescent="0.3">
      <c r="C270" s="2429" t="str">
        <f>'Qualitative Disclosures'!C262</f>
        <v>&lt;Name&gt; - &lt;Class of shares&gt;</v>
      </c>
      <c r="D270" s="551"/>
      <c r="E270" s="2430">
        <f>'Qualitative Disclosures'!F262</f>
        <v>0</v>
      </c>
      <c r="F270" s="2430">
        <f>'Qualitative Disclosures'!G262</f>
        <v>0</v>
      </c>
      <c r="G270" s="2430">
        <f>'Qualitative Disclosures'!H262</f>
        <v>0</v>
      </c>
      <c r="H270" s="2430">
        <f>'Qualitative Disclosures'!I262</f>
        <v>0</v>
      </c>
      <c r="I270" s="2431">
        <f>'Qualitative Disclosures'!J262</f>
        <v>0</v>
      </c>
      <c r="M270" s="1756" t="str">
        <f t="shared" si="10"/>
        <v>No</v>
      </c>
    </row>
    <row r="271" spans="3:13" hidden="1" x14ac:dyDescent="0.3">
      <c r="C271" s="2429" t="str">
        <f>'Qualitative Disclosures'!C263</f>
        <v>&lt;Name&gt; - &lt;Class of shares&gt;</v>
      </c>
      <c r="D271" s="551"/>
      <c r="E271" s="2430">
        <f>'Qualitative Disclosures'!F263</f>
        <v>0</v>
      </c>
      <c r="F271" s="2430">
        <f>'Qualitative Disclosures'!G263</f>
        <v>0</v>
      </c>
      <c r="G271" s="2430">
        <f>'Qualitative Disclosures'!H263</f>
        <v>0</v>
      </c>
      <c r="H271" s="2430">
        <f>'Qualitative Disclosures'!I263</f>
        <v>0</v>
      </c>
      <c r="I271" s="2431">
        <f>'Qualitative Disclosures'!J263</f>
        <v>0</v>
      </c>
      <c r="M271" s="1756" t="str">
        <f t="shared" si="10"/>
        <v>No</v>
      </c>
    </row>
    <row r="272" spans="3:13" hidden="1" x14ac:dyDescent="0.3">
      <c r="C272" s="2429" t="str">
        <f>'Qualitative Disclosures'!C264</f>
        <v>&lt;Name&gt; - &lt;Class of shares&gt;</v>
      </c>
      <c r="D272" s="551"/>
      <c r="E272" s="2430">
        <f>'Qualitative Disclosures'!F264</f>
        <v>0</v>
      </c>
      <c r="F272" s="2430">
        <f>'Qualitative Disclosures'!G264</f>
        <v>0</v>
      </c>
      <c r="G272" s="2430">
        <f>'Qualitative Disclosures'!H264</f>
        <v>0</v>
      </c>
      <c r="H272" s="2430">
        <f>'Qualitative Disclosures'!I264</f>
        <v>0</v>
      </c>
      <c r="I272" s="2431">
        <f>'Qualitative Disclosures'!J264</f>
        <v>0</v>
      </c>
      <c r="M272" s="1756" t="str">
        <f t="shared" si="10"/>
        <v>No</v>
      </c>
    </row>
    <row r="273" spans="3:15" hidden="1" x14ac:dyDescent="0.3">
      <c r="C273" s="2429" t="str">
        <f>'Qualitative Disclosures'!C265</f>
        <v>&lt;Name&gt; - &lt;Class of shares&gt;</v>
      </c>
      <c r="D273" s="551"/>
      <c r="E273" s="2430">
        <f>'Qualitative Disclosures'!F265</f>
        <v>0</v>
      </c>
      <c r="F273" s="2430">
        <f>'Qualitative Disclosures'!G265</f>
        <v>0</v>
      </c>
      <c r="G273" s="2430">
        <f>'Qualitative Disclosures'!H265</f>
        <v>0</v>
      </c>
      <c r="H273" s="2430">
        <f>'Qualitative Disclosures'!I265</f>
        <v>0</v>
      </c>
      <c r="I273" s="2431">
        <f>'Qualitative Disclosures'!J265</f>
        <v>0</v>
      </c>
      <c r="M273" s="1756" t="str">
        <f t="shared" si="10"/>
        <v>No</v>
      </c>
    </row>
    <row r="274" spans="3:15" hidden="1" x14ac:dyDescent="0.3">
      <c r="C274" s="2429" t="str">
        <f>'Qualitative Disclosures'!C266</f>
        <v>&lt;Name&gt; - &lt;Class of shares&gt;</v>
      </c>
      <c r="D274" s="551"/>
      <c r="E274" s="2430">
        <f>'Qualitative Disclosures'!F266</f>
        <v>0</v>
      </c>
      <c r="F274" s="2430">
        <f>'Qualitative Disclosures'!G266</f>
        <v>0</v>
      </c>
      <c r="G274" s="2430">
        <f>'Qualitative Disclosures'!H266</f>
        <v>0</v>
      </c>
      <c r="H274" s="2430">
        <f>'Qualitative Disclosures'!I266</f>
        <v>0</v>
      </c>
      <c r="I274" s="2431">
        <f>'Qualitative Disclosures'!J266</f>
        <v>0</v>
      </c>
      <c r="M274" s="1756" t="str">
        <f t="shared" si="10"/>
        <v>No</v>
      </c>
    </row>
    <row r="275" spans="3:15" hidden="1" x14ac:dyDescent="0.3">
      <c r="C275" s="2429" t="str">
        <f>'Qualitative Disclosures'!C267</f>
        <v>&lt;Name&gt; - &lt;Class of shares&gt;</v>
      </c>
      <c r="D275" s="551"/>
      <c r="E275" s="2430">
        <f>'Qualitative Disclosures'!F267</f>
        <v>0</v>
      </c>
      <c r="F275" s="2430">
        <f>'Qualitative Disclosures'!G267</f>
        <v>0</v>
      </c>
      <c r="G275" s="2430">
        <f>'Qualitative Disclosures'!H267</f>
        <v>0</v>
      </c>
      <c r="H275" s="2430">
        <f>'Qualitative Disclosures'!I267</f>
        <v>0</v>
      </c>
      <c r="I275" s="2431">
        <f>'Qualitative Disclosures'!J267</f>
        <v>0</v>
      </c>
      <c r="M275" s="1756" t="str">
        <f t="shared" si="10"/>
        <v>No</v>
      </c>
    </row>
    <row r="276" spans="3:15" hidden="1" x14ac:dyDescent="0.3">
      <c r="C276" s="2429" t="str">
        <f>'Qualitative Disclosures'!C268</f>
        <v>&lt;Name&gt; - &lt;Class of shares&gt;</v>
      </c>
      <c r="D276" s="551"/>
      <c r="E276" s="2430">
        <f>'Qualitative Disclosures'!F268</f>
        <v>0</v>
      </c>
      <c r="F276" s="2430">
        <f>'Qualitative Disclosures'!G268</f>
        <v>0</v>
      </c>
      <c r="G276" s="2430">
        <f>'Qualitative Disclosures'!H268</f>
        <v>0</v>
      </c>
      <c r="H276" s="2430">
        <f>'Qualitative Disclosures'!I268</f>
        <v>0</v>
      </c>
      <c r="I276" s="2431">
        <f>'Qualitative Disclosures'!J268</f>
        <v>0</v>
      </c>
      <c r="M276" s="1756" t="str">
        <f t="shared" si="10"/>
        <v>No</v>
      </c>
    </row>
    <row r="277" spans="3:15" hidden="1" x14ac:dyDescent="0.3">
      <c r="C277" s="2437"/>
      <c r="D277" s="2438"/>
      <c r="E277" s="1574"/>
      <c r="F277" s="1574"/>
      <c r="G277" s="1574"/>
      <c r="H277" s="1574"/>
      <c r="I277" s="606"/>
      <c r="M277" s="1756" t="str">
        <f>+M278</f>
        <v>No</v>
      </c>
    </row>
    <row r="278" spans="3:15" ht="14.45" hidden="1" customHeight="1" x14ac:dyDescent="0.3">
      <c r="C278" s="42" t="str">
        <f>+"("&amp;N278&amp;") "&amp;O278</f>
        <v>(vi) As at 31 March, 20X2 _____ shares (As at 31 March, 20X1________ shares) were reserved for issuance as follows:</v>
      </c>
      <c r="D278" s="131"/>
      <c r="E278" s="2439"/>
      <c r="F278" s="2439"/>
      <c r="G278" s="2439"/>
      <c r="H278" s="2439"/>
      <c r="I278" s="131"/>
      <c r="M278" s="1756" t="str">
        <f>+IF(AND(M279="No",M280="No",M281="No"),"No","Yes")</f>
        <v>No</v>
      </c>
      <c r="N278" s="42" t="str">
        <f>+IF(M250="Yes",LOWER(ROMAN(_xlfn.ARABIC(N250)+1)),N250)</f>
        <v>vi</v>
      </c>
      <c r="O278" s="1" t="str">
        <f>+_xlfn.TEXTAFTER('Qualitative Disclosures'!C270," ")</f>
        <v>As at 31 March, 20X2 _____ shares (As at 31 March, 20X1________ shares) were reserved for issuance as follows:</v>
      </c>
    </row>
    <row r="279" spans="3:15" ht="14.45" hidden="1" customHeight="1" x14ac:dyDescent="0.3">
      <c r="C279" s="41" t="str">
        <f>+'Qualitative Disclosures'!C271</f>
        <v>(a)______ shares (As at 31 March, 20X1 ____ shares) of ` ___ each towards outstanding employee stock options granted / available for grant. (Refer Note 31)</v>
      </c>
      <c r="D279" s="32"/>
      <c r="E279" s="2440"/>
      <c r="F279" s="2440"/>
      <c r="G279" s="2440"/>
      <c r="H279" s="1210"/>
      <c r="M279" s="1756" t="str">
        <f>+IF(_xlfn.TEXTBEFORE(_xlfn.TEXTAFTER(C279,")")," ")="______","No","Yes")</f>
        <v>No</v>
      </c>
    </row>
    <row r="280" spans="3:15" ht="14.45" hidden="1" customHeight="1" x14ac:dyDescent="0.3">
      <c r="C280" s="41" t="str">
        <f>+'Qualitative Disclosures'!C272</f>
        <v>(b)______ shares (As at 31 March, 20X1 ____ shares) of ` ____ each towards outstanding share warrants.  (Refer Note 29.1)</v>
      </c>
      <c r="D280" s="32"/>
      <c r="E280" s="2440"/>
      <c r="F280" s="2440"/>
      <c r="G280" s="2440"/>
      <c r="H280" s="1210"/>
      <c r="M280" s="1756" t="str">
        <f>+IF(_xlfn.TEXTBEFORE(_xlfn.TEXTAFTER(C280,")")," ")="______","No","Yes")</f>
        <v>No</v>
      </c>
    </row>
    <row r="281" spans="3:15" ht="14.45" hidden="1" customHeight="1" x14ac:dyDescent="0.3">
      <c r="C281" s="41" t="str">
        <f>+'Qualitative Disclosures'!C273</f>
        <v>(c)______ shares (As at 31 March, 20X1 ____ shares) of ` ___ each towards convertible securities [Preference shares (Refer (ii) above), convertible bonds / debentures (Refer Note (i) in Note 5 Long-term borrowings )]</v>
      </c>
      <c r="D281" s="32"/>
      <c r="E281" s="2440"/>
      <c r="F281" s="2440"/>
      <c r="G281" s="2440"/>
      <c r="H281" s="1210"/>
      <c r="M281" s="1756" t="str">
        <f>+IF(_xlfn.TEXTBEFORE(_xlfn.TEXTAFTER(C281,")")," ")="______","No","Yes")</f>
        <v>No</v>
      </c>
    </row>
    <row r="282" spans="3:15" hidden="1" x14ac:dyDescent="0.3">
      <c r="C282" s="56"/>
      <c r="D282" s="56"/>
      <c r="E282" s="1738"/>
      <c r="F282" s="1738"/>
      <c r="G282" s="1738"/>
      <c r="H282" s="1210"/>
      <c r="M282" s="1756" t="s">
        <v>840</v>
      </c>
    </row>
    <row r="283" spans="3:15" x14ac:dyDescent="0.3">
      <c r="C283" s="56"/>
      <c r="D283" s="56"/>
      <c r="E283" s="1738"/>
      <c r="F283" s="1738"/>
      <c r="G283" s="1738"/>
      <c r="H283" s="1210"/>
      <c r="M283" s="1756"/>
    </row>
    <row r="284" spans="3:15" ht="14.45" hidden="1" customHeight="1" x14ac:dyDescent="0.3">
      <c r="C284" s="2784" t="str">
        <f>+"("&amp;N284&amp;") "&amp;O284</f>
        <v>(vi) Aggregate number and class of shares allotted as fully paid up pursuant to contract(s) without payment being received in cash, bonus shares and shares bought back for the period of 5 years immediately preceding the balance sheet date:</v>
      </c>
      <c r="D284" s="2784" t="str">
        <f>+"("&amp;O284&amp;") "&amp;P284</f>
        <v xml:space="preserve">(Aggregate number and class of shares allotted as fully paid up pursuant to contract(s) without payment being received in cash, bonus shares and shares bought back for the period of 5 years immediately preceding the balance sheet date:) </v>
      </c>
      <c r="E284" s="2784" t="str">
        <f>+"("&amp;P284&amp;") "&amp;Q284</f>
        <v xml:space="preserve">() </v>
      </c>
      <c r="F284" s="2784" t="str">
        <f>+"("&amp;Q284&amp;") "&amp;R284</f>
        <v xml:space="preserve">() </v>
      </c>
      <c r="G284" s="2784" t="str">
        <f>+"("&amp;R284&amp;") "&amp;S284</f>
        <v xml:space="preserve">() </v>
      </c>
      <c r="H284" s="1210"/>
      <c r="M284" s="1756" t="str">
        <f>M285</f>
        <v>No</v>
      </c>
      <c r="N284" s="306" t="str">
        <f>+IF(M278="Yes",LOWER(ROMAN(_xlfn.ARABIC(N278)+1)),N278)</f>
        <v>vi</v>
      </c>
      <c r="O284" s="325" t="s">
        <v>1856</v>
      </c>
    </row>
    <row r="285" spans="3:15" hidden="1" x14ac:dyDescent="0.3">
      <c r="C285" s="2830" t="s">
        <v>137</v>
      </c>
      <c r="D285" s="2831"/>
      <c r="E285" s="2828" t="s">
        <v>589</v>
      </c>
      <c r="F285" s="2829"/>
      <c r="G285" s="1210"/>
      <c r="H285" s="1210"/>
      <c r="M285" s="1756" t="str">
        <f>M286</f>
        <v>No</v>
      </c>
    </row>
    <row r="286" spans="3:15" ht="30" hidden="1" x14ac:dyDescent="0.3">
      <c r="C286" s="2832"/>
      <c r="D286" s="2833"/>
      <c r="E286" s="1212" t="str">
        <f>BSCY</f>
        <v>As At 31st March 2025</v>
      </c>
      <c r="F286" s="1212" t="str">
        <f>BSPY</f>
        <v>As At 31st March 2024</v>
      </c>
      <c r="G286" s="1210"/>
      <c r="H286" s="1210"/>
      <c r="M286" s="1756" t="str">
        <f>IF(COUNTIF(M287:M306,"Yes")&lt;&gt;0,"Yes","No")</f>
        <v>No</v>
      </c>
    </row>
    <row r="287" spans="3:15" hidden="1" x14ac:dyDescent="0.3">
      <c r="C287" s="622" t="s">
        <v>124</v>
      </c>
      <c r="D287" s="45"/>
      <c r="E287" s="2441"/>
      <c r="F287" s="2442"/>
      <c r="G287" s="1210"/>
      <c r="H287" s="1210"/>
      <c r="M287" s="1756" t="str">
        <f>IF(AND(M288="No",M289="No",M290="No"),"No","Yes")</f>
        <v>No</v>
      </c>
    </row>
    <row r="288" spans="3:15" ht="14.45" hidden="1" customHeight="1" x14ac:dyDescent="0.3">
      <c r="C288" s="2834" t="s">
        <v>138</v>
      </c>
      <c r="D288" s="2729"/>
      <c r="E288" s="2443">
        <f>'Qualitative Disclosures'!F281</f>
        <v>0</v>
      </c>
      <c r="F288" s="2443">
        <f>'Qualitative Disclosures'!G281</f>
        <v>0</v>
      </c>
      <c r="G288" s="1210"/>
      <c r="H288" s="1210"/>
      <c r="M288" s="1756" t="str">
        <f t="shared" ref="M288:M306" si="11">IF(AND(E288=0,F288=0),"No","Yes")</f>
        <v>No</v>
      </c>
    </row>
    <row r="289" spans="3:13" hidden="1" x14ac:dyDescent="0.3">
      <c r="C289" s="287" t="s">
        <v>139</v>
      </c>
      <c r="D289" s="247"/>
      <c r="E289" s="2443">
        <f>'Qualitative Disclosures'!F282</f>
        <v>0</v>
      </c>
      <c r="F289" s="2443">
        <f>'Qualitative Disclosures'!G282</f>
        <v>0</v>
      </c>
      <c r="G289" s="1210"/>
      <c r="H289" s="1210"/>
      <c r="M289" s="1756" t="str">
        <f t="shared" si="11"/>
        <v>No</v>
      </c>
    </row>
    <row r="290" spans="3:13" hidden="1" x14ac:dyDescent="0.3">
      <c r="C290" s="286" t="s">
        <v>140</v>
      </c>
      <c r="D290" s="247"/>
      <c r="E290" s="2443">
        <f>'Qualitative Disclosures'!F283</f>
        <v>0</v>
      </c>
      <c r="F290" s="2443">
        <f>'Qualitative Disclosures'!G283</f>
        <v>0</v>
      </c>
      <c r="G290" s="1210"/>
      <c r="H290" s="1210"/>
      <c r="M290" s="1756" t="str">
        <f t="shared" si="11"/>
        <v>No</v>
      </c>
    </row>
    <row r="291" spans="3:13" hidden="1" x14ac:dyDescent="0.3">
      <c r="C291" s="619" t="s">
        <v>126</v>
      </c>
      <c r="D291" s="247"/>
      <c r="E291" s="2444"/>
      <c r="F291" s="2445"/>
      <c r="G291" s="1210"/>
      <c r="H291" s="1210"/>
      <c r="M291" s="1756" t="str">
        <f>IF(AND(M292="No",M293="No",M294="No"),"No","Yes")</f>
        <v>No</v>
      </c>
    </row>
    <row r="292" spans="3:13" ht="14.45" hidden="1" customHeight="1" x14ac:dyDescent="0.3">
      <c r="C292" s="2834" t="s">
        <v>138</v>
      </c>
      <c r="D292" s="2729"/>
      <c r="E292" s="2443">
        <f>'Qualitative Disclosures'!F285</f>
        <v>0</v>
      </c>
      <c r="F292" s="2446">
        <f>'Qualitative Disclosures'!G285</f>
        <v>0</v>
      </c>
      <c r="G292" s="1210"/>
      <c r="H292" s="1210"/>
      <c r="M292" s="1756" t="str">
        <f t="shared" si="11"/>
        <v>No</v>
      </c>
    </row>
    <row r="293" spans="3:13" hidden="1" x14ac:dyDescent="0.3">
      <c r="C293" s="287" t="s">
        <v>139</v>
      </c>
      <c r="D293" s="247"/>
      <c r="E293" s="2443">
        <f>'Qualitative Disclosures'!F286</f>
        <v>0</v>
      </c>
      <c r="F293" s="2446">
        <f>'Qualitative Disclosures'!G286</f>
        <v>0</v>
      </c>
      <c r="G293" s="1210"/>
      <c r="H293" s="1210"/>
      <c r="M293" s="1756" t="str">
        <f t="shared" si="11"/>
        <v>No</v>
      </c>
    </row>
    <row r="294" spans="3:13" hidden="1" x14ac:dyDescent="0.3">
      <c r="C294" s="286" t="s">
        <v>140</v>
      </c>
      <c r="D294" s="247"/>
      <c r="E294" s="2447">
        <f>'Qualitative Disclosures'!F287</f>
        <v>0</v>
      </c>
      <c r="F294" s="2447">
        <f>'Qualitative Disclosures'!G287</f>
        <v>0</v>
      </c>
      <c r="G294" s="1210"/>
      <c r="H294" s="1210"/>
      <c r="M294" s="1756" t="str">
        <f t="shared" si="11"/>
        <v>No</v>
      </c>
    </row>
    <row r="295" spans="3:13" hidden="1" x14ac:dyDescent="0.3">
      <c r="C295" s="619" t="s">
        <v>1338</v>
      </c>
      <c r="D295" s="247"/>
      <c r="E295" s="2444"/>
      <c r="F295" s="2445"/>
      <c r="G295" s="1210"/>
      <c r="H295" s="1210"/>
      <c r="M295" s="1756" t="str">
        <f>IF(AND(M296="No",M297="No",M298="No"),"No","Yes")</f>
        <v>No</v>
      </c>
    </row>
    <row r="296" spans="3:13" ht="14.45" hidden="1" customHeight="1" x14ac:dyDescent="0.3">
      <c r="C296" s="2834" t="s">
        <v>138</v>
      </c>
      <c r="D296" s="2729"/>
      <c r="E296" s="2443">
        <f>'Qualitative Disclosures'!F289</f>
        <v>0</v>
      </c>
      <c r="F296" s="2446">
        <f>'Qualitative Disclosures'!G289</f>
        <v>0</v>
      </c>
      <c r="G296" s="1210"/>
      <c r="H296" s="1210"/>
      <c r="M296" s="1756" t="str">
        <f t="shared" si="11"/>
        <v>No</v>
      </c>
    </row>
    <row r="297" spans="3:13" hidden="1" x14ac:dyDescent="0.3">
      <c r="C297" s="287" t="s">
        <v>139</v>
      </c>
      <c r="D297" s="247"/>
      <c r="E297" s="2443">
        <f>'Qualitative Disclosures'!F290</f>
        <v>0</v>
      </c>
      <c r="F297" s="2446">
        <f>'Qualitative Disclosures'!G290</f>
        <v>0</v>
      </c>
      <c r="G297" s="1210"/>
      <c r="H297" s="1210"/>
      <c r="M297" s="1756" t="str">
        <f t="shared" si="11"/>
        <v>No</v>
      </c>
    </row>
    <row r="298" spans="3:13" hidden="1" x14ac:dyDescent="0.3">
      <c r="C298" s="286" t="s">
        <v>140</v>
      </c>
      <c r="D298" s="247"/>
      <c r="E298" s="2447">
        <f>'Qualitative Disclosures'!F291</f>
        <v>0</v>
      </c>
      <c r="F298" s="2447">
        <f>'Qualitative Disclosures'!G291</f>
        <v>0</v>
      </c>
      <c r="G298" s="1210"/>
      <c r="H298" s="1210"/>
      <c r="M298" s="1756" t="str">
        <f t="shared" si="11"/>
        <v>No</v>
      </c>
    </row>
    <row r="299" spans="3:13" hidden="1" x14ac:dyDescent="0.3">
      <c r="C299" s="619" t="s">
        <v>1339</v>
      </c>
      <c r="D299" s="247"/>
      <c r="E299" s="2444"/>
      <c r="F299" s="2445"/>
      <c r="G299" s="1210"/>
      <c r="H299" s="1210"/>
      <c r="M299" s="1756" t="str">
        <f>IF(AND(M300="No",M301="No",M302="No"),"No","Yes")</f>
        <v>No</v>
      </c>
    </row>
    <row r="300" spans="3:13" ht="14.45" hidden="1" customHeight="1" x14ac:dyDescent="0.3">
      <c r="C300" s="2834" t="s">
        <v>138</v>
      </c>
      <c r="D300" s="2729"/>
      <c r="E300" s="2443">
        <f>'Qualitative Disclosures'!F293</f>
        <v>0</v>
      </c>
      <c r="F300" s="2446">
        <f>'Qualitative Disclosures'!G293</f>
        <v>0</v>
      </c>
      <c r="G300" s="1210"/>
      <c r="H300" s="1210"/>
      <c r="M300" s="1756" t="str">
        <f t="shared" si="11"/>
        <v>No</v>
      </c>
    </row>
    <row r="301" spans="3:13" hidden="1" x14ac:dyDescent="0.3">
      <c r="C301" s="287" t="s">
        <v>139</v>
      </c>
      <c r="D301" s="247"/>
      <c r="E301" s="2443">
        <f>'Qualitative Disclosures'!F294</f>
        <v>0</v>
      </c>
      <c r="F301" s="2446">
        <f>'Qualitative Disclosures'!G294</f>
        <v>0</v>
      </c>
      <c r="G301" s="1210"/>
      <c r="H301" s="1210"/>
      <c r="M301" s="1756" t="str">
        <f t="shared" si="11"/>
        <v>No</v>
      </c>
    </row>
    <row r="302" spans="3:13" hidden="1" x14ac:dyDescent="0.3">
      <c r="C302" s="286" t="s">
        <v>140</v>
      </c>
      <c r="D302" s="247"/>
      <c r="E302" s="2447">
        <f>'Qualitative Disclosures'!F295</f>
        <v>0</v>
      </c>
      <c r="F302" s="2447">
        <f>'Qualitative Disclosures'!G295</f>
        <v>0</v>
      </c>
      <c r="G302" s="1210"/>
      <c r="H302" s="1210"/>
      <c r="M302" s="1756" t="str">
        <f t="shared" si="11"/>
        <v>No</v>
      </c>
    </row>
    <row r="303" spans="3:13" hidden="1" x14ac:dyDescent="0.3">
      <c r="C303" s="619" t="s">
        <v>1340</v>
      </c>
      <c r="D303" s="247"/>
      <c r="E303" s="2444"/>
      <c r="F303" s="2445"/>
      <c r="G303" s="1210"/>
      <c r="H303" s="1210"/>
      <c r="M303" s="1756" t="str">
        <f>IF(AND(M304="No",M305="No",M306="No"),"No","Yes")</f>
        <v>No</v>
      </c>
    </row>
    <row r="304" spans="3:13" ht="14.45" hidden="1" customHeight="1" x14ac:dyDescent="0.3">
      <c r="C304" s="2834" t="s">
        <v>138</v>
      </c>
      <c r="D304" s="2729"/>
      <c r="E304" s="1213">
        <f>'Qualitative Disclosures'!F297</f>
        <v>0</v>
      </c>
      <c r="F304" s="831">
        <f>'Qualitative Disclosures'!G297</f>
        <v>0</v>
      </c>
      <c r="G304" s="1210"/>
      <c r="H304" s="1210"/>
      <c r="M304" s="1756" t="str">
        <f t="shared" si="11"/>
        <v>No</v>
      </c>
    </row>
    <row r="305" spans="3:15" hidden="1" x14ac:dyDescent="0.3">
      <c r="C305" s="287" t="s">
        <v>139</v>
      </c>
      <c r="D305" s="47"/>
      <c r="E305" s="1213">
        <f>'Qualitative Disclosures'!F298</f>
        <v>0</v>
      </c>
      <c r="F305" s="831">
        <f>'Qualitative Disclosures'!G298</f>
        <v>0</v>
      </c>
      <c r="G305" s="1210"/>
      <c r="H305" s="1210"/>
      <c r="M305" s="1756" t="str">
        <f t="shared" si="11"/>
        <v>No</v>
      </c>
    </row>
    <row r="306" spans="3:15" hidden="1" x14ac:dyDescent="0.3">
      <c r="C306" s="593" t="s">
        <v>140</v>
      </c>
      <c r="D306" s="98"/>
      <c r="E306" s="1218">
        <f>'Qualitative Disclosures'!F299</f>
        <v>0</v>
      </c>
      <c r="F306" s="1953">
        <f>'Qualitative Disclosures'!G299</f>
        <v>0</v>
      </c>
      <c r="G306" s="1210"/>
      <c r="H306" s="1210"/>
      <c r="M306" s="1756" t="str">
        <f t="shared" si="11"/>
        <v>No</v>
      </c>
    </row>
    <row r="307" spans="3:15" hidden="1" x14ac:dyDescent="0.3">
      <c r="C307" s="41"/>
      <c r="D307" s="41"/>
      <c r="E307" s="1210"/>
      <c r="F307" s="1210"/>
      <c r="G307" s="1210"/>
      <c r="H307" s="1210"/>
      <c r="M307" s="1756" t="str">
        <f>M284</f>
        <v>No</v>
      </c>
    </row>
    <row r="308" spans="3:15" hidden="1" x14ac:dyDescent="0.3">
      <c r="C308" s="2784" t="str">
        <f>+"("&amp;N308&amp;") "&amp;O308</f>
        <v xml:space="preserve">(vi) Details of calls unpaid </v>
      </c>
      <c r="D308" s="2784" t="str">
        <f>+"("&amp;O308&amp;") "&amp;P308</f>
        <v xml:space="preserve">(Details of calls unpaid ) </v>
      </c>
      <c r="E308" s="2784" t="str">
        <f>+"("&amp;P308&amp;") "&amp;Q308</f>
        <v xml:space="preserve">() </v>
      </c>
      <c r="F308" s="2784" t="str">
        <f>+"("&amp;Q308&amp;") "&amp;R308</f>
        <v xml:space="preserve">() </v>
      </c>
      <c r="G308" s="2784" t="str">
        <f>+"("&amp;R308&amp;") "&amp;S308</f>
        <v xml:space="preserve">() </v>
      </c>
      <c r="H308" s="1210"/>
      <c r="M308" s="1756" t="str">
        <f>M309</f>
        <v>No</v>
      </c>
      <c r="N308" s="306" t="str">
        <f>+IF(M284="Yes",LOWER(ROMAN(_xlfn.ARABIC(N284)+1)),N284)</f>
        <v>vi</v>
      </c>
      <c r="O308" s="1" t="s">
        <v>1857</v>
      </c>
    </row>
    <row r="309" spans="3:15" hidden="1" x14ac:dyDescent="0.3">
      <c r="C309" s="2777" t="s">
        <v>20</v>
      </c>
      <c r="D309" s="2778"/>
      <c r="E309" s="2851" t="str">
        <f>BSCY</f>
        <v>As At 31st March 2025</v>
      </c>
      <c r="F309" s="2852"/>
      <c r="G309" s="2787" t="str">
        <f>BSPY</f>
        <v>As At 31st March 2024</v>
      </c>
      <c r="H309" s="2787"/>
      <c r="M309" s="1756" t="str">
        <f>M310</f>
        <v>No</v>
      </c>
    </row>
    <row r="310" spans="3:15" ht="30" hidden="1" x14ac:dyDescent="0.3">
      <c r="C310" s="2779"/>
      <c r="D310" s="2780"/>
      <c r="E310" s="2442" t="s">
        <v>442</v>
      </c>
      <c r="F310" s="1631" t="s">
        <v>183</v>
      </c>
      <c r="G310" s="2442" t="s">
        <v>442</v>
      </c>
      <c r="H310" s="1631" t="s">
        <v>183</v>
      </c>
      <c r="M310" s="1756" t="str">
        <f>IF(COUNTIF(M311:M335,"Yes")&lt;&gt;0,"Yes","No")</f>
        <v>No</v>
      </c>
    </row>
    <row r="311" spans="3:15" hidden="1" x14ac:dyDescent="0.3">
      <c r="C311" s="2448" t="s">
        <v>124</v>
      </c>
      <c r="D311" s="506"/>
      <c r="E311" s="2442"/>
      <c r="F311" s="1631"/>
      <c r="G311" s="2442"/>
      <c r="H311" s="1631"/>
      <c r="M311" s="1756" t="str">
        <f>M312</f>
        <v>No</v>
      </c>
    </row>
    <row r="312" spans="3:15" hidden="1" x14ac:dyDescent="0.3">
      <c r="C312" s="567" t="s">
        <v>141</v>
      </c>
      <c r="D312" s="613"/>
      <c r="E312" s="2445"/>
      <c r="F312" s="1178"/>
      <c r="G312" s="2445"/>
      <c r="H312" s="1178"/>
      <c r="M312" s="1756" t="str">
        <f>IF(AND(M313="No",M314="No",M315="No"),"No","Yes")</f>
        <v>No</v>
      </c>
    </row>
    <row r="313" spans="3:15" hidden="1" x14ac:dyDescent="0.3">
      <c r="C313" s="618" t="s">
        <v>142</v>
      </c>
      <c r="D313" s="613"/>
      <c r="E313" s="2446">
        <f>'Qualitative Disclosures'!F307</f>
        <v>0</v>
      </c>
      <c r="F313" s="1560">
        <f>'Qualitative Disclosures'!G307</f>
        <v>0</v>
      </c>
      <c r="G313" s="2446">
        <f>'Qualitative Disclosures'!H307</f>
        <v>0</v>
      </c>
      <c r="H313" s="1560">
        <f>'Qualitative Disclosures'!I307</f>
        <v>0</v>
      </c>
      <c r="M313" s="1756" t="str">
        <f>IF(AND(E313=0,F313=0,G313=0,H313=0),"No","Yes")</f>
        <v>No</v>
      </c>
    </row>
    <row r="314" spans="3:15" hidden="1" x14ac:dyDescent="0.3">
      <c r="C314" s="618" t="s">
        <v>143</v>
      </c>
      <c r="D314" s="613"/>
      <c r="E314" s="2446">
        <f>'Qualitative Disclosures'!F308</f>
        <v>0</v>
      </c>
      <c r="F314" s="1560">
        <f>'Qualitative Disclosures'!G308</f>
        <v>0</v>
      </c>
      <c r="G314" s="2446">
        <f>'Qualitative Disclosures'!H308</f>
        <v>0</v>
      </c>
      <c r="H314" s="1560">
        <f>'Qualitative Disclosures'!I308</f>
        <v>0</v>
      </c>
      <c r="M314" s="1756" t="str">
        <f>IF(AND(E314=0,F314=0,G314=0,H314=0),"No","Yes")</f>
        <v>No</v>
      </c>
    </row>
    <row r="315" spans="3:15" hidden="1" x14ac:dyDescent="0.3">
      <c r="C315" s="618" t="s">
        <v>144</v>
      </c>
      <c r="D315" s="613"/>
      <c r="E315" s="2447">
        <f>'Qualitative Disclosures'!F309</f>
        <v>0</v>
      </c>
      <c r="F315" s="1561">
        <f>'Qualitative Disclosures'!G309</f>
        <v>0</v>
      </c>
      <c r="G315" s="2447">
        <f>'Qualitative Disclosures'!H309</f>
        <v>0</v>
      </c>
      <c r="H315" s="1561">
        <f>'Qualitative Disclosures'!I309</f>
        <v>0</v>
      </c>
      <c r="M315" s="1756" t="str">
        <f>IF(AND(E315=0,F315=0,G315=0,H315=0),"No","Yes")</f>
        <v>No</v>
      </c>
    </row>
    <row r="316" spans="3:15" hidden="1" x14ac:dyDescent="0.3">
      <c r="C316" s="619" t="s">
        <v>126</v>
      </c>
      <c r="D316" s="613"/>
      <c r="E316" s="2445"/>
      <c r="F316" s="1178"/>
      <c r="G316" s="2445"/>
      <c r="H316" s="1178"/>
      <c r="M316" s="1756" t="str">
        <f>M317</f>
        <v>No</v>
      </c>
    </row>
    <row r="317" spans="3:15" hidden="1" x14ac:dyDescent="0.3">
      <c r="C317" s="567" t="s">
        <v>141</v>
      </c>
      <c r="D317" s="613"/>
      <c r="E317" s="2445"/>
      <c r="F317" s="1178"/>
      <c r="G317" s="2445"/>
      <c r="H317" s="1178"/>
      <c r="M317" s="1756" t="str">
        <f>IF(AND(M318="No",M319="No",M320="No"),"No","Yes")</f>
        <v>No</v>
      </c>
    </row>
    <row r="318" spans="3:15" hidden="1" x14ac:dyDescent="0.3">
      <c r="C318" s="618" t="s">
        <v>142</v>
      </c>
      <c r="D318" s="613"/>
      <c r="E318" s="2446">
        <f>'Qualitative Disclosures'!F312</f>
        <v>0</v>
      </c>
      <c r="F318" s="1560">
        <f>'Qualitative Disclosures'!G312</f>
        <v>0</v>
      </c>
      <c r="G318" s="2446">
        <f>'Qualitative Disclosures'!H312</f>
        <v>0</v>
      </c>
      <c r="H318" s="1560">
        <f>'Qualitative Disclosures'!I312</f>
        <v>0</v>
      </c>
      <c r="M318" s="1756" t="str">
        <f>IF(AND(E318=0,F318=0,G318=0,H318=0),"No","Yes")</f>
        <v>No</v>
      </c>
    </row>
    <row r="319" spans="3:15" hidden="1" x14ac:dyDescent="0.3">
      <c r="C319" s="618" t="s">
        <v>143</v>
      </c>
      <c r="D319" s="613"/>
      <c r="E319" s="2446">
        <f>'Qualitative Disclosures'!F313</f>
        <v>0</v>
      </c>
      <c r="F319" s="1560">
        <f>'Qualitative Disclosures'!G313</f>
        <v>0</v>
      </c>
      <c r="G319" s="2446">
        <f>'Qualitative Disclosures'!H313</f>
        <v>0</v>
      </c>
      <c r="H319" s="1560">
        <f>'Qualitative Disclosures'!I313</f>
        <v>0</v>
      </c>
      <c r="M319" s="1756" t="str">
        <f>IF(AND(E319=0,F319=0,G319=0,H319=0),"No","Yes")</f>
        <v>No</v>
      </c>
    </row>
    <row r="320" spans="3:15" hidden="1" x14ac:dyDescent="0.3">
      <c r="C320" s="618" t="s">
        <v>144</v>
      </c>
      <c r="D320" s="613"/>
      <c r="E320" s="2447">
        <f>'Qualitative Disclosures'!F314</f>
        <v>0</v>
      </c>
      <c r="F320" s="1561">
        <f>'Qualitative Disclosures'!G314</f>
        <v>0</v>
      </c>
      <c r="G320" s="2447">
        <f>'Qualitative Disclosures'!H314</f>
        <v>0</v>
      </c>
      <c r="H320" s="1561">
        <f>'Qualitative Disclosures'!I314</f>
        <v>0</v>
      </c>
      <c r="M320" s="1756" t="str">
        <f>IF(AND(E320=0,F320=0,G320=0,H320=0),"No","Yes")</f>
        <v>No</v>
      </c>
    </row>
    <row r="321" spans="3:13" hidden="1" x14ac:dyDescent="0.3">
      <c r="C321" s="619" t="s">
        <v>1338</v>
      </c>
      <c r="D321" s="613"/>
      <c r="E321" s="2445"/>
      <c r="F321" s="1178"/>
      <c r="G321" s="2445"/>
      <c r="H321" s="1178"/>
      <c r="M321" s="1756" t="str">
        <f>M322</f>
        <v>No</v>
      </c>
    </row>
    <row r="322" spans="3:13" hidden="1" x14ac:dyDescent="0.3">
      <c r="C322" s="567" t="s">
        <v>141</v>
      </c>
      <c r="D322" s="613"/>
      <c r="E322" s="2445"/>
      <c r="F322" s="1178"/>
      <c r="G322" s="2445"/>
      <c r="H322" s="1178"/>
      <c r="M322" s="1756" t="str">
        <f>IF(AND(M323="No",M324="No",M325="No"),"No","Yes")</f>
        <v>No</v>
      </c>
    </row>
    <row r="323" spans="3:13" hidden="1" x14ac:dyDescent="0.3">
      <c r="C323" s="618" t="s">
        <v>142</v>
      </c>
      <c r="D323" s="613"/>
      <c r="E323" s="2446">
        <f>'Qualitative Disclosures'!F317</f>
        <v>0</v>
      </c>
      <c r="F323" s="1560">
        <f>'Qualitative Disclosures'!G317</f>
        <v>0</v>
      </c>
      <c r="G323" s="2446">
        <f>'Qualitative Disclosures'!H317</f>
        <v>0</v>
      </c>
      <c r="H323" s="1560">
        <f>'Qualitative Disclosures'!I317</f>
        <v>0</v>
      </c>
      <c r="M323" s="1756" t="str">
        <f>IF(AND(E323=0,F323=0,G323=0,H323=0),"No","Yes")</f>
        <v>No</v>
      </c>
    </row>
    <row r="324" spans="3:13" hidden="1" x14ac:dyDescent="0.3">
      <c r="C324" s="618" t="s">
        <v>143</v>
      </c>
      <c r="D324" s="613"/>
      <c r="E324" s="2446">
        <f>'Qualitative Disclosures'!F318</f>
        <v>0</v>
      </c>
      <c r="F324" s="1560">
        <f>'Qualitative Disclosures'!G318</f>
        <v>0</v>
      </c>
      <c r="G324" s="2446">
        <f>'Qualitative Disclosures'!H318</f>
        <v>0</v>
      </c>
      <c r="H324" s="1560">
        <f>'Qualitative Disclosures'!I318</f>
        <v>0</v>
      </c>
      <c r="M324" s="1756" t="str">
        <f>IF(AND(E324=0,F324=0,G324=0,H324=0),"No","Yes")</f>
        <v>No</v>
      </c>
    </row>
    <row r="325" spans="3:13" hidden="1" x14ac:dyDescent="0.3">
      <c r="C325" s="618" t="s">
        <v>144</v>
      </c>
      <c r="D325" s="613"/>
      <c r="E325" s="2447">
        <f>'Qualitative Disclosures'!F319</f>
        <v>0</v>
      </c>
      <c r="F325" s="1561">
        <f>'Qualitative Disclosures'!G319</f>
        <v>0</v>
      </c>
      <c r="G325" s="2447">
        <f>'Qualitative Disclosures'!H319</f>
        <v>0</v>
      </c>
      <c r="H325" s="1561">
        <f>'Qualitative Disclosures'!I319</f>
        <v>0</v>
      </c>
      <c r="M325" s="1756" t="str">
        <f>IF(AND(E325=0,F325=0,G325=0,H325=0),"No","Yes")</f>
        <v>No</v>
      </c>
    </row>
    <row r="326" spans="3:13" hidden="1" x14ac:dyDescent="0.3">
      <c r="C326" s="619" t="s">
        <v>1339</v>
      </c>
      <c r="D326" s="613"/>
      <c r="E326" s="2445"/>
      <c r="F326" s="1178"/>
      <c r="G326" s="2445"/>
      <c r="H326" s="1178"/>
      <c r="M326" s="1756" t="str">
        <f>M327</f>
        <v>No</v>
      </c>
    </row>
    <row r="327" spans="3:13" hidden="1" x14ac:dyDescent="0.3">
      <c r="C327" s="567" t="s">
        <v>141</v>
      </c>
      <c r="D327" s="613"/>
      <c r="E327" s="2445"/>
      <c r="F327" s="1178"/>
      <c r="G327" s="2445"/>
      <c r="H327" s="1178"/>
      <c r="M327" s="1756" t="str">
        <f>IF(AND(M328="No",M329="No",M330="No"),"No","Yes")</f>
        <v>No</v>
      </c>
    </row>
    <row r="328" spans="3:13" hidden="1" x14ac:dyDescent="0.3">
      <c r="C328" s="618" t="s">
        <v>142</v>
      </c>
      <c r="D328" s="613"/>
      <c r="E328" s="2446">
        <f>'Qualitative Disclosures'!F322</f>
        <v>0</v>
      </c>
      <c r="F328" s="1560">
        <f>'Qualitative Disclosures'!G322</f>
        <v>0</v>
      </c>
      <c r="G328" s="2446">
        <f>'Qualitative Disclosures'!H322</f>
        <v>0</v>
      </c>
      <c r="H328" s="1560">
        <f>'Qualitative Disclosures'!I322</f>
        <v>0</v>
      </c>
      <c r="M328" s="1756" t="str">
        <f>IF(AND(E328=0,F328=0,G328=0,H328=0),"No","Yes")</f>
        <v>No</v>
      </c>
    </row>
    <row r="329" spans="3:13" hidden="1" x14ac:dyDescent="0.3">
      <c r="C329" s="618" t="s">
        <v>143</v>
      </c>
      <c r="D329" s="613"/>
      <c r="E329" s="2446">
        <f>'Qualitative Disclosures'!F323</f>
        <v>0</v>
      </c>
      <c r="F329" s="1560">
        <f>'Qualitative Disclosures'!G323</f>
        <v>0</v>
      </c>
      <c r="G329" s="2446">
        <f>'Qualitative Disclosures'!H323</f>
        <v>0</v>
      </c>
      <c r="H329" s="1560">
        <f>'Qualitative Disclosures'!I323</f>
        <v>0</v>
      </c>
      <c r="M329" s="1756" t="str">
        <f>IF(AND(E329=0,F329=0,G329=0,H329=0),"No","Yes")</f>
        <v>No</v>
      </c>
    </row>
    <row r="330" spans="3:13" hidden="1" x14ac:dyDescent="0.3">
      <c r="C330" s="618" t="s">
        <v>144</v>
      </c>
      <c r="D330" s="613"/>
      <c r="E330" s="2447">
        <f>'Qualitative Disclosures'!F324</f>
        <v>0</v>
      </c>
      <c r="F330" s="1561">
        <f>'Qualitative Disclosures'!G324</f>
        <v>0</v>
      </c>
      <c r="G330" s="2447">
        <f>'Qualitative Disclosures'!H324</f>
        <v>0</v>
      </c>
      <c r="H330" s="1561">
        <f>'Qualitative Disclosures'!I324</f>
        <v>0</v>
      </c>
      <c r="M330" s="1756" t="str">
        <f>IF(AND(E330=0,F330=0,G330=0,H330=0),"No","Yes")</f>
        <v>No</v>
      </c>
    </row>
    <row r="331" spans="3:13" hidden="1" x14ac:dyDescent="0.3">
      <c r="C331" s="619" t="s">
        <v>1340</v>
      </c>
      <c r="D331" s="613"/>
      <c r="E331" s="2445"/>
      <c r="F331" s="1178"/>
      <c r="G331" s="2445"/>
      <c r="H331" s="1178"/>
      <c r="M331" s="1756" t="str">
        <f>M332</f>
        <v>No</v>
      </c>
    </row>
    <row r="332" spans="3:13" hidden="1" x14ac:dyDescent="0.3">
      <c r="C332" s="567" t="s">
        <v>141</v>
      </c>
      <c r="D332" s="613"/>
      <c r="E332" s="2445"/>
      <c r="F332" s="1178"/>
      <c r="G332" s="2445"/>
      <c r="H332" s="1178"/>
      <c r="M332" s="1756" t="str">
        <f>IF(AND(M333="No",M334="No",M335="No"),"No","Yes")</f>
        <v>No</v>
      </c>
    </row>
    <row r="333" spans="3:13" hidden="1" x14ac:dyDescent="0.3">
      <c r="C333" s="618" t="s">
        <v>142</v>
      </c>
      <c r="D333" s="613"/>
      <c r="E333" s="2446">
        <f>'Qualitative Disclosures'!F327</f>
        <v>0</v>
      </c>
      <c r="F333" s="1560">
        <f>'Qualitative Disclosures'!G327</f>
        <v>0</v>
      </c>
      <c r="G333" s="2446">
        <f>'Qualitative Disclosures'!H327</f>
        <v>0</v>
      </c>
      <c r="H333" s="1560">
        <f>'Qualitative Disclosures'!I327</f>
        <v>0</v>
      </c>
      <c r="M333" s="1756" t="str">
        <f>IF(AND(E333=0,F333=0,G333=0,H333=0),"No","Yes")</f>
        <v>No</v>
      </c>
    </row>
    <row r="334" spans="3:13" hidden="1" x14ac:dyDescent="0.3">
      <c r="C334" s="618" t="s">
        <v>143</v>
      </c>
      <c r="D334" s="613"/>
      <c r="E334" s="2446">
        <f>'Qualitative Disclosures'!F328</f>
        <v>0</v>
      </c>
      <c r="F334" s="1560">
        <f>'Qualitative Disclosures'!G328</f>
        <v>0</v>
      </c>
      <c r="G334" s="2446">
        <f>'Qualitative Disclosures'!H328</f>
        <v>0</v>
      </c>
      <c r="H334" s="1560">
        <f>'Qualitative Disclosures'!I328</f>
        <v>0</v>
      </c>
      <c r="M334" s="1756" t="str">
        <f>IF(AND(E334=0,F334=0,G334=0,H334=0),"No","Yes")</f>
        <v>No</v>
      </c>
    </row>
    <row r="335" spans="3:13" hidden="1" x14ac:dyDescent="0.3">
      <c r="C335" s="618" t="s">
        <v>144</v>
      </c>
      <c r="D335" s="613"/>
      <c r="E335" s="2446">
        <f>'Qualitative Disclosures'!F329</f>
        <v>0</v>
      </c>
      <c r="F335" s="1560">
        <f>'Qualitative Disclosures'!G329</f>
        <v>0</v>
      </c>
      <c r="G335" s="2446">
        <f>'Qualitative Disclosures'!H329</f>
        <v>0</v>
      </c>
      <c r="H335" s="1560">
        <f>'Qualitative Disclosures'!I329</f>
        <v>0</v>
      </c>
      <c r="M335" s="1756" t="str">
        <f>IF(AND(E335=0,F335=0,G335=0,H335=0),"No","Yes")</f>
        <v>No</v>
      </c>
    </row>
    <row r="336" spans="3:13" hidden="1" x14ac:dyDescent="0.3">
      <c r="C336" s="629"/>
      <c r="D336" s="629"/>
      <c r="E336" s="1739"/>
      <c r="F336" s="1739"/>
      <c r="G336" s="1739"/>
      <c r="H336" s="1598"/>
      <c r="M336" s="1756" t="str">
        <f>M308</f>
        <v>No</v>
      </c>
    </row>
    <row r="337" spans="3:20" ht="14.45" hidden="1" customHeight="1" x14ac:dyDescent="0.3">
      <c r="C337" s="145" t="s">
        <v>145</v>
      </c>
      <c r="D337" s="31"/>
      <c r="E337" s="2449"/>
      <c r="F337" s="2449"/>
      <c r="G337" s="2449"/>
      <c r="H337" s="1210"/>
      <c r="M337" s="1756" t="str">
        <f>M338</f>
        <v>No</v>
      </c>
      <c r="N337" s="306" t="str">
        <f>+IF(M308="Yes",LOWER(ROMAN(_xlfn.ARABIC(N308)+1)),N308)</f>
        <v>vi</v>
      </c>
      <c r="O337" s="1" t="s">
        <v>1858</v>
      </c>
    </row>
    <row r="338" spans="3:20" hidden="1" x14ac:dyDescent="0.3">
      <c r="C338" s="2777" t="s">
        <v>146</v>
      </c>
      <c r="D338" s="2778"/>
      <c r="E338" s="2785" t="str">
        <f>BSCY</f>
        <v>As At 31st March 2025</v>
      </c>
      <c r="F338" s="2785"/>
      <c r="G338" s="2785" t="str">
        <f>BSPY</f>
        <v>As At 31st March 2024</v>
      </c>
      <c r="H338" s="2785"/>
      <c r="M338" s="1756" t="str">
        <f>M339</f>
        <v>No</v>
      </c>
    </row>
    <row r="339" spans="3:20" s="307" customFormat="1" ht="45" hidden="1" x14ac:dyDescent="0.25">
      <c r="C339" s="2779"/>
      <c r="D339" s="2786"/>
      <c r="E339" s="2450" t="s">
        <v>447</v>
      </c>
      <c r="F339" s="2450" t="s">
        <v>1561</v>
      </c>
      <c r="G339" s="2450" t="s">
        <v>447</v>
      </c>
      <c r="H339" s="2450" t="s">
        <v>1561</v>
      </c>
      <c r="M339" s="1756" t="str">
        <f>IF(COUNTIF(M340:M344,"Yes")&lt;&gt;0,"Yes","No")</f>
        <v>No</v>
      </c>
      <c r="N339" s="325"/>
      <c r="O339" s="325"/>
      <c r="P339" s="325"/>
      <c r="Q339" s="325"/>
      <c r="R339" s="325"/>
      <c r="S339" s="325"/>
      <c r="T339" s="325"/>
    </row>
    <row r="340" spans="3:20" hidden="1" x14ac:dyDescent="0.3">
      <c r="C340" s="2771" t="s">
        <v>124</v>
      </c>
      <c r="D340" s="2772"/>
      <c r="E340" s="2451">
        <f>'Qualitative Disclosures'!F335</f>
        <v>0</v>
      </c>
      <c r="F340" s="2452">
        <f>'Qualitative Disclosures'!G335</f>
        <v>0</v>
      </c>
      <c r="G340" s="2329">
        <f>'Qualitative Disclosures'!H335</f>
        <v>0</v>
      </c>
      <c r="H340" s="2329">
        <f>'Qualitative Disclosures'!I335</f>
        <v>0</v>
      </c>
      <c r="M340" s="1756" t="str">
        <f>IF(AND(E340=0,F340=0,G340=0,H340=0),"No","Yes")</f>
        <v>No</v>
      </c>
    </row>
    <row r="341" spans="3:20" hidden="1" x14ac:dyDescent="0.3">
      <c r="C341" s="2773" t="s">
        <v>126</v>
      </c>
      <c r="D341" s="2774"/>
      <c r="E341" s="2451">
        <f>'Qualitative Disclosures'!F336</f>
        <v>0</v>
      </c>
      <c r="F341" s="2452">
        <f>'Qualitative Disclosures'!G336</f>
        <v>0</v>
      </c>
      <c r="G341" s="2452">
        <f>'Qualitative Disclosures'!H336</f>
        <v>0</v>
      </c>
      <c r="H341" s="2329">
        <f>'Qualitative Disclosures'!I336</f>
        <v>0</v>
      </c>
      <c r="M341" s="1756" t="str">
        <f>IF(AND(E341=0,F341=0,G341=0,H341=0),"No","Yes")</f>
        <v>No</v>
      </c>
    </row>
    <row r="342" spans="3:20" hidden="1" x14ac:dyDescent="0.3">
      <c r="C342" s="2773" t="s">
        <v>127</v>
      </c>
      <c r="D342" s="2774"/>
      <c r="E342" s="2451">
        <f>'Qualitative Disclosures'!F337</f>
        <v>0</v>
      </c>
      <c r="F342" s="2452">
        <f>'Qualitative Disclosures'!G337</f>
        <v>0</v>
      </c>
      <c r="G342" s="2452">
        <f>'Qualitative Disclosures'!H337</f>
        <v>0</v>
      </c>
      <c r="H342" s="2329">
        <f>'Qualitative Disclosures'!I337</f>
        <v>0</v>
      </c>
      <c r="M342" s="1756" t="str">
        <f>IF(AND(E342=0,F342=0,G342=0,H342=0),"No","Yes")</f>
        <v>No</v>
      </c>
    </row>
    <row r="343" spans="3:20" hidden="1" x14ac:dyDescent="0.3">
      <c r="C343" s="2773" t="s">
        <v>128</v>
      </c>
      <c r="D343" s="2774"/>
      <c r="E343" s="2451">
        <f>'Qualitative Disclosures'!F338</f>
        <v>0</v>
      </c>
      <c r="F343" s="2452">
        <f>'Qualitative Disclosures'!G338</f>
        <v>0</v>
      </c>
      <c r="G343" s="2452">
        <f>'Qualitative Disclosures'!H338</f>
        <v>0</v>
      </c>
      <c r="H343" s="2329">
        <f>'Qualitative Disclosures'!I338</f>
        <v>0</v>
      </c>
      <c r="M343" s="1756" t="str">
        <f>IF(AND(E343=0,F343=0,G343=0,H343=0),"No","Yes")</f>
        <v>No</v>
      </c>
    </row>
    <row r="344" spans="3:20" hidden="1" x14ac:dyDescent="0.3">
      <c r="C344" s="2790" t="s">
        <v>129</v>
      </c>
      <c r="D344" s="2791"/>
      <c r="E344" s="2451">
        <f>'Qualitative Disclosures'!F339</f>
        <v>0</v>
      </c>
      <c r="F344" s="2452">
        <f>'Qualitative Disclosures'!G339</f>
        <v>0</v>
      </c>
      <c r="G344" s="2452">
        <f>'Qualitative Disclosures'!H339</f>
        <v>0</v>
      </c>
      <c r="H344" s="2329">
        <f>'Qualitative Disclosures'!I339</f>
        <v>0</v>
      </c>
      <c r="M344" s="1756" t="str">
        <f>IF(AND(E344=0,F344=0,G344=0,H344=0),"No","Yes")</f>
        <v>No</v>
      </c>
    </row>
    <row r="345" spans="3:20" hidden="1" x14ac:dyDescent="0.3">
      <c r="C345" s="2437"/>
      <c r="D345" s="2438"/>
      <c r="E345" s="1574"/>
      <c r="F345" s="1574"/>
      <c r="G345" s="1574"/>
      <c r="H345" s="1574"/>
      <c r="I345" s="560"/>
      <c r="M345" s="1756" t="str">
        <f>M338</f>
        <v>No</v>
      </c>
    </row>
    <row r="346" spans="3:20" hidden="1" x14ac:dyDescent="0.3">
      <c r="C346" s="2453" t="str">
        <f>+IF(Footnotes!C9="","",Footnotes!C9)</f>
        <v/>
      </c>
      <c r="D346" s="551" t="str">
        <f>+IF(Footnotes!D9="","",Footnotes!D9)</f>
        <v/>
      </c>
      <c r="E346" s="1741" t="str">
        <f>+IF(Footnotes!E9="","",Footnotes!E9)</f>
        <v/>
      </c>
      <c r="F346" s="1741" t="str">
        <f>+IF(Footnotes!F9="","",Footnotes!F9)</f>
        <v/>
      </c>
      <c r="G346" s="1741" t="str">
        <f>+IF(Footnotes!G9="","",Footnotes!G9)</f>
        <v/>
      </c>
      <c r="H346" s="1741" t="str">
        <f>+IF(Footnotes!H9="","",Footnotes!H9)</f>
        <v/>
      </c>
      <c r="I346" s="560"/>
      <c r="M346" s="1756" t="str">
        <f t="shared" ref="M346:M351" si="12">+IF(AND(C346="",D346="",E346="",F346="",G346="",H346="",I346=""),"No","Yes")</f>
        <v>No</v>
      </c>
    </row>
    <row r="347" spans="3:20" hidden="1" x14ac:dyDescent="0.3">
      <c r="C347" s="2453" t="str">
        <f>+IF(Footnotes!C10="","",Footnotes!C10)</f>
        <v/>
      </c>
      <c r="D347" s="551" t="str">
        <f>+IF(Footnotes!D10="","",Footnotes!D10)</f>
        <v/>
      </c>
      <c r="E347" s="1741" t="str">
        <f>+IF(Footnotes!E10="","",Footnotes!E10)</f>
        <v/>
      </c>
      <c r="F347" s="1741" t="str">
        <f>+IF(Footnotes!F10="","",Footnotes!F10)</f>
        <v/>
      </c>
      <c r="G347" s="1741" t="str">
        <f>+IF(Footnotes!G10="","",Footnotes!G10)</f>
        <v/>
      </c>
      <c r="H347" s="1741" t="str">
        <f>+IF(Footnotes!H10="","",Footnotes!H10)</f>
        <v/>
      </c>
      <c r="I347" s="560"/>
      <c r="M347" s="1756" t="str">
        <f t="shared" si="12"/>
        <v>No</v>
      </c>
    </row>
    <row r="348" spans="3:20" hidden="1" x14ac:dyDescent="0.3">
      <c r="C348" s="2453" t="str">
        <f>+IF(Footnotes!C11="","",Footnotes!C11)</f>
        <v/>
      </c>
      <c r="D348" s="551" t="str">
        <f>+IF(Footnotes!D11="","",Footnotes!D11)</f>
        <v/>
      </c>
      <c r="E348" s="1741" t="str">
        <f>+IF(Footnotes!E11="","",Footnotes!E11)</f>
        <v/>
      </c>
      <c r="F348" s="1741" t="str">
        <f>+IF(Footnotes!F11="","",Footnotes!F11)</f>
        <v/>
      </c>
      <c r="G348" s="1741" t="str">
        <f>+IF(Footnotes!G11="","",Footnotes!G11)</f>
        <v/>
      </c>
      <c r="H348" s="1741" t="str">
        <f>+IF(Footnotes!H11="","",Footnotes!H11)</f>
        <v/>
      </c>
      <c r="I348" s="560"/>
      <c r="M348" s="1756" t="str">
        <f t="shared" si="12"/>
        <v>No</v>
      </c>
    </row>
    <row r="349" spans="3:20" hidden="1" x14ac:dyDescent="0.3">
      <c r="C349" s="2453" t="str">
        <f>+IF(Footnotes!C12="","",Footnotes!C12)</f>
        <v/>
      </c>
      <c r="D349" s="551" t="str">
        <f>+IF(Footnotes!D12="","",Footnotes!D12)</f>
        <v/>
      </c>
      <c r="E349" s="1741" t="str">
        <f>+IF(Footnotes!E12="","",Footnotes!E12)</f>
        <v/>
      </c>
      <c r="F349" s="1741" t="str">
        <f>+IF(Footnotes!F12="","",Footnotes!F12)</f>
        <v/>
      </c>
      <c r="G349" s="1741" t="str">
        <f>+IF(Footnotes!G12="","",Footnotes!G12)</f>
        <v/>
      </c>
      <c r="H349" s="1741" t="str">
        <f>+IF(Footnotes!H12="","",Footnotes!H12)</f>
        <v/>
      </c>
      <c r="I349" s="560"/>
      <c r="M349" s="1756" t="str">
        <f t="shared" si="12"/>
        <v>No</v>
      </c>
    </row>
    <row r="350" spans="3:20" hidden="1" x14ac:dyDescent="0.3">
      <c r="C350" s="2453" t="str">
        <f>+IF(Footnotes!C13="","",Footnotes!C13)</f>
        <v/>
      </c>
      <c r="D350" s="551" t="str">
        <f>+IF(Footnotes!D13="","",Footnotes!D13)</f>
        <v/>
      </c>
      <c r="E350" s="1741" t="str">
        <f>+IF(Footnotes!E13="","",Footnotes!E13)</f>
        <v/>
      </c>
      <c r="F350" s="1741" t="str">
        <f>+IF(Footnotes!F13="","",Footnotes!F13)</f>
        <v/>
      </c>
      <c r="G350" s="1741" t="str">
        <f>+IF(Footnotes!G13="","",Footnotes!G13)</f>
        <v/>
      </c>
      <c r="H350" s="1741" t="str">
        <f>+IF(Footnotes!H13="","",Footnotes!H13)</f>
        <v/>
      </c>
      <c r="I350" s="560"/>
      <c r="M350" s="1756" t="str">
        <f t="shared" si="12"/>
        <v>No</v>
      </c>
    </row>
    <row r="351" spans="3:20" hidden="1" x14ac:dyDescent="0.3">
      <c r="C351" s="2453" t="str">
        <f>+IF(Footnotes!C14="","",Footnotes!C14)</f>
        <v/>
      </c>
      <c r="D351" s="551" t="str">
        <f>+IF(Footnotes!D14="","",Footnotes!D14)</f>
        <v/>
      </c>
      <c r="E351" s="1741" t="str">
        <f>+IF(Footnotes!E14="","",Footnotes!E14)</f>
        <v/>
      </c>
      <c r="F351" s="1741" t="str">
        <f>+IF(Footnotes!F14="","",Footnotes!F14)</f>
        <v/>
      </c>
      <c r="G351" s="1741" t="str">
        <f>+IF(Footnotes!G14="","",Footnotes!G14)</f>
        <v/>
      </c>
      <c r="H351" s="1741" t="str">
        <f>+IF(Footnotes!H14="","",Footnotes!H14)</f>
        <v/>
      </c>
      <c r="I351" s="560"/>
      <c r="M351" s="1756" t="str">
        <f t="shared" si="12"/>
        <v>No</v>
      </c>
    </row>
    <row r="352" spans="3:20" hidden="1" x14ac:dyDescent="0.3">
      <c r="C352" s="2453"/>
      <c r="D352" s="551"/>
      <c r="E352" s="1741"/>
      <c r="F352" s="1741"/>
      <c r="G352" s="1741"/>
      <c r="H352" s="1741"/>
      <c r="I352" s="560"/>
      <c r="M352" s="1756" t="str">
        <f>+M354</f>
        <v>Yes</v>
      </c>
    </row>
    <row r="353" spans="3:15" x14ac:dyDescent="0.3">
      <c r="C353" s="2453"/>
      <c r="D353" s="551"/>
      <c r="E353" s="1741"/>
      <c r="F353" s="1741"/>
      <c r="G353" s="1741"/>
      <c r="H353" s="1741"/>
      <c r="I353" s="560"/>
      <c r="M353" s="1756"/>
    </row>
    <row r="354" spans="3:15" ht="14.45" customHeight="1" x14ac:dyDescent="0.3">
      <c r="C354" s="17" t="str">
        <f>+"Note "&amp;'Balance Sheet'!E18&amp;" : Reserves and Surplus"</f>
        <v>Note 4 : Reserves and Surplus</v>
      </c>
      <c r="D354" s="145"/>
      <c r="E354" s="2454"/>
      <c r="F354" s="2524" t="str">
        <f>+H140</f>
        <v>Amount in Rs '00.</v>
      </c>
      <c r="G354" s="2455"/>
      <c r="H354" s="2455"/>
      <c r="I354" s="42"/>
      <c r="J354" s="42"/>
      <c r="K354" s="42"/>
      <c r="L354" s="17"/>
      <c r="M354" s="1756" t="str">
        <f>+M457</f>
        <v>Yes</v>
      </c>
    </row>
    <row r="355" spans="3:15" s="1" customFormat="1" ht="28.9" customHeight="1" x14ac:dyDescent="0.3">
      <c r="C355" s="2782" t="s">
        <v>20</v>
      </c>
      <c r="D355" s="2783"/>
      <c r="E355" s="2405" t="s">
        <v>3284</v>
      </c>
      <c r="F355" s="2405" t="s">
        <v>3283</v>
      </c>
      <c r="G355" s="1731"/>
      <c r="H355" s="1731"/>
      <c r="M355" s="1756" t="str">
        <f>+M354</f>
        <v>Yes</v>
      </c>
    </row>
    <row r="356" spans="3:15" s="1" customFormat="1" ht="14.45" hidden="1" customHeight="1" x14ac:dyDescent="0.3">
      <c r="C356" s="330" t="str">
        <f>+"("&amp;N356&amp;") "&amp;O356</f>
        <v>(a) Capital reserve</v>
      </c>
      <c r="D356" s="764"/>
      <c r="E356" s="831"/>
      <c r="F356" s="1213"/>
      <c r="G356" s="1731"/>
      <c r="H356" s="1731"/>
      <c r="M356" s="1756" t="str">
        <f>IF(COUNTIF(M357:M360,"Yes")&lt;&gt;0,"Yes","No")</f>
        <v>No</v>
      </c>
      <c r="N356" s="1" t="s">
        <v>1562</v>
      </c>
      <c r="O356" s="1" t="s">
        <v>1859</v>
      </c>
    </row>
    <row r="357" spans="3:15" s="1" customFormat="1" ht="14.45" hidden="1" customHeight="1" x14ac:dyDescent="0.3">
      <c r="C357" s="450" t="s">
        <v>148</v>
      </c>
      <c r="D357" s="766"/>
      <c r="E357" s="2456">
        <f>+'Qualitative Disclosures'!F345</f>
        <v>0</v>
      </c>
      <c r="F357" s="2456">
        <f>+'Qualitative Disclosures'!G345</f>
        <v>0</v>
      </c>
      <c r="G357" s="1731"/>
      <c r="H357" s="1731"/>
      <c r="M357" s="1756" t="str">
        <f>IF(AND(E357=0,F357=0),"No","Yes")</f>
        <v>No</v>
      </c>
    </row>
    <row r="358" spans="3:15" s="1" customFormat="1" ht="14.45" hidden="1" customHeight="1" x14ac:dyDescent="0.3">
      <c r="C358" s="753" t="s">
        <v>1701</v>
      </c>
      <c r="D358" s="766"/>
      <c r="E358" s="2456">
        <f>+'Qualitative Disclosures'!F346</f>
        <v>0</v>
      </c>
      <c r="F358" s="2456">
        <f>+'Qualitative Disclosures'!G346</f>
        <v>0</v>
      </c>
      <c r="G358" s="1731"/>
      <c r="H358" s="1731"/>
      <c r="M358" s="1756" t="str">
        <f>IF(AND(E358=0,F358=0),"No","Yes")</f>
        <v>No</v>
      </c>
    </row>
    <row r="359" spans="3:15" s="1" customFormat="1" ht="14.45" hidden="1" customHeight="1" x14ac:dyDescent="0.3">
      <c r="C359" s="753" t="s">
        <v>1702</v>
      </c>
      <c r="D359" s="766"/>
      <c r="E359" s="2456">
        <f>+'Qualitative Disclosures'!F347</f>
        <v>0</v>
      </c>
      <c r="F359" s="2456">
        <f>+'Qualitative Disclosures'!G347</f>
        <v>0</v>
      </c>
      <c r="G359" s="1731"/>
      <c r="H359" s="1731"/>
      <c r="M359" s="1756" t="str">
        <f>IF(AND(E359=0,F359=0),"No","Yes")</f>
        <v>No</v>
      </c>
    </row>
    <row r="360" spans="3:15" s="1" customFormat="1" ht="14.45" hidden="1" customHeight="1" x14ac:dyDescent="0.3">
      <c r="C360" s="450" t="s">
        <v>150</v>
      </c>
      <c r="D360" s="765"/>
      <c r="E360" s="2332"/>
      <c r="F360" s="2332"/>
      <c r="G360" s="1731"/>
      <c r="H360" s="1731"/>
      <c r="M360" s="1756" t="str">
        <f>IF(AND(E360=0,F360=0),"No","Yes")</f>
        <v>No</v>
      </c>
    </row>
    <row r="361" spans="3:15" s="1" customFormat="1" ht="14.45" hidden="1" customHeight="1" x14ac:dyDescent="0.3">
      <c r="C361" s="256"/>
      <c r="D361" s="767"/>
      <c r="E361" s="2456"/>
      <c r="F361" s="2456"/>
      <c r="G361" s="1731"/>
      <c r="H361" s="1731"/>
      <c r="M361" s="1756" t="str">
        <f>+M356</f>
        <v>No</v>
      </c>
    </row>
    <row r="362" spans="3:15" s="1" customFormat="1" ht="14.45" hidden="1" customHeight="1" x14ac:dyDescent="0.3">
      <c r="C362" s="330" t="str">
        <f>+"("&amp;N362&amp;") "&amp;O362</f>
        <v>(a) Capital redemption reserve</v>
      </c>
      <c r="D362" s="764"/>
      <c r="E362" s="2456"/>
      <c r="F362" s="2456"/>
      <c r="G362" s="1731"/>
      <c r="H362" s="1731"/>
      <c r="M362" s="1756" t="str">
        <f>IF(COUNTIF(M363:M368,"Yes")&lt;&gt;0,"Yes","No")</f>
        <v>No</v>
      </c>
      <c r="N362" s="42" t="str">
        <f>+IF(M356="yes",CHAR(CODE(N356)+1),N356)</f>
        <v>a</v>
      </c>
      <c r="O362" s="1" t="s">
        <v>167</v>
      </c>
    </row>
    <row r="363" spans="3:15" s="1" customFormat="1" ht="14.45" hidden="1" customHeight="1" x14ac:dyDescent="0.3">
      <c r="C363" s="448" t="s">
        <v>148</v>
      </c>
      <c r="D363" s="766"/>
      <c r="E363" s="2456">
        <f>+'Qualitative Disclosures'!F351</f>
        <v>0</v>
      </c>
      <c r="F363" s="2456">
        <f>+'Qualitative Disclosures'!G351</f>
        <v>0</v>
      </c>
      <c r="G363" s="1731"/>
      <c r="H363" s="1731"/>
      <c r="M363" s="1756" t="str">
        <f t="shared" ref="M363:M368" si="13">IF(AND(E363=0,F363=0),"No","Yes")</f>
        <v>No</v>
      </c>
    </row>
    <row r="364" spans="3:15" s="1" customFormat="1" ht="14.45" hidden="1" customHeight="1" x14ac:dyDescent="0.3">
      <c r="C364" s="753" t="s">
        <v>152</v>
      </c>
      <c r="D364" s="766"/>
      <c r="E364" s="2456">
        <f>+'Qualitative Disclosures'!F352</f>
        <v>0</v>
      </c>
      <c r="F364" s="2456">
        <f>+'Qualitative Disclosures'!G352</f>
        <v>0</v>
      </c>
      <c r="G364" s="1731"/>
      <c r="H364" s="1731"/>
      <c r="M364" s="1756" t="str">
        <f t="shared" si="13"/>
        <v>No</v>
      </c>
    </row>
    <row r="365" spans="3:15" s="1" customFormat="1" ht="14.45" hidden="1" customHeight="1" x14ac:dyDescent="0.3">
      <c r="C365" s="449" t="s">
        <v>1703</v>
      </c>
      <c r="D365" s="769"/>
      <c r="E365" s="2456">
        <f>+'Qualitative Disclosures'!F353</f>
        <v>0</v>
      </c>
      <c r="F365" s="2456">
        <f>+'Qualitative Disclosures'!G353</f>
        <v>0</v>
      </c>
      <c r="G365" s="1731"/>
      <c r="H365" s="1731"/>
      <c r="M365" s="1756" t="str">
        <f t="shared" si="13"/>
        <v>No</v>
      </c>
    </row>
    <row r="366" spans="3:15" s="1" customFormat="1" ht="14.45" hidden="1" customHeight="1" x14ac:dyDescent="0.3">
      <c r="C366" s="449" t="s">
        <v>1704</v>
      </c>
      <c r="D366" s="769"/>
      <c r="E366" s="2456">
        <f>+'Qualitative Disclosures'!F354</f>
        <v>0</v>
      </c>
      <c r="F366" s="2456">
        <f>+'Qualitative Disclosures'!G354</f>
        <v>0</v>
      </c>
      <c r="G366" s="1731"/>
      <c r="H366" s="1731"/>
      <c r="M366" s="1756" t="str">
        <f t="shared" si="13"/>
        <v>No</v>
      </c>
    </row>
    <row r="367" spans="3:15" s="1" customFormat="1" ht="14.45" hidden="1" customHeight="1" x14ac:dyDescent="0.3">
      <c r="C367" s="753" t="s">
        <v>1705</v>
      </c>
      <c r="D367" s="766"/>
      <c r="E367" s="2456">
        <f>+'Qualitative Disclosures'!F355</f>
        <v>0</v>
      </c>
      <c r="F367" s="2456">
        <f>+'Qualitative Disclosures'!G355</f>
        <v>0</v>
      </c>
      <c r="G367" s="1731"/>
      <c r="H367" s="1731"/>
      <c r="M367" s="1756" t="str">
        <f t="shared" si="13"/>
        <v>No</v>
      </c>
    </row>
    <row r="368" spans="3:15" s="1" customFormat="1" ht="14.45" hidden="1" customHeight="1" x14ac:dyDescent="0.3">
      <c r="C368" s="448" t="s">
        <v>150</v>
      </c>
      <c r="D368" s="766"/>
      <c r="E368" s="2332">
        <f>+'Qualitative Disclosures'!F356</f>
        <v>0</v>
      </c>
      <c r="F368" s="2332">
        <f>+'Qualitative Disclosures'!G356</f>
        <v>0</v>
      </c>
      <c r="G368" s="1731"/>
      <c r="H368" s="1731"/>
      <c r="M368" s="1756" t="str">
        <f t="shared" si="13"/>
        <v>No</v>
      </c>
    </row>
    <row r="369" spans="3:15" s="1" customFormat="1" ht="14.45" hidden="1" customHeight="1" x14ac:dyDescent="0.3">
      <c r="C369" s="457"/>
      <c r="D369" s="32"/>
      <c r="E369" s="2456"/>
      <c r="F369" s="2456"/>
      <c r="G369" s="1731"/>
      <c r="H369" s="1731"/>
      <c r="M369" s="1756" t="str">
        <f>+M362</f>
        <v>No</v>
      </c>
    </row>
    <row r="370" spans="3:15" s="1" customFormat="1" ht="14.45" hidden="1" customHeight="1" x14ac:dyDescent="0.3">
      <c r="C370" s="330" t="str">
        <f>+"("&amp;N370&amp;") "&amp;O370</f>
        <v>(a) Securities premium</v>
      </c>
      <c r="D370" s="764"/>
      <c r="E370" s="2456"/>
      <c r="F370" s="2456"/>
      <c r="G370" s="1731"/>
      <c r="H370" s="1731"/>
      <c r="M370" s="1756" t="str">
        <f>IF(COUNTIF(M371:M380,"Yes")&lt;&gt;0,"Yes","No")</f>
        <v>No</v>
      </c>
      <c r="N370" s="42" t="str">
        <f>+IF(M362="yes",CHAR(CODE(N362)+1),N362)</f>
        <v>a</v>
      </c>
      <c r="O370" s="1" t="s">
        <v>1170</v>
      </c>
    </row>
    <row r="371" spans="3:15" s="1" customFormat="1" ht="14.45" hidden="1" customHeight="1" x14ac:dyDescent="0.3">
      <c r="C371" s="448" t="s">
        <v>148</v>
      </c>
      <c r="D371" s="766"/>
      <c r="E371" s="2456">
        <f>+'Qualitative Disclosures'!F359</f>
        <v>0</v>
      </c>
      <c r="F371" s="2456">
        <f>+'Qualitative Disclosures'!G359</f>
        <v>0</v>
      </c>
      <c r="G371" s="1731"/>
      <c r="H371" s="1731"/>
      <c r="M371" s="1756" t="str">
        <f t="shared" ref="M371:M380" si="14">IF(AND(E371=0,F371=0),"No","Yes")</f>
        <v>No</v>
      </c>
    </row>
    <row r="372" spans="3:15" s="1" customFormat="1" ht="14.45" hidden="1" customHeight="1" x14ac:dyDescent="0.3">
      <c r="C372" s="753" t="s">
        <v>153</v>
      </c>
      <c r="D372" s="766"/>
      <c r="E372" s="2456">
        <f>+'Qualitative Disclosures'!F360</f>
        <v>0</v>
      </c>
      <c r="F372" s="2456">
        <f>+'Qualitative Disclosures'!G360</f>
        <v>0</v>
      </c>
      <c r="G372" s="1731"/>
      <c r="H372" s="1731"/>
      <c r="M372" s="1756" t="str">
        <f t="shared" si="14"/>
        <v>No</v>
      </c>
    </row>
    <row r="373" spans="3:15" s="1" customFormat="1" ht="14.45" hidden="1" customHeight="1" x14ac:dyDescent="0.3">
      <c r="C373" s="753" t="s">
        <v>154</v>
      </c>
      <c r="D373" s="766"/>
      <c r="E373" s="2456">
        <f>+'Qualitative Disclosures'!F361</f>
        <v>0</v>
      </c>
      <c r="F373" s="2456">
        <f>+'Qualitative Disclosures'!G361</f>
        <v>0</v>
      </c>
      <c r="G373" s="1731"/>
      <c r="H373" s="1731"/>
      <c r="M373" s="1756" t="str">
        <f t="shared" si="14"/>
        <v>No</v>
      </c>
    </row>
    <row r="374" spans="3:15" s="1" customFormat="1" ht="14.45" hidden="1" customHeight="1" x14ac:dyDescent="0.3">
      <c r="C374" s="449" t="s">
        <v>1706</v>
      </c>
      <c r="D374" s="776"/>
      <c r="E374" s="2456">
        <f>+'Qualitative Disclosures'!F362</f>
        <v>0</v>
      </c>
      <c r="F374" s="2456">
        <f>+'Qualitative Disclosures'!G362</f>
        <v>0</v>
      </c>
      <c r="G374" s="1731"/>
      <c r="H374" s="1731"/>
      <c r="M374" s="1756" t="str">
        <f t="shared" si="14"/>
        <v>No</v>
      </c>
    </row>
    <row r="375" spans="3:15" s="1" customFormat="1" ht="14.45" hidden="1" customHeight="1" x14ac:dyDescent="0.3">
      <c r="C375" s="449" t="s">
        <v>1707</v>
      </c>
      <c r="D375" s="776"/>
      <c r="E375" s="2456">
        <f>+'Qualitative Disclosures'!F363</f>
        <v>0</v>
      </c>
      <c r="F375" s="2456">
        <f>+'Qualitative Disclosures'!G363</f>
        <v>0</v>
      </c>
      <c r="G375" s="1731"/>
      <c r="H375" s="1731"/>
      <c r="M375" s="1756" t="str">
        <f t="shared" si="14"/>
        <v>No</v>
      </c>
    </row>
    <row r="376" spans="3:15" s="1" customFormat="1" ht="14.45" hidden="1" customHeight="1" x14ac:dyDescent="0.3">
      <c r="C376" s="449" t="s">
        <v>1708</v>
      </c>
      <c r="D376" s="776"/>
      <c r="E376" s="2456">
        <f>+'Qualitative Disclosures'!F364</f>
        <v>0</v>
      </c>
      <c r="F376" s="2456">
        <f>+'Qualitative Disclosures'!G364</f>
        <v>0</v>
      </c>
      <c r="G376" s="1731"/>
      <c r="H376" s="1731"/>
      <c r="M376" s="1756" t="str">
        <f t="shared" si="14"/>
        <v>No</v>
      </c>
    </row>
    <row r="377" spans="3:15" s="1" customFormat="1" ht="14.45" hidden="1" customHeight="1" x14ac:dyDescent="0.3">
      <c r="C377" s="2796" t="s">
        <v>1709</v>
      </c>
      <c r="D377" s="2797"/>
      <c r="E377" s="2456">
        <f>+'Qualitative Disclosures'!F365</f>
        <v>0</v>
      </c>
      <c r="F377" s="2456">
        <f>+'Qualitative Disclosures'!G365</f>
        <v>0</v>
      </c>
      <c r="G377" s="1731"/>
      <c r="H377" s="1731"/>
      <c r="M377" s="1756" t="str">
        <f t="shared" si="14"/>
        <v>No</v>
      </c>
    </row>
    <row r="378" spans="3:15" s="1" customFormat="1" ht="14.45" hidden="1" customHeight="1" x14ac:dyDescent="0.3">
      <c r="C378" s="449" t="s">
        <v>1710</v>
      </c>
      <c r="D378" s="776"/>
      <c r="E378" s="2456">
        <f>+'Qualitative Disclosures'!F366</f>
        <v>0</v>
      </c>
      <c r="F378" s="2456">
        <f>+'Qualitative Disclosures'!G366</f>
        <v>0</v>
      </c>
      <c r="G378" s="1731"/>
      <c r="H378" s="1731"/>
      <c r="M378" s="1756" t="str">
        <f t="shared" si="14"/>
        <v>No</v>
      </c>
    </row>
    <row r="379" spans="3:15" s="1" customFormat="1" ht="14.45" hidden="1" customHeight="1" x14ac:dyDescent="0.3">
      <c r="C379" s="449" t="s">
        <v>1711</v>
      </c>
      <c r="D379" s="776"/>
      <c r="E379" s="2456">
        <f>+'Qualitative Disclosures'!F367</f>
        <v>0</v>
      </c>
      <c r="F379" s="2456">
        <f>+'Qualitative Disclosures'!G367</f>
        <v>0</v>
      </c>
      <c r="G379" s="1731"/>
      <c r="H379" s="1731"/>
      <c r="M379" s="1756" t="str">
        <f t="shared" si="14"/>
        <v>No</v>
      </c>
    </row>
    <row r="380" spans="3:15" s="1" customFormat="1" ht="14.45" hidden="1" customHeight="1" x14ac:dyDescent="0.3">
      <c r="C380" s="448" t="s">
        <v>150</v>
      </c>
      <c r="D380" s="766"/>
      <c r="E380" s="2332">
        <f>+'Qualitative Disclosures'!F368</f>
        <v>0</v>
      </c>
      <c r="F380" s="2332">
        <f>+'Qualitative Disclosures'!G368</f>
        <v>0</v>
      </c>
      <c r="G380" s="1731"/>
      <c r="H380" s="1731"/>
      <c r="M380" s="1756" t="str">
        <f t="shared" si="14"/>
        <v>No</v>
      </c>
    </row>
    <row r="381" spans="3:15" s="1" customFormat="1" ht="14.45" hidden="1" customHeight="1" x14ac:dyDescent="0.3">
      <c r="C381" s="445"/>
      <c r="D381" s="764"/>
      <c r="E381" s="2456"/>
      <c r="F381" s="2456"/>
      <c r="G381" s="1731"/>
      <c r="H381" s="1731"/>
      <c r="M381" s="1756" t="str">
        <f>+M370</f>
        <v>No</v>
      </c>
    </row>
    <row r="382" spans="3:15" s="1" customFormat="1" ht="14.45" hidden="1" customHeight="1" x14ac:dyDescent="0.3">
      <c r="C382" s="330" t="str">
        <f>+"("&amp;N382&amp;") "&amp;O382</f>
        <v>(a) Debenture redemption reserve</v>
      </c>
      <c r="D382" s="764"/>
      <c r="E382" s="2456"/>
      <c r="F382" s="2456"/>
      <c r="G382" s="1731"/>
      <c r="H382" s="1731"/>
      <c r="M382" s="1756" t="str">
        <f>IF(COUNTIF(M383:M388,"Yes")&lt;&gt;0,"Yes","No")</f>
        <v>No</v>
      </c>
      <c r="N382" s="42" t="str">
        <f>+IF(M370="yes",CHAR(CODE(N370)+1),N370)</f>
        <v>a</v>
      </c>
      <c r="O382" s="1" t="s">
        <v>168</v>
      </c>
    </row>
    <row r="383" spans="3:15" s="1" customFormat="1" ht="14.45" hidden="1" customHeight="1" x14ac:dyDescent="0.3">
      <c r="C383" s="448" t="s">
        <v>148</v>
      </c>
      <c r="D383" s="766"/>
      <c r="E383" s="2456">
        <f>+'Qualitative Disclosures'!F371</f>
        <v>0</v>
      </c>
      <c r="F383" s="2456">
        <f>+'Qualitative Disclosures'!G371</f>
        <v>0</v>
      </c>
      <c r="G383" s="1731"/>
      <c r="H383" s="1731"/>
      <c r="M383" s="1756" t="str">
        <f t="shared" ref="M383:M388" si="15">IF(AND(E383=0,F383=0),"No","Yes")</f>
        <v>No</v>
      </c>
    </row>
    <row r="384" spans="3:15" s="1" customFormat="1" ht="14.45" hidden="1" customHeight="1" x14ac:dyDescent="0.3">
      <c r="C384" s="753" t="s">
        <v>1712</v>
      </c>
      <c r="D384" s="766"/>
      <c r="E384" s="2456">
        <f>+'Qualitative Disclosures'!F372</f>
        <v>0</v>
      </c>
      <c r="F384" s="2456">
        <f>+'Qualitative Disclosures'!G372</f>
        <v>0</v>
      </c>
      <c r="G384" s="1731"/>
      <c r="H384" s="1731"/>
      <c r="M384" s="1756" t="str">
        <f t="shared" si="15"/>
        <v>No</v>
      </c>
    </row>
    <row r="385" spans="3:15" s="1" customFormat="1" ht="14.45" hidden="1" customHeight="1" x14ac:dyDescent="0.3">
      <c r="C385" s="449" t="s">
        <v>1703</v>
      </c>
      <c r="D385" s="776"/>
      <c r="E385" s="2456">
        <f>+'Qualitative Disclosures'!F373</f>
        <v>0</v>
      </c>
      <c r="F385" s="2456">
        <f>+'Qualitative Disclosures'!G373</f>
        <v>0</v>
      </c>
      <c r="G385" s="1731"/>
      <c r="H385" s="1731"/>
      <c r="M385" s="1756" t="str">
        <f t="shared" si="15"/>
        <v>No</v>
      </c>
    </row>
    <row r="386" spans="3:15" s="1" customFormat="1" ht="14.45" hidden="1" customHeight="1" x14ac:dyDescent="0.3">
      <c r="C386" s="449" t="s">
        <v>1704</v>
      </c>
      <c r="D386" s="776"/>
      <c r="E386" s="2456">
        <f>+'Qualitative Disclosures'!F374</f>
        <v>0</v>
      </c>
      <c r="F386" s="2456">
        <f>+'Qualitative Disclosures'!G374</f>
        <v>0</v>
      </c>
      <c r="G386" s="1731"/>
      <c r="H386" s="1731"/>
      <c r="M386" s="1756" t="str">
        <f t="shared" si="15"/>
        <v>No</v>
      </c>
    </row>
    <row r="387" spans="3:15" s="1" customFormat="1" ht="14.45" hidden="1" customHeight="1" x14ac:dyDescent="0.3">
      <c r="C387" s="753" t="s">
        <v>149</v>
      </c>
      <c r="D387" s="766"/>
      <c r="E387" s="2456">
        <f>+'Qualitative Disclosures'!F375</f>
        <v>0</v>
      </c>
      <c r="F387" s="2456">
        <f>+'Qualitative Disclosures'!G375</f>
        <v>0</v>
      </c>
      <c r="G387" s="1731"/>
      <c r="H387" s="1731"/>
      <c r="M387" s="1756" t="str">
        <f t="shared" si="15"/>
        <v>No</v>
      </c>
    </row>
    <row r="388" spans="3:15" s="1" customFormat="1" ht="14.45" hidden="1" customHeight="1" x14ac:dyDescent="0.3">
      <c r="C388" s="448" t="s">
        <v>150</v>
      </c>
      <c r="D388" s="766"/>
      <c r="E388" s="2332">
        <f>+'Qualitative Disclosures'!F376</f>
        <v>0</v>
      </c>
      <c r="F388" s="2332">
        <f>+'Qualitative Disclosures'!G376</f>
        <v>0</v>
      </c>
      <c r="G388" s="1731"/>
      <c r="H388" s="1731"/>
      <c r="M388" s="1756" t="str">
        <f t="shared" si="15"/>
        <v>No</v>
      </c>
    </row>
    <row r="389" spans="3:15" s="1" customFormat="1" ht="14.45" hidden="1" customHeight="1" x14ac:dyDescent="0.3">
      <c r="C389" s="445"/>
      <c r="D389" s="764"/>
      <c r="E389" s="2456"/>
      <c r="F389" s="2456"/>
      <c r="G389" s="1731"/>
      <c r="H389" s="1731"/>
      <c r="M389" s="1756" t="str">
        <f>+M382</f>
        <v>No</v>
      </c>
    </row>
    <row r="390" spans="3:15" s="1" customFormat="1" ht="14.45" hidden="1" customHeight="1" x14ac:dyDescent="0.3">
      <c r="C390" s="330" t="str">
        <f>+"("&amp;N390&amp;") "&amp;O390</f>
        <v>(a) Revaluation reserve</v>
      </c>
      <c r="D390" s="764"/>
      <c r="E390" s="2456"/>
      <c r="F390" s="2456"/>
      <c r="G390" s="1731"/>
      <c r="H390" s="1731"/>
      <c r="M390" s="1756" t="str">
        <f>IF(COUNTIF(M391:M394,"Yes")&lt;&gt;0,"Yes","No")</f>
        <v>No</v>
      </c>
      <c r="N390" s="42" t="str">
        <f>+IF(M382="yes",CHAR(CODE(N382)+1),N382)</f>
        <v>a</v>
      </c>
      <c r="O390" s="1" t="s">
        <v>1171</v>
      </c>
    </row>
    <row r="391" spans="3:15" s="1" customFormat="1" ht="14.45" hidden="1" customHeight="1" x14ac:dyDescent="0.3">
      <c r="C391" s="448" t="s">
        <v>148</v>
      </c>
      <c r="D391" s="766"/>
      <c r="E391" s="2456">
        <f>+'Qualitative Disclosures'!F379</f>
        <v>0</v>
      </c>
      <c r="F391" s="2456">
        <f>+'Qualitative Disclosures'!G379</f>
        <v>0</v>
      </c>
      <c r="G391" s="1731"/>
      <c r="H391" s="1731"/>
      <c r="M391" s="1756" t="str">
        <f>IF(AND(E391=0,F391=0),"No","Yes")</f>
        <v>No</v>
      </c>
    </row>
    <row r="392" spans="3:15" s="1" customFormat="1" ht="14.45" hidden="1" customHeight="1" x14ac:dyDescent="0.3">
      <c r="C392" s="753" t="s">
        <v>157</v>
      </c>
      <c r="D392" s="766"/>
      <c r="E392" s="2456">
        <f>+'Qualitative Disclosures'!F380</f>
        <v>0</v>
      </c>
      <c r="F392" s="2456">
        <f>+'Qualitative Disclosures'!G380</f>
        <v>0</v>
      </c>
      <c r="G392" s="1731"/>
      <c r="H392" s="1731"/>
      <c r="M392" s="1756" t="str">
        <f>IF(AND(E392=0,F392=0),"No","Yes")</f>
        <v>No</v>
      </c>
    </row>
    <row r="393" spans="3:15" s="1" customFormat="1" ht="14.45" hidden="1" customHeight="1" x14ac:dyDescent="0.3">
      <c r="C393" s="753" t="s">
        <v>803</v>
      </c>
      <c r="D393" s="766"/>
      <c r="E393" s="2456">
        <f>+'Qualitative Disclosures'!F381</f>
        <v>0</v>
      </c>
      <c r="F393" s="2456">
        <f>+'Qualitative Disclosures'!G381</f>
        <v>0</v>
      </c>
      <c r="G393" s="1731"/>
      <c r="H393" s="1731"/>
      <c r="M393" s="1756" t="str">
        <f>IF(AND(E393=0,F393=0),"No","Yes")</f>
        <v>No</v>
      </c>
    </row>
    <row r="394" spans="3:15" s="1" customFormat="1" ht="14.45" hidden="1" customHeight="1" x14ac:dyDescent="0.3">
      <c r="C394" s="448" t="s">
        <v>150</v>
      </c>
      <c r="D394" s="766"/>
      <c r="E394" s="2332">
        <f>+'Qualitative Disclosures'!F382</f>
        <v>0</v>
      </c>
      <c r="F394" s="2332">
        <f>+'Qualitative Disclosures'!G382</f>
        <v>0</v>
      </c>
      <c r="G394" s="1731"/>
      <c r="H394" s="1731"/>
      <c r="M394" s="1756" t="str">
        <f>IF(AND(E394=0,F394=0),"No","Yes")</f>
        <v>No</v>
      </c>
    </row>
    <row r="395" spans="3:15" s="1" customFormat="1" ht="14.45" hidden="1" customHeight="1" x14ac:dyDescent="0.3">
      <c r="C395" s="445"/>
      <c r="D395" s="764"/>
      <c r="E395" s="2456"/>
      <c r="F395" s="2456"/>
      <c r="G395" s="1731"/>
      <c r="H395" s="1731"/>
      <c r="M395" s="1756" t="str">
        <f>+M390</f>
        <v>No</v>
      </c>
    </row>
    <row r="396" spans="3:15" s="1" customFormat="1" ht="14.45" hidden="1" customHeight="1" x14ac:dyDescent="0.3">
      <c r="C396" s="330" t="str">
        <f>+"("&amp;N396&amp;") "&amp;O396</f>
        <v>(a) Share options outstanding A/C</v>
      </c>
      <c r="D396" s="764"/>
      <c r="E396" s="2456"/>
      <c r="F396" s="2456"/>
      <c r="G396" s="1731"/>
      <c r="H396" s="1731"/>
      <c r="M396" s="1756" t="str">
        <f>IF(COUNTIF(M397:M403,"Yes")&lt;&gt;0,"Yes","No")</f>
        <v>No</v>
      </c>
      <c r="N396" s="42" t="str">
        <f>+IF(M390="yes",CHAR(CODE(N390)+1),N390)</f>
        <v>a</v>
      </c>
      <c r="O396" s="1" t="s">
        <v>1172</v>
      </c>
    </row>
    <row r="397" spans="3:15" s="1" customFormat="1" ht="14.45" hidden="1" customHeight="1" x14ac:dyDescent="0.3">
      <c r="C397" s="450" t="s">
        <v>148</v>
      </c>
      <c r="D397" s="766"/>
      <c r="E397" s="2456">
        <f>+'Qualitative Disclosures'!F385</f>
        <v>0</v>
      </c>
      <c r="F397" s="2456">
        <f>+'Qualitative Disclosures'!G385</f>
        <v>0</v>
      </c>
      <c r="G397" s="1731"/>
      <c r="H397" s="1731"/>
      <c r="M397" s="1756" t="str">
        <f t="shared" ref="M397:M402" si="16">IF(AND(E397=0,F397=0),"No","Yes")</f>
        <v>No</v>
      </c>
    </row>
    <row r="398" spans="3:15" s="1" customFormat="1" ht="14.45" hidden="1" customHeight="1" x14ac:dyDescent="0.3">
      <c r="C398" s="2775" t="s">
        <v>644</v>
      </c>
      <c r="D398" s="2776"/>
      <c r="E398" s="2456">
        <f>+'Qualitative Disclosures'!F386</f>
        <v>0</v>
      </c>
      <c r="F398" s="2456">
        <f>+'Qualitative Disclosures'!G386</f>
        <v>0</v>
      </c>
      <c r="G398" s="1731"/>
      <c r="H398" s="1731"/>
      <c r="M398" s="1756" t="str">
        <f t="shared" si="16"/>
        <v>No</v>
      </c>
    </row>
    <row r="399" spans="3:15" s="1" customFormat="1" ht="14.45" hidden="1" customHeight="1" x14ac:dyDescent="0.3">
      <c r="C399" s="2775" t="s">
        <v>1174</v>
      </c>
      <c r="D399" s="2776"/>
      <c r="E399" s="2456">
        <f>+'Qualitative Disclosures'!F387</f>
        <v>0</v>
      </c>
      <c r="F399" s="2456">
        <f>+'Qualitative Disclosures'!G387</f>
        <v>0</v>
      </c>
      <c r="G399" s="1731"/>
      <c r="H399" s="1731"/>
      <c r="M399" s="1756" t="str">
        <f t="shared" si="16"/>
        <v>No</v>
      </c>
    </row>
    <row r="400" spans="3:15" s="1" customFormat="1" ht="14.45" hidden="1" customHeight="1" x14ac:dyDescent="0.3">
      <c r="C400" s="449" t="s">
        <v>1713</v>
      </c>
      <c r="D400" s="768"/>
      <c r="E400" s="2456">
        <f>+'Qualitative Disclosures'!F388</f>
        <v>0</v>
      </c>
      <c r="F400" s="2456">
        <f>+'Qualitative Disclosures'!G388</f>
        <v>0</v>
      </c>
      <c r="G400" s="1731"/>
      <c r="H400" s="1731"/>
      <c r="M400" s="1756" t="str">
        <f t="shared" si="16"/>
        <v>No</v>
      </c>
    </row>
    <row r="401" spans="3:15" s="1" customFormat="1" ht="14.45" hidden="1" customHeight="1" x14ac:dyDescent="0.3">
      <c r="C401" s="449" t="s">
        <v>1714</v>
      </c>
      <c r="D401" s="768"/>
      <c r="E401" s="2456">
        <f>+'Qualitative Disclosures'!F389</f>
        <v>0</v>
      </c>
      <c r="F401" s="2456">
        <f>+'Qualitative Disclosures'!G389</f>
        <v>0</v>
      </c>
      <c r="G401" s="1731"/>
      <c r="H401" s="1731"/>
      <c r="M401" s="1756" t="str">
        <f t="shared" si="16"/>
        <v>No</v>
      </c>
    </row>
    <row r="402" spans="3:15" s="1" customFormat="1" ht="14.45" hidden="1" customHeight="1" x14ac:dyDescent="0.3">
      <c r="C402" s="2775" t="s">
        <v>1175</v>
      </c>
      <c r="D402" s="2776"/>
      <c r="E402" s="2335">
        <f>+'Qualitative Disclosures'!F390</f>
        <v>0</v>
      </c>
      <c r="F402" s="2335">
        <f>+'Qualitative Disclosures'!G390</f>
        <v>0</v>
      </c>
      <c r="G402" s="1731"/>
      <c r="H402" s="1731"/>
      <c r="M402" s="1756" t="str">
        <f t="shared" si="16"/>
        <v>No</v>
      </c>
    </row>
    <row r="403" spans="3:15" s="1" customFormat="1" ht="14.45" hidden="1" customHeight="1" x14ac:dyDescent="0.3">
      <c r="C403" s="448" t="s">
        <v>150</v>
      </c>
      <c r="D403" s="2458"/>
      <c r="E403" s="2459">
        <f>+'Qualitative Disclosures'!F391</f>
        <v>0</v>
      </c>
      <c r="F403" s="2459">
        <f>+'Qualitative Disclosures'!G391</f>
        <v>0</v>
      </c>
      <c r="G403" s="1731"/>
      <c r="H403" s="1731"/>
      <c r="M403" s="1756" t="str">
        <f>IF(AND(E403=0,F403=0),"No","Yes")</f>
        <v>No</v>
      </c>
    </row>
    <row r="404" spans="3:15" s="1" customFormat="1" ht="14.45" hidden="1" customHeight="1" x14ac:dyDescent="0.3">
      <c r="C404" s="457"/>
      <c r="D404" s="32"/>
      <c r="E404" s="2456"/>
      <c r="F404" s="2456"/>
      <c r="G404" s="1731"/>
      <c r="H404" s="1731"/>
      <c r="M404" s="1756" t="str">
        <f>+M396</f>
        <v>No</v>
      </c>
    </row>
    <row r="405" spans="3:15" s="1" customFormat="1" ht="14.45" hidden="1" customHeight="1" x14ac:dyDescent="0.3">
      <c r="C405" s="332" t="str">
        <f>+"("&amp;N405&amp;") "&amp;O405</f>
        <v>(a) General reserve</v>
      </c>
      <c r="D405" s="2460"/>
      <c r="E405" s="2456"/>
      <c r="F405" s="2456"/>
      <c r="G405" s="1731"/>
      <c r="H405" s="1731"/>
      <c r="M405" s="1756" t="str">
        <f>IF(COUNTIF(M406:M413,"Yes")&lt;&gt;0,"Yes","No")</f>
        <v>No</v>
      </c>
      <c r="N405" s="42" t="str">
        <f>+IF(M396="yes",CHAR(CODE(N396)+1),N396)</f>
        <v>a</v>
      </c>
      <c r="O405" s="1" t="s">
        <v>164</v>
      </c>
    </row>
    <row r="406" spans="3:15" s="1" customFormat="1" ht="14.45" hidden="1" customHeight="1" x14ac:dyDescent="0.3">
      <c r="C406" s="448" t="s">
        <v>148</v>
      </c>
      <c r="D406" s="766"/>
      <c r="E406" s="2456">
        <f>+'Qualitative Disclosures'!F394</f>
        <v>0</v>
      </c>
      <c r="F406" s="2456">
        <f>+'Qualitative Disclosures'!G394</f>
        <v>0</v>
      </c>
      <c r="G406" s="1731"/>
      <c r="H406" s="1731"/>
      <c r="M406" s="1756" t="str">
        <f t="shared" ref="M406:M413" si="17">IF(AND(E406=0,F406=0),"No","Yes")</f>
        <v>No</v>
      </c>
    </row>
    <row r="407" spans="3:15" s="1" customFormat="1" ht="14.45" hidden="1" customHeight="1" x14ac:dyDescent="0.3">
      <c r="C407" s="753" t="s">
        <v>1712</v>
      </c>
      <c r="D407" s="766"/>
      <c r="E407" s="2456">
        <f>+'Qualitative Disclosures'!F395</f>
        <v>0</v>
      </c>
      <c r="F407" s="2456">
        <f>+'Qualitative Disclosures'!G395</f>
        <v>0</v>
      </c>
      <c r="G407" s="1731"/>
      <c r="H407" s="1731"/>
      <c r="M407" s="1756" t="str">
        <f t="shared" si="17"/>
        <v>No</v>
      </c>
    </row>
    <row r="408" spans="3:15" s="1" customFormat="1" ht="14.45" hidden="1" customHeight="1" x14ac:dyDescent="0.3">
      <c r="C408" s="785" t="s">
        <v>1703</v>
      </c>
      <c r="D408" s="766"/>
      <c r="E408" s="2456">
        <f>+'Qualitative Disclosures'!F396</f>
        <v>0</v>
      </c>
      <c r="F408" s="2456">
        <f>+'Qualitative Disclosures'!G396</f>
        <v>0</v>
      </c>
      <c r="G408" s="1731"/>
      <c r="H408" s="1731"/>
      <c r="M408" s="1756" t="str">
        <f t="shared" si="17"/>
        <v>No</v>
      </c>
    </row>
    <row r="409" spans="3:15" s="1" customFormat="1" ht="28.9" hidden="1" customHeight="1" x14ac:dyDescent="0.3">
      <c r="C409" s="2461" t="s">
        <v>1715</v>
      </c>
      <c r="D409" s="2462"/>
      <c r="E409" s="2456">
        <f>+'Qualitative Disclosures'!F397</f>
        <v>0</v>
      </c>
      <c r="F409" s="2456">
        <f>+'Qualitative Disclosures'!G397</f>
        <v>0</v>
      </c>
      <c r="G409" s="1731"/>
      <c r="H409" s="1731"/>
      <c r="M409" s="1756" t="str">
        <f t="shared" si="17"/>
        <v>No</v>
      </c>
    </row>
    <row r="410" spans="3:15" s="1" customFormat="1" ht="14.45" hidden="1" customHeight="1" x14ac:dyDescent="0.3">
      <c r="C410" s="753" t="s">
        <v>159</v>
      </c>
      <c r="D410" s="766"/>
      <c r="E410" s="2456">
        <f>+'Qualitative Disclosures'!F398</f>
        <v>0</v>
      </c>
      <c r="F410" s="2456">
        <f>+'Qualitative Disclosures'!G398</f>
        <v>0</v>
      </c>
      <c r="G410" s="1731"/>
      <c r="H410" s="1731"/>
      <c r="M410" s="1756" t="str">
        <f t="shared" si="17"/>
        <v>No</v>
      </c>
    </row>
    <row r="411" spans="3:15" s="1" customFormat="1" ht="14.45" hidden="1" customHeight="1" x14ac:dyDescent="0.3">
      <c r="C411" s="785" t="s">
        <v>1706</v>
      </c>
      <c r="D411" s="776"/>
      <c r="E411" s="2456">
        <f>+'Qualitative Disclosures'!F399</f>
        <v>0</v>
      </c>
      <c r="F411" s="2456">
        <f>+'Qualitative Disclosures'!G399</f>
        <v>0</v>
      </c>
      <c r="G411" s="1731"/>
      <c r="H411" s="1731"/>
      <c r="M411" s="1756" t="str">
        <f t="shared" si="17"/>
        <v>No</v>
      </c>
    </row>
    <row r="412" spans="3:15" s="1" customFormat="1" ht="14.45" hidden="1" customHeight="1" x14ac:dyDescent="0.3">
      <c r="C412" s="785" t="s">
        <v>1711</v>
      </c>
      <c r="D412" s="776"/>
      <c r="E412" s="2456">
        <f>+'Qualitative Disclosures'!F400</f>
        <v>0</v>
      </c>
      <c r="F412" s="2456">
        <f>+'Qualitative Disclosures'!G400</f>
        <v>0</v>
      </c>
      <c r="G412" s="1731"/>
      <c r="H412" s="1731"/>
      <c r="M412" s="1756" t="str">
        <f t="shared" si="17"/>
        <v>No</v>
      </c>
    </row>
    <row r="413" spans="3:15" s="1" customFormat="1" ht="14.45" hidden="1" customHeight="1" x14ac:dyDescent="0.3">
      <c r="C413" s="448" t="s">
        <v>150</v>
      </c>
      <c r="D413" s="766"/>
      <c r="E413" s="2332">
        <f>+'Qualitative Disclosures'!F401</f>
        <v>0</v>
      </c>
      <c r="F413" s="2332">
        <f>+'Qualitative Disclosures'!G401</f>
        <v>0</v>
      </c>
      <c r="G413" s="1731"/>
      <c r="H413" s="1731"/>
      <c r="M413" s="1756" t="str">
        <f t="shared" si="17"/>
        <v>No</v>
      </c>
    </row>
    <row r="414" spans="3:15" s="1" customFormat="1" ht="14.45" hidden="1" customHeight="1" x14ac:dyDescent="0.3">
      <c r="C414" s="445"/>
      <c r="D414" s="764"/>
      <c r="E414" s="2456"/>
      <c r="F414" s="2456"/>
      <c r="G414" s="1731"/>
      <c r="H414" s="1731"/>
      <c r="M414" s="1756" t="str">
        <f>+M405</f>
        <v>No</v>
      </c>
    </row>
    <row r="415" spans="3:15" s="1" customFormat="1" ht="14.45" hidden="1" customHeight="1" x14ac:dyDescent="0.3">
      <c r="C415" s="332" t="str">
        <f>+"("&amp;N415&amp;") "&amp;O415</f>
        <v xml:space="preserve">(a) Foreign currency translation reserve </v>
      </c>
      <c r="D415" s="2460"/>
      <c r="E415" s="2456"/>
      <c r="F415" s="2456"/>
      <c r="G415" s="1731"/>
      <c r="H415" s="1731"/>
      <c r="M415" s="1756" t="str">
        <f>IF(COUNTIF(M416:M419,"Yes")&lt;&gt;0,"Yes","No")</f>
        <v>No</v>
      </c>
      <c r="N415" s="42" t="str">
        <f>+IF(M405="yes",CHAR(CODE(N405)+1),N405)</f>
        <v>a</v>
      </c>
      <c r="O415" s="1" t="s">
        <v>1177</v>
      </c>
    </row>
    <row r="416" spans="3:15" s="1" customFormat="1" ht="14.45" hidden="1" customHeight="1" x14ac:dyDescent="0.3">
      <c r="C416" s="448" t="s">
        <v>148</v>
      </c>
      <c r="D416" s="766"/>
      <c r="E416" s="2456">
        <f>+'Qualitative Disclosures'!F404</f>
        <v>0</v>
      </c>
      <c r="F416" s="2456">
        <f>+'Qualitative Disclosures'!G404</f>
        <v>0</v>
      </c>
      <c r="G416" s="1731"/>
      <c r="H416" s="1731"/>
      <c r="M416" s="1756" t="str">
        <f>IF(AND(E416=0,F416=0),"No","Yes")</f>
        <v>No</v>
      </c>
    </row>
    <row r="417" spans="3:15" s="1" customFormat="1" ht="14.45" hidden="1" customHeight="1" x14ac:dyDescent="0.3">
      <c r="C417" s="753" t="s">
        <v>161</v>
      </c>
      <c r="D417" s="766"/>
      <c r="E417" s="2456">
        <f>+'Qualitative Disclosures'!F405</f>
        <v>0</v>
      </c>
      <c r="F417" s="2456">
        <f>+'Qualitative Disclosures'!G405</f>
        <v>0</v>
      </c>
      <c r="G417" s="1731"/>
      <c r="H417" s="1731"/>
      <c r="M417" s="1756" t="str">
        <f>IF(AND(E417=0,F417=0),"No","Yes")</f>
        <v>No</v>
      </c>
    </row>
    <row r="418" spans="3:15" s="1" customFormat="1" ht="14.45" hidden="1" customHeight="1" x14ac:dyDescent="0.3">
      <c r="C418" s="2775" t="s">
        <v>1716</v>
      </c>
      <c r="D418" s="2776"/>
      <c r="E418" s="2456">
        <f>+'Qualitative Disclosures'!F406</f>
        <v>0</v>
      </c>
      <c r="F418" s="2456">
        <f>+'Qualitative Disclosures'!G406</f>
        <v>0</v>
      </c>
      <c r="G418" s="1731"/>
      <c r="H418" s="1731"/>
      <c r="M418" s="1756" t="str">
        <f>IF(AND(E418=0,F418=0),"No","Yes")</f>
        <v>No</v>
      </c>
    </row>
    <row r="419" spans="3:15" s="1" customFormat="1" ht="14.45" hidden="1" customHeight="1" x14ac:dyDescent="0.3">
      <c r="C419" s="448" t="s">
        <v>150</v>
      </c>
      <c r="D419" s="766"/>
      <c r="E419" s="2332">
        <f>+'Qualitative Disclosures'!F407</f>
        <v>0</v>
      </c>
      <c r="F419" s="2332">
        <f>+'Qualitative Disclosures'!G407</f>
        <v>0</v>
      </c>
      <c r="G419" s="1731"/>
      <c r="H419" s="1731"/>
      <c r="M419" s="1756" t="str">
        <f>IF(AND(E419=0,F419=0),"No","Yes")</f>
        <v>No</v>
      </c>
    </row>
    <row r="420" spans="3:15" s="1" customFormat="1" ht="14.45" hidden="1" customHeight="1" x14ac:dyDescent="0.3">
      <c r="C420" s="567"/>
      <c r="D420" s="614"/>
      <c r="E420" s="2456"/>
      <c r="F420" s="2456"/>
      <c r="G420" s="1731"/>
      <c r="H420" s="1731"/>
      <c r="M420" s="1756" t="str">
        <f>+M415</f>
        <v>No</v>
      </c>
    </row>
    <row r="421" spans="3:15" s="1" customFormat="1" ht="14.45" hidden="1" customHeight="1" x14ac:dyDescent="0.3">
      <c r="C421" s="332" t="str">
        <f>+"("&amp;N421&amp;") "&amp;O421</f>
        <v>(a) Hedging reserve</v>
      </c>
      <c r="D421" s="2460"/>
      <c r="E421" s="2456"/>
      <c r="F421" s="2456"/>
      <c r="G421" s="1731"/>
      <c r="H421" s="1731"/>
      <c r="M421" s="1756" t="str">
        <f>IF(COUNTIF(M422:M425,"Yes")&lt;&gt;0,"Yes","No")</f>
        <v>No</v>
      </c>
      <c r="N421" s="42" t="str">
        <f>+IF(M415="yes",CHAR(CODE(N415)+1),N415)</f>
        <v>a</v>
      </c>
      <c r="O421" s="1" t="s">
        <v>1178</v>
      </c>
    </row>
    <row r="422" spans="3:15" s="1" customFormat="1" ht="14.45" hidden="1" customHeight="1" x14ac:dyDescent="0.3">
      <c r="C422" s="448" t="s">
        <v>148</v>
      </c>
      <c r="D422" s="766"/>
      <c r="E422" s="2456">
        <f>+'Qualitative Disclosures'!F410</f>
        <v>0</v>
      </c>
      <c r="F422" s="2456">
        <f>+'Qualitative Disclosures'!G410</f>
        <v>0</v>
      </c>
      <c r="G422" s="1731"/>
      <c r="H422" s="1731"/>
      <c r="M422" s="1756" t="str">
        <f>IF(AND(E422=0,F422=0),"No","Yes")</f>
        <v>No</v>
      </c>
    </row>
    <row r="423" spans="3:15" s="1" customFormat="1" ht="14.45" hidden="1" customHeight="1" x14ac:dyDescent="0.3">
      <c r="C423" s="2775" t="s">
        <v>596</v>
      </c>
      <c r="D423" s="2776"/>
      <c r="E423" s="2456">
        <f>+'Qualitative Disclosures'!F411</f>
        <v>0</v>
      </c>
      <c r="F423" s="2456">
        <f>+'Qualitative Disclosures'!G411</f>
        <v>0</v>
      </c>
      <c r="G423" s="1731"/>
      <c r="H423" s="1731"/>
      <c r="M423" s="1756" t="str">
        <f>IF(AND(E423=0,F423=0),"No","Yes")</f>
        <v>No</v>
      </c>
    </row>
    <row r="424" spans="3:15" s="1" customFormat="1" ht="14.45" hidden="1" customHeight="1" x14ac:dyDescent="0.3">
      <c r="C424" s="753" t="s">
        <v>163</v>
      </c>
      <c r="D424" s="766"/>
      <c r="E424" s="2456">
        <f>+'Qualitative Disclosures'!F412</f>
        <v>0</v>
      </c>
      <c r="F424" s="2456">
        <f>+'Qualitative Disclosures'!G412</f>
        <v>0</v>
      </c>
      <c r="G424" s="1731"/>
      <c r="H424" s="1731"/>
      <c r="M424" s="1756" t="str">
        <f>IF(AND(E424=0,F424=0),"No","Yes")</f>
        <v>No</v>
      </c>
    </row>
    <row r="425" spans="3:15" s="1" customFormat="1" ht="14.45" hidden="1" customHeight="1" x14ac:dyDescent="0.3">
      <c r="C425" s="448" t="s">
        <v>150</v>
      </c>
      <c r="D425" s="766"/>
      <c r="E425" s="2332">
        <f>+'Qualitative Disclosures'!F413</f>
        <v>0</v>
      </c>
      <c r="F425" s="2332">
        <f>+'Qualitative Disclosures'!G413</f>
        <v>0</v>
      </c>
      <c r="G425" s="1731"/>
      <c r="H425" s="1731"/>
      <c r="M425" s="1756" t="str">
        <f>IF(AND(E425=0,F425=0),"No","Yes")</f>
        <v>No</v>
      </c>
    </row>
    <row r="426" spans="3:15" s="1" customFormat="1" ht="14.45" hidden="1" customHeight="1" x14ac:dyDescent="0.3">
      <c r="C426" s="445"/>
      <c r="D426" s="764"/>
      <c r="E426" s="2456"/>
      <c r="F426" s="2456"/>
      <c r="G426" s="1731"/>
      <c r="H426" s="1731"/>
      <c r="M426" s="1756" t="str">
        <f>+M421</f>
        <v>No</v>
      </c>
    </row>
    <row r="427" spans="3:15" s="1" customFormat="1" ht="14.45" hidden="1" customHeight="1" x14ac:dyDescent="0.3">
      <c r="C427" s="330" t="str">
        <f>+"("&amp;N427&amp;") "&amp;O427</f>
        <v>(a) Foreign currency monetary items translation difference account</v>
      </c>
      <c r="D427" s="764"/>
      <c r="E427" s="2456"/>
      <c r="F427" s="2456"/>
      <c r="G427" s="1731"/>
      <c r="H427" s="1731"/>
      <c r="M427" s="1756" t="str">
        <f>IF(COUNTIF(M428:M431,"Yes")&lt;&gt;0,"Yes","No")</f>
        <v>No</v>
      </c>
      <c r="N427" s="42" t="str">
        <f>+IF(M421="yes",CHAR(CODE(N421)+1),N421)</f>
        <v>a</v>
      </c>
      <c r="O427" s="1" t="s">
        <v>1179</v>
      </c>
    </row>
    <row r="428" spans="3:15" s="1" customFormat="1" ht="14.45" hidden="1" customHeight="1" x14ac:dyDescent="0.3">
      <c r="C428" s="448" t="s">
        <v>701</v>
      </c>
      <c r="D428" s="766"/>
      <c r="E428" s="2456">
        <f>+'Qualitative Disclosures'!F416</f>
        <v>0</v>
      </c>
      <c r="F428" s="2456">
        <f>+'Qualitative Disclosures'!G416</f>
        <v>0</v>
      </c>
      <c r="G428" s="1731"/>
      <c r="H428" s="1731"/>
      <c r="M428" s="1756" t="str">
        <f>IF(AND(E428=0,F428=0),"No","Yes")</f>
        <v>No</v>
      </c>
    </row>
    <row r="429" spans="3:15" s="1" customFormat="1" ht="14.45" hidden="1" customHeight="1" x14ac:dyDescent="0.3">
      <c r="C429" s="2775" t="s">
        <v>699</v>
      </c>
      <c r="D429" s="2776"/>
      <c r="E429" s="2456">
        <f>+'Qualitative Disclosures'!F417</f>
        <v>0</v>
      </c>
      <c r="F429" s="2456">
        <f>+'Qualitative Disclosures'!G417</f>
        <v>0</v>
      </c>
      <c r="G429" s="1731"/>
      <c r="H429" s="1731"/>
      <c r="M429" s="1756" t="str">
        <f>IF(AND(E429=0,F429=0),"No","Yes")</f>
        <v>No</v>
      </c>
    </row>
    <row r="430" spans="3:15" s="1" customFormat="1" ht="14.45" hidden="1" customHeight="1" x14ac:dyDescent="0.3">
      <c r="C430" s="2457" t="s">
        <v>700</v>
      </c>
      <c r="D430" s="2463"/>
      <c r="E430" s="2335">
        <f>+'Qualitative Disclosures'!F418</f>
        <v>0</v>
      </c>
      <c r="F430" s="2335">
        <f>+'Qualitative Disclosures'!G418</f>
        <v>0</v>
      </c>
      <c r="G430" s="1731"/>
      <c r="H430" s="1731"/>
      <c r="M430" s="1756" t="str">
        <f>IF(AND(E430=0,F430=0),"No","Yes")</f>
        <v>No</v>
      </c>
    </row>
    <row r="431" spans="3:15" s="1" customFormat="1" ht="14.45" hidden="1" customHeight="1" x14ac:dyDescent="0.3">
      <c r="C431" s="448" t="s">
        <v>702</v>
      </c>
      <c r="D431" s="766"/>
      <c r="E431" s="2456">
        <f>+'Qualitative Disclosures'!F419</f>
        <v>0</v>
      </c>
      <c r="F431" s="2456">
        <f>+'Qualitative Disclosures'!G419</f>
        <v>0</v>
      </c>
      <c r="G431" s="1731"/>
      <c r="H431" s="1731"/>
      <c r="M431" s="1756" t="str">
        <f>IF(AND(E431=0,F431=0),"No","Yes")</f>
        <v>No</v>
      </c>
    </row>
    <row r="432" spans="3:15" s="1" customFormat="1" ht="14.45" hidden="1" customHeight="1" x14ac:dyDescent="0.3">
      <c r="C432" s="445"/>
      <c r="D432" s="764"/>
      <c r="E432" s="2456"/>
      <c r="F432" s="2456"/>
      <c r="G432" s="1731"/>
      <c r="H432" s="1731"/>
      <c r="M432" s="1756" t="str">
        <f>+M427</f>
        <v>No</v>
      </c>
    </row>
    <row r="433" spans="3:15" s="1" customFormat="1" ht="14.45" hidden="1" customHeight="1" x14ac:dyDescent="0.3">
      <c r="C433" s="332" t="str">
        <f>+"("&amp;N433&amp;") "&amp;O433</f>
        <v>(a) Other reserves</v>
      </c>
      <c r="D433" s="2460"/>
      <c r="E433" s="2456"/>
      <c r="F433" s="2456"/>
      <c r="G433" s="1731"/>
      <c r="H433" s="1731"/>
      <c r="M433" s="1756" t="str">
        <f>IF(COUNTIF(M434:M437,"Yes")&lt;&gt;0,"Yes","No")</f>
        <v>No</v>
      </c>
      <c r="N433" s="42" t="str">
        <f>+IF(M427="yes",CHAR(CODE(N427)+1),N427)</f>
        <v>a</v>
      </c>
      <c r="O433" s="1" t="s">
        <v>1180</v>
      </c>
    </row>
    <row r="434" spans="3:15" s="1" customFormat="1" ht="14.45" hidden="1" customHeight="1" x14ac:dyDescent="0.3">
      <c r="C434" s="448" t="s">
        <v>148</v>
      </c>
      <c r="D434" s="766"/>
      <c r="E434" s="2456">
        <f>+'Qualitative Disclosures'!F422</f>
        <v>0</v>
      </c>
      <c r="F434" s="2456">
        <f>+'Qualitative Disclosures'!G422</f>
        <v>0</v>
      </c>
      <c r="G434" s="1731"/>
      <c r="H434" s="1731"/>
      <c r="M434" s="1756" t="str">
        <f>IF(AND(E434=0,F434=0),"No","Yes")</f>
        <v>No</v>
      </c>
    </row>
    <row r="435" spans="3:15" s="1" customFormat="1" ht="14.45" hidden="1" customHeight="1" x14ac:dyDescent="0.3">
      <c r="C435" s="753" t="s">
        <v>440</v>
      </c>
      <c r="D435" s="766"/>
      <c r="E435" s="2456">
        <f>+'Qualitative Disclosures'!F423</f>
        <v>0</v>
      </c>
      <c r="F435" s="2456">
        <f>+'Qualitative Disclosures'!G423</f>
        <v>0</v>
      </c>
      <c r="G435" s="1731"/>
      <c r="H435" s="1731"/>
      <c r="M435" s="1756" t="str">
        <f>IF(AND(E435=0,F435=0),"No","Yes")</f>
        <v>No</v>
      </c>
    </row>
    <row r="436" spans="3:15" s="1" customFormat="1" ht="14.45" hidden="1" customHeight="1" x14ac:dyDescent="0.3">
      <c r="C436" s="2775" t="s">
        <v>441</v>
      </c>
      <c r="D436" s="2776"/>
      <c r="E436" s="2335">
        <f>+'Qualitative Disclosures'!F424</f>
        <v>0</v>
      </c>
      <c r="F436" s="2335">
        <f>+'Qualitative Disclosures'!G424</f>
        <v>0</v>
      </c>
      <c r="G436" s="1731"/>
      <c r="H436" s="1731"/>
      <c r="M436" s="1756" t="str">
        <f>IF(AND(E436=0,F436=0),"No","Yes")</f>
        <v>No</v>
      </c>
    </row>
    <row r="437" spans="3:15" s="1" customFormat="1" ht="14.45" hidden="1" customHeight="1" x14ac:dyDescent="0.3">
      <c r="C437" s="448" t="s">
        <v>150</v>
      </c>
      <c r="D437" s="766"/>
      <c r="E437" s="2456">
        <f>+'Qualitative Disclosures'!F425</f>
        <v>0</v>
      </c>
      <c r="F437" s="2456">
        <f>+'Qualitative Disclosures'!G425</f>
        <v>0</v>
      </c>
      <c r="G437" s="1731"/>
      <c r="H437" s="1731"/>
      <c r="M437" s="1756" t="str">
        <f>IF(AND(E437=0,F437=0),"No","Yes")</f>
        <v>No</v>
      </c>
    </row>
    <row r="438" spans="3:15" s="1" customFormat="1" ht="14.45" hidden="1" customHeight="1" x14ac:dyDescent="0.3">
      <c r="C438" s="457"/>
      <c r="D438" s="32"/>
      <c r="E438" s="2456"/>
      <c r="F438" s="2456"/>
      <c r="G438" s="1731"/>
      <c r="H438" s="1731"/>
      <c r="M438" s="1756" t="str">
        <f>+M433</f>
        <v>No</v>
      </c>
    </row>
    <row r="439" spans="3:15" s="1" customFormat="1" ht="14.45" customHeight="1" x14ac:dyDescent="0.3">
      <c r="C439" s="330" t="str">
        <f>+"("&amp;N439&amp;") "&amp;O439</f>
        <v>(a) Surplus / (Deficit) in Statement of Profit and Loss</v>
      </c>
      <c r="D439" s="2460"/>
      <c r="E439" s="2456"/>
      <c r="F439" s="2456"/>
      <c r="G439" s="1731"/>
      <c r="H439" s="1731"/>
      <c r="M439" s="1756" t="str">
        <f>IF(COUNTIF(M440:M455,"Yes")&lt;&gt;0,"Yes","No")</f>
        <v>Yes</v>
      </c>
      <c r="N439" s="42" t="str">
        <f>+IF(M433="yes",CHAR(CODE(N433)+1),N433)</f>
        <v>a</v>
      </c>
      <c r="O439" s="1" t="s">
        <v>1860</v>
      </c>
    </row>
    <row r="440" spans="3:15" s="1" customFormat="1" ht="14.45" customHeight="1" x14ac:dyDescent="0.3">
      <c r="C440" s="448" t="s">
        <v>148</v>
      </c>
      <c r="D440" s="766"/>
      <c r="E440" s="2456">
        <f>+F455</f>
        <v>808742.69529999793</v>
      </c>
      <c r="F440" s="2456">
        <f>+'Qualitative Disclosures'!G428</f>
        <v>599398.21249999839</v>
      </c>
      <c r="G440" s="1731"/>
      <c r="H440" s="1731"/>
      <c r="I440" s="2523"/>
      <c r="M440" s="1756" t="str">
        <f t="shared" ref="M440:M455" si="18">IF(AND(E440=0,F440=0),"No","Yes")</f>
        <v>Yes</v>
      </c>
    </row>
    <row r="441" spans="3:15" s="1" customFormat="1" ht="14.45" hidden="1" customHeight="1" x14ac:dyDescent="0.3">
      <c r="C441" s="753" t="s">
        <v>1712</v>
      </c>
      <c r="D441" s="766"/>
      <c r="E441" s="2464">
        <f>+'Qualitative Disclosures'!F429</f>
        <v>0</v>
      </c>
      <c r="F441" s="2464">
        <f>+'Qualitative Disclosures'!G429</f>
        <v>0</v>
      </c>
      <c r="G441" s="1731"/>
      <c r="M441" s="1756" t="str">
        <f t="shared" si="18"/>
        <v>No</v>
      </c>
    </row>
    <row r="442" spans="3:15" s="1" customFormat="1" ht="14.45" customHeight="1" x14ac:dyDescent="0.3">
      <c r="C442" s="2465" t="s">
        <v>1717</v>
      </c>
      <c r="D442" s="766"/>
      <c r="E442" s="2464">
        <f>+'Profit and Loss'!F48</f>
        <v>326016.54773805174</v>
      </c>
      <c r="F442" s="2464">
        <f>+'Profit and Loss'!G48</f>
        <v>209345.48279999947</v>
      </c>
      <c r="G442" s="1731"/>
      <c r="H442" s="1731"/>
      <c r="I442" s="2523"/>
      <c r="M442" s="1756" t="str">
        <f t="shared" si="18"/>
        <v>Yes</v>
      </c>
    </row>
    <row r="443" spans="3:15" s="1" customFormat="1" ht="14.45" hidden="1" customHeight="1" x14ac:dyDescent="0.3">
      <c r="C443" s="2465" t="s">
        <v>1725</v>
      </c>
      <c r="D443" s="2466"/>
      <c r="E443" s="2464">
        <f>+'Qualitative Disclosures'!F431</f>
        <v>0</v>
      </c>
      <c r="F443" s="2464">
        <f>+'Qualitative Disclosures'!G431</f>
        <v>0</v>
      </c>
      <c r="G443" s="1731"/>
      <c r="H443" s="1731"/>
      <c r="M443" s="1756" t="str">
        <f t="shared" si="18"/>
        <v>No</v>
      </c>
    </row>
    <row r="444" spans="3:15" s="1" customFormat="1" ht="14.45" hidden="1" customHeight="1" x14ac:dyDescent="0.3">
      <c r="C444" s="2467" t="s">
        <v>1718</v>
      </c>
      <c r="D444" s="769"/>
      <c r="E444" s="2464">
        <f>+'Qualitative Disclosures'!F432</f>
        <v>0</v>
      </c>
      <c r="F444" s="2464">
        <f>+'Qualitative Disclosures'!G432</f>
        <v>0</v>
      </c>
      <c r="G444" s="1731"/>
      <c r="H444" s="1731"/>
      <c r="M444" s="1756" t="str">
        <f t="shared" si="18"/>
        <v>No</v>
      </c>
    </row>
    <row r="445" spans="3:15" s="1" customFormat="1" ht="14.45" hidden="1" customHeight="1" x14ac:dyDescent="0.3">
      <c r="C445" s="2468" t="s">
        <v>1719</v>
      </c>
      <c r="D445" s="769"/>
      <c r="E445" s="2464">
        <f>+'Qualitative Disclosures'!F433</f>
        <v>0</v>
      </c>
      <c r="F445" s="2464">
        <f>+'Qualitative Disclosures'!G433</f>
        <v>0</v>
      </c>
      <c r="G445" s="1731"/>
      <c r="H445" s="1731"/>
      <c r="M445" s="1756" t="str">
        <f t="shared" si="18"/>
        <v>No</v>
      </c>
    </row>
    <row r="446" spans="3:15" s="1" customFormat="1" ht="14.45" hidden="1" customHeight="1" x14ac:dyDescent="0.3">
      <c r="C446" s="2457" t="s">
        <v>165</v>
      </c>
      <c r="D446" s="2463"/>
      <c r="E446" s="2456">
        <f>+'Qualitative Disclosures'!F434</f>
        <v>0</v>
      </c>
      <c r="F446" s="2456">
        <f>+'Qualitative Disclosures'!G434</f>
        <v>0</v>
      </c>
      <c r="G446" s="1731"/>
      <c r="H446" s="1731"/>
      <c r="M446" s="1756" t="str">
        <f t="shared" si="18"/>
        <v>No</v>
      </c>
    </row>
    <row r="447" spans="3:15" s="1" customFormat="1" ht="14.45" hidden="1" customHeight="1" x14ac:dyDescent="0.3">
      <c r="C447" s="2798" t="s">
        <v>1720</v>
      </c>
      <c r="D447" s="2776"/>
      <c r="E447" s="2456">
        <f>+'Qualitative Disclosures'!F435</f>
        <v>0</v>
      </c>
      <c r="F447" s="2456">
        <f>+'Qualitative Disclosures'!G435</f>
        <v>0</v>
      </c>
      <c r="G447" s="1731"/>
      <c r="H447" s="1731"/>
      <c r="M447" s="1756" t="str">
        <f t="shared" si="18"/>
        <v>No</v>
      </c>
    </row>
    <row r="448" spans="3:15" s="1" customFormat="1" ht="14.45" hidden="1" customHeight="1" x14ac:dyDescent="0.3">
      <c r="C448" s="2798" t="s">
        <v>1721</v>
      </c>
      <c r="D448" s="2776"/>
      <c r="E448" s="2456">
        <f>+'Qualitative Disclosures'!F436</f>
        <v>0</v>
      </c>
      <c r="F448" s="2456">
        <f>+'Qualitative Disclosures'!G436</f>
        <v>0</v>
      </c>
      <c r="G448" s="1731"/>
      <c r="H448" s="1731"/>
      <c r="M448" s="1756" t="str">
        <f t="shared" si="18"/>
        <v>No</v>
      </c>
    </row>
    <row r="449" spans="3:13" s="1" customFormat="1" ht="14.45" hidden="1" customHeight="1" x14ac:dyDescent="0.3">
      <c r="C449" s="2465" t="s">
        <v>1722</v>
      </c>
      <c r="D449" s="2469"/>
      <c r="E449" s="2456">
        <f>+'Qualitative Disclosures'!F437</f>
        <v>0</v>
      </c>
      <c r="F449" s="2456">
        <f>+'Qualitative Disclosures'!G437</f>
        <v>0</v>
      </c>
      <c r="G449" s="1731"/>
      <c r="H449" s="1731"/>
      <c r="M449" s="1756" t="str">
        <f t="shared" si="18"/>
        <v>No</v>
      </c>
    </row>
    <row r="450" spans="3:13" s="1" customFormat="1" ht="14.45" hidden="1" customHeight="1" x14ac:dyDescent="0.3">
      <c r="C450" s="753" t="s">
        <v>166</v>
      </c>
      <c r="D450" s="614"/>
      <c r="E450" s="2456">
        <f>+'Qualitative Disclosures'!F438</f>
        <v>0</v>
      </c>
      <c r="F450" s="2456">
        <f>+'Qualitative Disclosures'!G438</f>
        <v>0</v>
      </c>
      <c r="G450" s="1731"/>
      <c r="H450" s="1731"/>
      <c r="M450" s="1756" t="str">
        <f t="shared" si="18"/>
        <v>No</v>
      </c>
    </row>
    <row r="451" spans="3:13" s="1" customFormat="1" ht="14.45" hidden="1" customHeight="1" x14ac:dyDescent="0.3">
      <c r="C451" s="2467" t="s">
        <v>1718</v>
      </c>
      <c r="D451" s="2469"/>
      <c r="E451" s="2456">
        <f>+'Qualitative Disclosures'!F439</f>
        <v>0</v>
      </c>
      <c r="F451" s="2456">
        <f>+'Qualitative Disclosures'!G439</f>
        <v>0</v>
      </c>
      <c r="G451" s="1731"/>
      <c r="H451" s="1731"/>
      <c r="M451" s="1756" t="str">
        <f t="shared" si="18"/>
        <v>No</v>
      </c>
    </row>
    <row r="452" spans="3:13" s="1" customFormat="1" ht="14.45" hidden="1" customHeight="1" x14ac:dyDescent="0.3">
      <c r="C452" s="2467" t="s">
        <v>1723</v>
      </c>
      <c r="D452" s="2469"/>
      <c r="E452" s="2456">
        <f>+'Qualitative Disclosures'!F440</f>
        <v>0</v>
      </c>
      <c r="F452" s="2456">
        <f>+'Qualitative Disclosures'!G440</f>
        <v>0</v>
      </c>
      <c r="G452" s="1731"/>
      <c r="H452" s="1731"/>
      <c r="M452" s="1756" t="str">
        <f t="shared" si="18"/>
        <v>No</v>
      </c>
    </row>
    <row r="453" spans="3:13" s="1" customFormat="1" ht="14.45" hidden="1" customHeight="1" x14ac:dyDescent="0.3">
      <c r="C453" s="2467" t="s">
        <v>1724</v>
      </c>
      <c r="D453" s="2469"/>
      <c r="E453" s="2456">
        <f>+'Qualitative Disclosures'!F441</f>
        <v>0</v>
      </c>
      <c r="F453" s="2456">
        <f>+'Qualitative Disclosures'!G441</f>
        <v>0</v>
      </c>
      <c r="G453" s="1731"/>
      <c r="H453" s="1731"/>
      <c r="M453" s="1756" t="str">
        <f t="shared" si="18"/>
        <v>No</v>
      </c>
    </row>
    <row r="454" spans="3:13" s="1" customFormat="1" ht="14.45" hidden="1" customHeight="1" x14ac:dyDescent="0.3">
      <c r="C454" s="2467" t="s">
        <v>1719</v>
      </c>
      <c r="D454" s="2469"/>
      <c r="E454" s="2456">
        <f>+'Qualitative Disclosures'!F442</f>
        <v>0</v>
      </c>
      <c r="F454" s="2456">
        <f>+'Qualitative Disclosures'!G442</f>
        <v>0</v>
      </c>
      <c r="G454" s="1731"/>
      <c r="H454" s="1731"/>
      <c r="M454" s="1756" t="str">
        <f t="shared" si="18"/>
        <v>No</v>
      </c>
    </row>
    <row r="455" spans="3:13" s="1" customFormat="1" ht="14.45" customHeight="1" x14ac:dyDescent="0.3">
      <c r="C455" s="2470" t="s">
        <v>150</v>
      </c>
      <c r="D455" s="766"/>
      <c r="E455" s="2459">
        <f>+SUM(E440:E443)+1</f>
        <v>1134760.2430380497</v>
      </c>
      <c r="F455" s="2459">
        <f>+SUM(F440:F443)-1</f>
        <v>808742.69529999793</v>
      </c>
      <c r="G455" s="1731"/>
      <c r="H455" s="1731"/>
      <c r="M455" s="1756" t="str">
        <f t="shared" si="18"/>
        <v>Yes</v>
      </c>
    </row>
    <row r="456" spans="3:13" s="1" customFormat="1" x14ac:dyDescent="0.3">
      <c r="C456" s="445"/>
      <c r="D456" s="764"/>
      <c r="E456" s="2456"/>
      <c r="F456" s="2456"/>
      <c r="G456" s="1731"/>
      <c r="H456" s="1731"/>
      <c r="M456" s="1756" t="str">
        <f>+M439</f>
        <v>Yes</v>
      </c>
    </row>
    <row r="457" spans="3:13" s="1" customFormat="1" x14ac:dyDescent="0.3">
      <c r="C457" s="2781" t="s">
        <v>35</v>
      </c>
      <c r="D457" s="2781"/>
      <c r="E457" s="2479">
        <f>+E455</f>
        <v>1134760.2430380497</v>
      </c>
      <c r="F457" s="2479">
        <f>+F455</f>
        <v>808742.69529999793</v>
      </c>
      <c r="G457" s="1731"/>
      <c r="H457" s="1731"/>
      <c r="M457" s="1756" t="str">
        <f>+M456</f>
        <v>Yes</v>
      </c>
    </row>
    <row r="458" spans="3:13" s="1" customFormat="1" x14ac:dyDescent="0.3">
      <c r="C458" s="214"/>
      <c r="D458" s="214"/>
      <c r="E458" s="1172"/>
      <c r="F458" s="1172"/>
      <c r="G458" s="1731"/>
      <c r="H458" s="1731"/>
      <c r="M458" s="1756" t="str">
        <f>+M457</f>
        <v>Yes</v>
      </c>
    </row>
    <row r="459" spans="3:13" s="1" customFormat="1" hidden="1" x14ac:dyDescent="0.3">
      <c r="C459" s="1491" t="str">
        <f>+IF(Footnotes!C17="","",Footnotes!C17)</f>
        <v/>
      </c>
      <c r="D459" s="1491" t="str">
        <f>+IF(Footnotes!D17="","",Footnotes!D17)</f>
        <v/>
      </c>
      <c r="E459" s="1536" t="str">
        <f>+IF(Footnotes!E17="","",Footnotes!E17)</f>
        <v/>
      </c>
      <c r="F459" s="1536" t="str">
        <f>+IF(Footnotes!F17="","",Footnotes!F17)</f>
        <v/>
      </c>
      <c r="G459" s="1569" t="str">
        <f>+IF(Footnotes!G17="","",Footnotes!G17)</f>
        <v/>
      </c>
      <c r="H459" s="1569" t="str">
        <f>+IF(Footnotes!H17="","",Footnotes!H17)</f>
        <v/>
      </c>
      <c r="I459" s="1440" t="str">
        <f>+IF(Footnotes!I17="","",Footnotes!I17)</f>
        <v/>
      </c>
      <c r="M459" s="1756" t="str">
        <f t="shared" ref="M459:M464" si="19">+IF(AND(C459="",D459="",E459="",F459="",G459="",H459="",I459=""),"No","Yes")</f>
        <v>No</v>
      </c>
    </row>
    <row r="460" spans="3:13" s="1" customFormat="1" hidden="1" x14ac:dyDescent="0.3">
      <c r="C460" s="1491" t="str">
        <f>+IF(Footnotes!C18="","",Footnotes!C18)</f>
        <v/>
      </c>
      <c r="D460" s="1491" t="str">
        <f>+IF(Footnotes!D18="","",Footnotes!D18)</f>
        <v/>
      </c>
      <c r="E460" s="1536" t="str">
        <f>+IF(Footnotes!E18="","",Footnotes!E18)</f>
        <v/>
      </c>
      <c r="F460" s="1536" t="str">
        <f>+IF(Footnotes!F18="","",Footnotes!F18)</f>
        <v/>
      </c>
      <c r="G460" s="1569" t="str">
        <f>+IF(Footnotes!G18="","",Footnotes!G18)</f>
        <v/>
      </c>
      <c r="H460" s="1569" t="str">
        <f>+IF(Footnotes!H18="","",Footnotes!H18)</f>
        <v/>
      </c>
      <c r="I460" s="1440" t="str">
        <f>+IF(Footnotes!I18="","",Footnotes!I18)</f>
        <v/>
      </c>
      <c r="M460" s="1756" t="str">
        <f t="shared" si="19"/>
        <v>No</v>
      </c>
    </row>
    <row r="461" spans="3:13" s="1" customFormat="1" hidden="1" x14ac:dyDescent="0.3">
      <c r="C461" s="1491" t="str">
        <f>+IF(Footnotes!C19="","",Footnotes!C19)</f>
        <v/>
      </c>
      <c r="D461" s="1491" t="str">
        <f>+IF(Footnotes!D19="","",Footnotes!D19)</f>
        <v/>
      </c>
      <c r="E461" s="1536" t="str">
        <f>+IF(Footnotes!E19="","",Footnotes!E19)</f>
        <v/>
      </c>
      <c r="F461" s="1536" t="str">
        <f>+IF(Footnotes!F19="","",Footnotes!F19)</f>
        <v/>
      </c>
      <c r="G461" s="1569" t="str">
        <f>+IF(Footnotes!G19="","",Footnotes!G19)</f>
        <v/>
      </c>
      <c r="H461" s="1569" t="str">
        <f>+IF(Footnotes!H19="","",Footnotes!H19)</f>
        <v/>
      </c>
      <c r="I461" s="1440" t="str">
        <f>+IF(Footnotes!I19="","",Footnotes!I19)</f>
        <v/>
      </c>
      <c r="M461" s="1756" t="str">
        <f t="shared" si="19"/>
        <v>No</v>
      </c>
    </row>
    <row r="462" spans="3:13" s="1" customFormat="1" hidden="1" x14ac:dyDescent="0.3">
      <c r="C462" s="1491" t="str">
        <f>+IF(Footnotes!C20="","",Footnotes!C20)</f>
        <v/>
      </c>
      <c r="D462" s="1491" t="str">
        <f>+IF(Footnotes!D20="","",Footnotes!D20)</f>
        <v/>
      </c>
      <c r="E462" s="1536" t="str">
        <f>+IF(Footnotes!E20="","",Footnotes!E20)</f>
        <v/>
      </c>
      <c r="F462" s="1536" t="str">
        <f>+IF(Footnotes!F20="","",Footnotes!F20)</f>
        <v/>
      </c>
      <c r="G462" s="1569" t="str">
        <f>+IF(Footnotes!G20="","",Footnotes!G20)</f>
        <v/>
      </c>
      <c r="H462" s="1569" t="str">
        <f>+IF(Footnotes!H20="","",Footnotes!H20)</f>
        <v/>
      </c>
      <c r="I462" s="1440" t="str">
        <f>+IF(Footnotes!I20="","",Footnotes!I20)</f>
        <v/>
      </c>
      <c r="M462" s="1756" t="str">
        <f t="shared" si="19"/>
        <v>No</v>
      </c>
    </row>
    <row r="463" spans="3:13" s="1" customFormat="1" hidden="1" x14ac:dyDescent="0.3">
      <c r="C463" s="1491" t="str">
        <f>+IF(Footnotes!C21="","",Footnotes!C21)</f>
        <v/>
      </c>
      <c r="D463" s="1491" t="str">
        <f>+IF(Footnotes!D21="","",Footnotes!D21)</f>
        <v/>
      </c>
      <c r="E463" s="1536" t="str">
        <f>+IF(Footnotes!E21="","",Footnotes!E21)</f>
        <v/>
      </c>
      <c r="F463" s="1536" t="str">
        <f>+IF(Footnotes!F21="","",Footnotes!F21)</f>
        <v/>
      </c>
      <c r="G463" s="1569" t="str">
        <f>+IF(Footnotes!G21="","",Footnotes!G21)</f>
        <v/>
      </c>
      <c r="H463" s="1569" t="str">
        <f>+IF(Footnotes!H21="","",Footnotes!H21)</f>
        <v/>
      </c>
      <c r="I463" s="1440" t="str">
        <f>+IF(Footnotes!I21="","",Footnotes!I21)</f>
        <v/>
      </c>
      <c r="M463" s="1756" t="str">
        <f t="shared" si="19"/>
        <v>No</v>
      </c>
    </row>
    <row r="464" spans="3:13" s="1" customFormat="1" hidden="1" x14ac:dyDescent="0.3">
      <c r="C464" s="1491" t="str">
        <f>+IF(Footnotes!C22="","",Footnotes!C22)</f>
        <v/>
      </c>
      <c r="D464" s="1491" t="str">
        <f>+IF(Footnotes!D22="","",Footnotes!D22)</f>
        <v/>
      </c>
      <c r="E464" s="1536" t="str">
        <f>+IF(Footnotes!E22="","",Footnotes!E22)</f>
        <v/>
      </c>
      <c r="F464" s="1536" t="str">
        <f>+IF(Footnotes!F22="","",Footnotes!F22)</f>
        <v/>
      </c>
      <c r="G464" s="1569" t="str">
        <f>+IF(Footnotes!G22="","",Footnotes!G22)</f>
        <v/>
      </c>
      <c r="H464" s="1569" t="str">
        <f>+IF(Footnotes!H22="","",Footnotes!H22)</f>
        <v/>
      </c>
      <c r="I464" s="1440" t="str">
        <f>+IF(Footnotes!I22="","",Footnotes!I22)</f>
        <v/>
      </c>
      <c r="M464" s="1756" t="str">
        <f t="shared" si="19"/>
        <v>No</v>
      </c>
    </row>
    <row r="465" spans="3:13" s="1" customFormat="1" hidden="1" x14ac:dyDescent="0.3">
      <c r="C465" s="790"/>
      <c r="D465" s="790"/>
      <c r="E465" s="1172"/>
      <c r="F465" s="1172"/>
      <c r="G465" s="9"/>
      <c r="H465" s="9"/>
      <c r="M465" s="1756" t="str">
        <f>+M457</f>
        <v>Yes</v>
      </c>
    </row>
    <row r="466" spans="3:13" s="1" customFormat="1" hidden="1" x14ac:dyDescent="0.3">
      <c r="C466" s="42" t="str">
        <f>+"Note "&amp;MAX('Balance Sheet'!E24,'Balance Sheet'!E31)&amp;" : Borrowings"</f>
        <v>Note 5 : Borrowings</v>
      </c>
      <c r="D466" s="42"/>
      <c r="E466" s="1510"/>
      <c r="F466" s="1510"/>
      <c r="G466" s="1510"/>
      <c r="H466" s="1510"/>
      <c r="I466" s="42"/>
      <c r="M466" s="1756" t="str">
        <f>+M508</f>
        <v>No</v>
      </c>
    </row>
    <row r="467" spans="3:13" s="1" customFormat="1" hidden="1" x14ac:dyDescent="0.3">
      <c r="C467" s="81"/>
      <c r="D467" s="81"/>
      <c r="E467" s="1209"/>
      <c r="F467" s="1209"/>
      <c r="G467" s="1209"/>
      <c r="H467" s="1209"/>
      <c r="I467" s="41"/>
      <c r="M467" s="1756" t="str">
        <f>+M508</f>
        <v>No</v>
      </c>
    </row>
    <row r="468" spans="3:13" s="1" customFormat="1" hidden="1" x14ac:dyDescent="0.3">
      <c r="C468" s="2792" t="s">
        <v>20</v>
      </c>
      <c r="D468" s="2793"/>
      <c r="E468" s="2758" t="str">
        <f>BSCY</f>
        <v>As At 31st March 2025</v>
      </c>
      <c r="F468" s="2759"/>
      <c r="G468" s="2758" t="str">
        <f>BSPY</f>
        <v>As At 31st March 2024</v>
      </c>
      <c r="H468" s="2759"/>
      <c r="I468" s="3"/>
      <c r="M468" s="1756" t="str">
        <f>+M508</f>
        <v>No</v>
      </c>
    </row>
    <row r="469" spans="3:13" s="1" customFormat="1" hidden="1" x14ac:dyDescent="0.3">
      <c r="C469" s="2794"/>
      <c r="D469" s="2795"/>
      <c r="E469" s="1179" t="s">
        <v>825</v>
      </c>
      <c r="F469" s="1599" t="s">
        <v>826</v>
      </c>
      <c r="G469" s="1179" t="s">
        <v>825</v>
      </c>
      <c r="H469" s="1179" t="s">
        <v>826</v>
      </c>
      <c r="I469" s="791"/>
      <c r="M469" s="1756" t="str">
        <f>+M508</f>
        <v>No</v>
      </c>
    </row>
    <row r="470" spans="3:13" s="1" customFormat="1" ht="33" hidden="1" x14ac:dyDescent="0.3">
      <c r="C470" s="792" t="str">
        <f>IF(M470="No","(a) Bonds / debentures (Refer Note (i) below)","(a) Bonds / debentures (Refer Note (i) below)")</f>
        <v>(a) Bonds / debentures (Refer Note (i) below)</v>
      </c>
      <c r="D470" s="751"/>
      <c r="E470" s="1575"/>
      <c r="F470" s="836"/>
      <c r="G470" s="1606"/>
      <c r="H470" s="1577"/>
      <c r="I470" s="27"/>
      <c r="M470" s="1756" t="str">
        <f>M473</f>
        <v>No</v>
      </c>
    </row>
    <row r="471" spans="3:13" s="1" customFormat="1" hidden="1" x14ac:dyDescent="0.3">
      <c r="C471" s="793" t="s">
        <v>1726</v>
      </c>
      <c r="D471" s="794"/>
      <c r="E471" s="845">
        <f>-SUMIFS('Master TB'!$J:$J,'Master TB'!$E:$E,Liabilities!$K471)</f>
        <v>0</v>
      </c>
      <c r="F471" s="836">
        <v>0</v>
      </c>
      <c r="G471" s="845">
        <f>-SUMIFS('Master TB'!$V:$V,'Master TB'!$E:$E,Liabilities!$K471)</f>
        <v>0</v>
      </c>
      <c r="H471" s="1577">
        <v>0</v>
      </c>
      <c r="I471" s="3"/>
      <c r="K471" s="3" t="s">
        <v>1190</v>
      </c>
      <c r="L471" s="252"/>
      <c r="M471" s="1756" t="str">
        <f>IF(AND(E471=0,F471=0,G471=0,H471=0),"No","Yes")</f>
        <v>No</v>
      </c>
    </row>
    <row r="472" spans="3:13" s="1" customFormat="1" hidden="1" x14ac:dyDescent="0.3">
      <c r="C472" s="793" t="s">
        <v>1727</v>
      </c>
      <c r="D472" s="794"/>
      <c r="E472" s="845">
        <f>-SUMIFS('Master TB'!$J:$J,'Master TB'!$E:$E,Liabilities!$K472)</f>
        <v>0</v>
      </c>
      <c r="F472" s="836">
        <v>0</v>
      </c>
      <c r="G472" s="845">
        <f>-SUMIFS('Master TB'!$V:$V,'Master TB'!$E:$E,Liabilities!$K472)</f>
        <v>0</v>
      </c>
      <c r="H472" s="1612">
        <v>0</v>
      </c>
      <c r="I472" s="3"/>
      <c r="K472" s="3" t="s">
        <v>1191</v>
      </c>
      <c r="L472" s="800"/>
      <c r="M472" s="1756" t="str">
        <f>IF(AND(E472=0,F472=0,G472=0,H472=0),"No","Yes")</f>
        <v>No</v>
      </c>
    </row>
    <row r="473" spans="3:13" s="1" customFormat="1" hidden="1" x14ac:dyDescent="0.3">
      <c r="C473" s="287"/>
      <c r="D473" s="750"/>
      <c r="E473" s="1576">
        <f>SUM(E471:E472)</f>
        <v>0</v>
      </c>
      <c r="F473" s="1576">
        <f>SUM(F471:F472)</f>
        <v>0</v>
      </c>
      <c r="G473" s="1576">
        <f>SUM(G471:G472)</f>
        <v>0</v>
      </c>
      <c r="H473" s="1576">
        <f>SUM(H471:H472)</f>
        <v>0</v>
      </c>
      <c r="I473" s="3"/>
      <c r="K473" s="3"/>
      <c r="L473" s="801"/>
      <c r="M473" s="1756" t="str">
        <f>IF(AND(E473=0,F473=0,G473=0,H473=0),"No","Yes")</f>
        <v>No</v>
      </c>
    </row>
    <row r="474" spans="3:13" s="1" customFormat="1" hidden="1" x14ac:dyDescent="0.3">
      <c r="C474" s="127" t="str">
        <f>IF(M470="Yes","("&amp; CHAR(CODE(MID(C470,2,3))+1)&amp;")  Term loans / Loans repayble on demand","(" &amp; MID(C470,2,3)&amp; "Term loans / Loans repayble on demand")</f>
        <v>(a) Term loans / Loans repayble on demand</v>
      </c>
      <c r="D474" s="140"/>
      <c r="E474" s="1577"/>
      <c r="F474" s="829"/>
      <c r="G474" s="1606"/>
      <c r="H474" s="1577"/>
      <c r="I474" s="3"/>
      <c r="K474" s="3" t="s">
        <v>1730</v>
      </c>
      <c r="L474" s="802"/>
      <c r="M474" s="1756" t="str">
        <f>IF(AND(M478="No",M482="NO"),"No","Yes")</f>
        <v>No</v>
      </c>
    </row>
    <row r="475" spans="3:13" s="1" customFormat="1" hidden="1" x14ac:dyDescent="0.3">
      <c r="C475" s="460" t="s">
        <v>1728</v>
      </c>
      <c r="D475" s="456"/>
      <c r="E475" s="845"/>
      <c r="F475" s="836"/>
      <c r="G475" s="1606"/>
      <c r="H475" s="1577"/>
      <c r="I475" s="3"/>
      <c r="K475" s="3"/>
      <c r="L475" s="252"/>
      <c r="M475" s="1756" t="str">
        <f>M478</f>
        <v>No</v>
      </c>
    </row>
    <row r="476" spans="3:13" s="1" customFormat="1" hidden="1" x14ac:dyDescent="0.3">
      <c r="C476" s="793" t="s">
        <v>1726</v>
      </c>
      <c r="D476" s="795"/>
      <c r="E476" s="845">
        <f>-SUMIFS('Master TB'!$J:$J,'Master TB'!$E:$E,Liabilities!$K476)</f>
        <v>0</v>
      </c>
      <c r="F476" s="845">
        <f>-SUMIFS('Master TB'!$J:$J,'Master TB'!$E:$E,Liabilities!$L476)</f>
        <v>0</v>
      </c>
      <c r="G476" s="845">
        <f>-SUMIFS('Master TB'!$V:$V,'Master TB'!$E:$E,Liabilities!$K476)</f>
        <v>0</v>
      </c>
      <c r="H476" s="845">
        <f>-SUMIFS('Master TB'!$V:$V,'Master TB'!$E:$E,Liabilities!$L476)</f>
        <v>0</v>
      </c>
      <c r="I476" s="27"/>
      <c r="K476" s="27" t="s">
        <v>1194</v>
      </c>
      <c r="L476" s="803" t="s">
        <v>1192</v>
      </c>
      <c r="M476" s="1756" t="str">
        <f t="shared" ref="M476:M482" si="20">IF(AND(E476=0,F476=0,G476=0,H476=0),"No","Yes")</f>
        <v>No</v>
      </c>
    </row>
    <row r="477" spans="3:13" s="1" customFormat="1" hidden="1" x14ac:dyDescent="0.3">
      <c r="C477" s="793" t="s">
        <v>1727</v>
      </c>
      <c r="D477" s="795"/>
      <c r="E477" s="845">
        <f>-SUMIFS('Master TB'!$J:$J,'Master TB'!$E:$E,Liabilities!$K477)</f>
        <v>0</v>
      </c>
      <c r="F477" s="845">
        <f>-SUMIFS('Master TB'!$J:$J,'Master TB'!$E:$E,Liabilities!$L477)</f>
        <v>0</v>
      </c>
      <c r="G477" s="845">
        <f>-SUMIFS('Master TB'!$V:$V,'Master TB'!$E:$E,Liabilities!$K477)</f>
        <v>0</v>
      </c>
      <c r="H477" s="845">
        <f>-SUMIFS('Master TB'!$V:$V,'Master TB'!$E:$E,Liabilities!$L477)</f>
        <v>0</v>
      </c>
      <c r="I477" s="27"/>
      <c r="K477" s="27" t="s">
        <v>1195</v>
      </c>
      <c r="L477" s="804" t="s">
        <v>1193</v>
      </c>
      <c r="M477" s="1756" t="str">
        <f t="shared" si="20"/>
        <v>No</v>
      </c>
    </row>
    <row r="478" spans="3:13" s="1" customFormat="1" hidden="1" x14ac:dyDescent="0.3">
      <c r="C478" s="796"/>
      <c r="D478" s="797"/>
      <c r="E478" s="1576">
        <f>SUM(E476:E477)</f>
        <v>0</v>
      </c>
      <c r="F478" s="1576">
        <f>SUM(F476:F477)</f>
        <v>0</v>
      </c>
      <c r="G478" s="1576">
        <f>SUM(G476:G477)</f>
        <v>0</v>
      </c>
      <c r="H478" s="1576">
        <f>SUM(H476:H477)</f>
        <v>0</v>
      </c>
      <c r="I478" s="3"/>
      <c r="K478" s="3"/>
      <c r="L478" s="764"/>
      <c r="M478" s="1756" t="str">
        <f t="shared" si="20"/>
        <v>No</v>
      </c>
    </row>
    <row r="479" spans="3:13" s="1" customFormat="1" hidden="1" x14ac:dyDescent="0.3">
      <c r="C479" s="460" t="s">
        <v>1729</v>
      </c>
      <c r="D479" s="797"/>
      <c r="E479" s="845"/>
      <c r="F479" s="836"/>
      <c r="G479" s="1606"/>
      <c r="H479" s="1577"/>
      <c r="I479" s="27"/>
      <c r="K479" s="3"/>
      <c r="L479" s="764"/>
      <c r="M479" s="1756" t="str">
        <f>M482</f>
        <v>No</v>
      </c>
    </row>
    <row r="480" spans="3:13" s="1" customFormat="1" hidden="1" x14ac:dyDescent="0.3">
      <c r="C480" s="793" t="s">
        <v>1726</v>
      </c>
      <c r="D480" s="797"/>
      <c r="E480" s="845">
        <f>-SUMIFS('Master TB'!$J:$J,'Master TB'!$E:$E,Liabilities!$K480)</f>
        <v>0</v>
      </c>
      <c r="F480" s="845">
        <f>-SUMIFS('Master TB'!$J:$J,'Master TB'!$E:$E,Liabilities!$L480)</f>
        <v>0</v>
      </c>
      <c r="G480" s="845">
        <f>-SUMIFS('Master TB'!$V:$V,'Master TB'!$E:$E,Liabilities!$K480)</f>
        <v>0</v>
      </c>
      <c r="H480" s="845">
        <f>-SUMIFS('Master TB'!$V:$V,'Master TB'!$E:$E,Liabilities!$L480)</f>
        <v>0</v>
      </c>
      <c r="I480" s="3"/>
      <c r="K480" s="3" t="s">
        <v>1196</v>
      </c>
      <c r="L480" s="764" t="s">
        <v>1198</v>
      </c>
      <c r="M480" s="1756" t="str">
        <f t="shared" si="20"/>
        <v>No</v>
      </c>
    </row>
    <row r="481" spans="3:13" s="1" customFormat="1" hidden="1" x14ac:dyDescent="0.3">
      <c r="C481" s="793" t="s">
        <v>1727</v>
      </c>
      <c r="D481" s="797"/>
      <c r="E481" s="845">
        <f>-SUMIFS('Master TB'!$J:$J,'Master TB'!$E:$E,Liabilities!$K481)</f>
        <v>0</v>
      </c>
      <c r="F481" s="845">
        <f>-SUMIFS('Master TB'!$J:$J,'Master TB'!$E:$E,Liabilities!$L481)</f>
        <v>0</v>
      </c>
      <c r="G481" s="845">
        <f>-SUMIFS('Master TB'!$V:$V,'Master TB'!$E:$E,Liabilities!$K481)</f>
        <v>0</v>
      </c>
      <c r="H481" s="845">
        <f>-SUMIFS('Master TB'!$V:$V,'Master TB'!$E:$E,Liabilities!$L481)</f>
        <v>0</v>
      </c>
      <c r="I481" s="3"/>
      <c r="K481" s="27" t="s">
        <v>1197</v>
      </c>
      <c r="L481" s="764" t="s">
        <v>1199</v>
      </c>
      <c r="M481" s="1756" t="str">
        <f t="shared" si="20"/>
        <v>No</v>
      </c>
    </row>
    <row r="482" spans="3:13" s="1" customFormat="1" hidden="1" x14ac:dyDescent="0.3">
      <c r="C482" s="796"/>
      <c r="D482" s="797"/>
      <c r="E482" s="1576">
        <f>SUM(E480:E481)</f>
        <v>0</v>
      </c>
      <c r="F482" s="1576">
        <f>SUM(F480:F481)</f>
        <v>0</v>
      </c>
      <c r="G482" s="1576">
        <f>SUM(G480:G481)</f>
        <v>0</v>
      </c>
      <c r="H482" s="1576">
        <f>SUM(H480:H481)</f>
        <v>0</v>
      </c>
      <c r="I482" s="3"/>
      <c r="K482" s="3"/>
      <c r="L482" s="145"/>
      <c r="M482" s="1756" t="str">
        <f t="shared" si="20"/>
        <v>No</v>
      </c>
    </row>
    <row r="483" spans="3:13" s="1" customFormat="1" hidden="1" x14ac:dyDescent="0.3">
      <c r="C483" s="127" t="str">
        <f>IF(M474="Yes","("&amp; CHAR(CODE(MID(C474,2,3))+1)&amp;")  Deferred payment liabilities","(" &amp; MID(C474,2,3)&amp; "Deferred payment liabilities")</f>
        <v>(a) Deferred payment liabilities</v>
      </c>
      <c r="D483" s="215"/>
      <c r="E483" s="1578"/>
      <c r="F483" s="1568"/>
      <c r="G483" s="1607"/>
      <c r="H483" s="1613"/>
      <c r="I483" s="798"/>
      <c r="K483" s="798"/>
      <c r="L483" s="131"/>
      <c r="M483" s="1756" t="str">
        <f>M486</f>
        <v>No</v>
      </c>
    </row>
    <row r="484" spans="3:13" s="1" customFormat="1" hidden="1" x14ac:dyDescent="0.3">
      <c r="C484" s="793" t="s">
        <v>1726</v>
      </c>
      <c r="D484" s="797"/>
      <c r="E484" s="845">
        <f>-SUMIFS('Master TB'!$J:$J,'Master TB'!$E:$E,Liabilities!$K484)</f>
        <v>0</v>
      </c>
      <c r="F484" s="1172">
        <v>0</v>
      </c>
      <c r="G484" s="845">
        <f>-SUMIFS('Master TB'!$V:$V,'Master TB'!$E:$E,Liabilities!$K484)</f>
        <v>0</v>
      </c>
      <c r="H484" s="1577">
        <v>0</v>
      </c>
      <c r="I484" s="3"/>
      <c r="K484" s="3" t="s">
        <v>1215</v>
      </c>
      <c r="L484" s="252"/>
      <c r="M484" s="1756" t="str">
        <f>IF(AND(E484=0,F484=0,G484=0,H484=0),"No","Yes")</f>
        <v>No</v>
      </c>
    </row>
    <row r="485" spans="3:13" s="1" customFormat="1" hidden="1" x14ac:dyDescent="0.3">
      <c r="C485" s="793" t="s">
        <v>1727</v>
      </c>
      <c r="D485" s="797"/>
      <c r="E485" s="845">
        <f>-SUMIFS('Master TB'!$J:$J,'Master TB'!$E:$E,Liabilities!$K485)</f>
        <v>0</v>
      </c>
      <c r="F485" s="1172">
        <v>0</v>
      </c>
      <c r="G485" s="845">
        <f>-SUMIFS('Master TB'!$V:$V,'Master TB'!$E:$E,Liabilities!$K485)</f>
        <v>0</v>
      </c>
      <c r="H485" s="1612">
        <v>0</v>
      </c>
      <c r="I485" s="3"/>
      <c r="K485" s="3" t="s">
        <v>1216</v>
      </c>
      <c r="L485" s="252"/>
      <c r="M485" s="1756" t="str">
        <f>IF(AND(E485=0,F485=0,G485=0,H485=0),"No","Yes")</f>
        <v>No</v>
      </c>
    </row>
    <row r="486" spans="3:13" s="1" customFormat="1" hidden="1" x14ac:dyDescent="0.3">
      <c r="C486" s="171"/>
      <c r="D486" s="215"/>
      <c r="E486" s="1576">
        <f>SUM(E484:E485)</f>
        <v>0</v>
      </c>
      <c r="F486" s="1576">
        <f>SUM(F484:F485)</f>
        <v>0</v>
      </c>
      <c r="G486" s="1576">
        <f>SUM(G484:G485)</f>
        <v>0</v>
      </c>
      <c r="H486" s="1576">
        <f>SUM(H484:H485)</f>
        <v>0</v>
      </c>
      <c r="I486" s="3"/>
      <c r="K486" s="3"/>
      <c r="L486" s="145"/>
      <c r="M486" s="1756" t="str">
        <f>IF(AND(E486=0,F486=0,G486=0,H486=0),"No","Yes")</f>
        <v>No</v>
      </c>
    </row>
    <row r="487" spans="3:13" s="1" customFormat="1" hidden="1" x14ac:dyDescent="0.3">
      <c r="C487" s="127" t="str">
        <f>IF(M483="Yes","("&amp; CHAR(CODE(MID(C483,2,3))+1)&amp;")  Deposits","(" &amp; MID(C483,2,3)&amp; "Deposits")</f>
        <v>(a) Deposits</v>
      </c>
      <c r="D487" s="140"/>
      <c r="E487" s="845"/>
      <c r="F487" s="836"/>
      <c r="G487" s="1606"/>
      <c r="H487" s="1614"/>
      <c r="I487" s="27"/>
      <c r="K487" s="27" t="s">
        <v>1730</v>
      </c>
      <c r="L487" s="31"/>
      <c r="M487" s="1756" t="str">
        <f>M490</f>
        <v>No</v>
      </c>
    </row>
    <row r="488" spans="3:13" s="1" customFormat="1" hidden="1" x14ac:dyDescent="0.3">
      <c r="C488" s="793" t="s">
        <v>1726</v>
      </c>
      <c r="D488" s="797"/>
      <c r="E488" s="845">
        <f>-SUMIFS('Master TB'!$J:$J,'Master TB'!$E:$E,Liabilities!$K488)</f>
        <v>0</v>
      </c>
      <c r="F488" s="845">
        <f>-SUMIFS('Master TB'!$J:$J,'Master TB'!$E:$E,Liabilities!$L488)</f>
        <v>0</v>
      </c>
      <c r="G488" s="845">
        <f>-SUMIFS('Master TB'!$V:$V,'Master TB'!$E:$E,Liabilities!$K488)</f>
        <v>0</v>
      </c>
      <c r="H488" s="845">
        <f>-SUMIFS('Master TB'!$V:$V,'Master TB'!$E:$E,Liabilities!$L488)</f>
        <v>0</v>
      </c>
      <c r="I488" s="41"/>
      <c r="K488" s="325" t="s">
        <v>1206</v>
      </c>
      <c r="L488" s="325" t="s">
        <v>1208</v>
      </c>
      <c r="M488" s="1756" t="str">
        <f>IF(AND(E488=0,F488=0,G488=0,H488=0),"No","Yes")</f>
        <v>No</v>
      </c>
    </row>
    <row r="489" spans="3:13" s="1" customFormat="1" hidden="1" x14ac:dyDescent="0.3">
      <c r="C489" s="793" t="s">
        <v>1727</v>
      </c>
      <c r="D489" s="797"/>
      <c r="E489" s="845">
        <f>-SUMIFS('Master TB'!$J:$J,'Master TB'!$E:$E,Liabilities!$K489)</f>
        <v>0</v>
      </c>
      <c r="F489" s="845">
        <f>-SUMIFS('Master TB'!$J:$J,'Master TB'!$E:$E,Liabilities!$L489)</f>
        <v>0</v>
      </c>
      <c r="G489" s="845">
        <f>-SUMIFS('Master TB'!$V:$V,'Master TB'!$E:$E,Liabilities!$K489)</f>
        <v>0</v>
      </c>
      <c r="H489" s="845">
        <f>-SUMIFS('Master TB'!$V:$V,'Master TB'!$E:$E,Liabilities!$L489)</f>
        <v>0</v>
      </c>
      <c r="I489" s="3"/>
      <c r="K489" s="325" t="s">
        <v>1207</v>
      </c>
      <c r="L489" s="325" t="s">
        <v>1209</v>
      </c>
      <c r="M489" s="1756" t="str">
        <f>IF(AND(E489=0,F489=0,G489=0,H489=0),"No","Yes")</f>
        <v>No</v>
      </c>
    </row>
    <row r="490" spans="3:13" s="1" customFormat="1" hidden="1" x14ac:dyDescent="0.3">
      <c r="C490" s="171"/>
      <c r="D490" s="215"/>
      <c r="E490" s="1576">
        <f>SUM(E488:E489)</f>
        <v>0</v>
      </c>
      <c r="F490" s="1576">
        <f>SUM(F488:F489)</f>
        <v>0</v>
      </c>
      <c r="G490" s="1576">
        <f>SUM(G488:G489)</f>
        <v>0</v>
      </c>
      <c r="H490" s="1576">
        <f>SUM(H488:H489)</f>
        <v>0</v>
      </c>
      <c r="I490" s="41"/>
      <c r="K490" s="41"/>
      <c r="L490" s="145"/>
      <c r="M490" s="1756" t="str">
        <f>IF(AND(E490=0,F490=0,G490=0,H490=0),"No","Yes")</f>
        <v>No</v>
      </c>
    </row>
    <row r="491" spans="3:13" s="1" customFormat="1" hidden="1" x14ac:dyDescent="0.3">
      <c r="C491" s="445" t="str">
        <f>IF(M487="Yes","("&amp; CHAR(CODE(MID(C487,2,3))+1)&amp;")  Loans and advances from related parties @ (Refer Note "&amp;MID('AS 18 Disclosures'!C11,6,2)&amp;" )","(" &amp; MID(C487,2,3)&amp; "Loans and advances from related parties @ (Refer Note "&amp;MID('AS 18 Disclosures'!C11,6,2)&amp;" )")</f>
        <v>(a) Loans and advances from related parties @ (Refer Note 21 )</v>
      </c>
      <c r="D491" s="140"/>
      <c r="E491" s="845"/>
      <c r="F491" s="836"/>
      <c r="G491" s="1606"/>
      <c r="H491" s="1577"/>
      <c r="I491" s="27"/>
      <c r="K491" s="1" t="s">
        <v>1730</v>
      </c>
      <c r="L491" s="31"/>
      <c r="M491" s="1756" t="str">
        <f>M494</f>
        <v>No</v>
      </c>
    </row>
    <row r="492" spans="3:13" s="1" customFormat="1" hidden="1" x14ac:dyDescent="0.3">
      <c r="C492" s="793" t="s">
        <v>1726</v>
      </c>
      <c r="D492" s="797"/>
      <c r="E492" s="845">
        <f>-SUMIFS('Master TB'!$J:$J,'Master TB'!$E:$E,Liabilities!$K492)</f>
        <v>0</v>
      </c>
      <c r="F492" s="845">
        <f>-SUMIFS('Master TB'!$J:$J,'Master TB'!$E:$E,Liabilities!$L492)</f>
        <v>0</v>
      </c>
      <c r="G492" s="845">
        <f>-SUMIFS('Master TB'!$V:$V,'Master TB'!$E:$E,Liabilities!$K492)</f>
        <v>0</v>
      </c>
      <c r="H492" s="845">
        <f>-SUMIFS('Master TB'!$V:$V,'Master TB'!$E:$E,Liabilities!$L492)</f>
        <v>0</v>
      </c>
      <c r="I492" s="41"/>
      <c r="K492" s="41" t="s">
        <v>1210</v>
      </c>
      <c r="L492" s="41" t="s">
        <v>1212</v>
      </c>
      <c r="M492" s="1756" t="str">
        <f>IF(AND(E492=0,F492=0,G492=0,H492=0),"No","Yes")</f>
        <v>No</v>
      </c>
    </row>
    <row r="493" spans="3:13" s="1" customFormat="1" hidden="1" x14ac:dyDescent="0.3">
      <c r="C493" s="793" t="s">
        <v>1727</v>
      </c>
      <c r="D493" s="797"/>
      <c r="E493" s="845">
        <f>-SUMIFS('Master TB'!$J:$J,'Master TB'!$E:$E,Liabilities!$K493)</f>
        <v>0</v>
      </c>
      <c r="F493" s="845">
        <f>-SUMIFS('Master TB'!$J:$J,'Master TB'!$E:$E,Liabilities!$L493)</f>
        <v>0</v>
      </c>
      <c r="G493" s="845">
        <f>-SUMIFS('Master TB'!$V:$V,'Master TB'!$E:$E,Liabilities!$K493)</f>
        <v>0</v>
      </c>
      <c r="H493" s="845">
        <f>-SUMIFS('Master TB'!$V:$V,'Master TB'!$E:$E,Liabilities!$L493)</f>
        <v>0</v>
      </c>
      <c r="I493" s="41"/>
      <c r="K493" s="41" t="s">
        <v>1211</v>
      </c>
      <c r="L493" s="41" t="s">
        <v>1213</v>
      </c>
      <c r="M493" s="1756" t="str">
        <f>IF(AND(E493=0,F493=0,G493=0,H493=0),"No","Yes")</f>
        <v>No</v>
      </c>
    </row>
    <row r="494" spans="3:13" s="1" customFormat="1" hidden="1" x14ac:dyDescent="0.3">
      <c r="C494" s="171"/>
      <c r="D494" s="215"/>
      <c r="E494" s="1576">
        <f>SUM(E492:E493)</f>
        <v>0</v>
      </c>
      <c r="F494" s="1576">
        <f>SUM(F492:F493)</f>
        <v>0</v>
      </c>
      <c r="G494" s="1576">
        <f>SUM(G492:G493)</f>
        <v>0</v>
      </c>
      <c r="H494" s="1576">
        <f>SUM(H492:H493)</f>
        <v>0</v>
      </c>
      <c r="I494" s="41"/>
      <c r="K494" s="41"/>
      <c r="L494" s="41"/>
      <c r="M494" s="1756" t="str">
        <f>IF(AND(E494=0,F494=0,G494=0,H494=0),"No","Yes")</f>
        <v>No</v>
      </c>
    </row>
    <row r="495" spans="3:13" s="1" customFormat="1" hidden="1" x14ac:dyDescent="0.3">
      <c r="C495" s="445" t="str">
        <f>IF(M491="Yes","("&amp; CHAR(CODE(MID(C491,2,3))+1)&amp;")  Long-term maturities of finance lease obligations (Refer Note 27.8.c)","(" &amp; MID(C491,2,3)&amp; "Long-term maturities of finance lease obligations (Refer Note 27.8.c)")</f>
        <v>(a) Long-term maturities of finance lease obligations (Refer Note 27.8.c)</v>
      </c>
      <c r="D495" s="140"/>
      <c r="E495" s="845"/>
      <c r="F495" s="836"/>
      <c r="G495" s="1606"/>
      <c r="H495" s="1577"/>
      <c r="I495" s="27"/>
      <c r="K495" s="41"/>
      <c r="L495" s="41"/>
      <c r="M495" s="1756" t="str">
        <f>M498</f>
        <v>No</v>
      </c>
    </row>
    <row r="496" spans="3:13" s="1" customFormat="1" hidden="1" x14ac:dyDescent="0.3">
      <c r="C496" s="793" t="s">
        <v>1726</v>
      </c>
      <c r="D496" s="797"/>
      <c r="E496" s="845">
        <f>-SUMIFS('Master TB'!$J:$J,'Master TB'!$E:$E,Liabilities!$K496)</f>
        <v>0</v>
      </c>
      <c r="F496" s="845">
        <f>-SUMIFS('Master TB'!$J:$J,'Master TB'!$E:$E,Liabilities!$L496)</f>
        <v>0</v>
      </c>
      <c r="G496" s="845">
        <f>-SUMIFS('Master TB'!$V:$V,'Master TB'!$E:$E,Liabilities!$K496)</f>
        <v>0</v>
      </c>
      <c r="H496" s="845">
        <v>0</v>
      </c>
      <c r="I496" s="41"/>
      <c r="K496" s="307" t="s">
        <v>1214</v>
      </c>
      <c r="L496" s="41"/>
      <c r="M496" s="1756" t="str">
        <f>IF(AND(E496=0,F496=0,G496=0,H496=0),"No","Yes")</f>
        <v>No</v>
      </c>
    </row>
    <row r="497" spans="3:20" s="1" customFormat="1" hidden="1" x14ac:dyDescent="0.3">
      <c r="C497" s="793" t="s">
        <v>1727</v>
      </c>
      <c r="D497" s="797"/>
      <c r="E497" s="845">
        <f>-SUMIFS('Master TB'!$J:$J,'Master TB'!$E:$E,Liabilities!$K497)</f>
        <v>0</v>
      </c>
      <c r="F497" s="845">
        <f>-SUMIFS('Master TB'!$J:$J,'Master TB'!$E:$E,Liabilities!$L497)</f>
        <v>0</v>
      </c>
      <c r="G497" s="845">
        <f>-SUMIFS('Master TB'!$V:$V,'Master TB'!$E:$E,Liabilities!$K497)</f>
        <v>0</v>
      </c>
      <c r="H497" s="845">
        <v>0</v>
      </c>
      <c r="I497" s="41"/>
      <c r="K497" s="307" t="s">
        <v>1217</v>
      </c>
      <c r="L497" s="41"/>
      <c r="M497" s="1756" t="str">
        <f>IF(AND(E497=0,F497=0,G497=0,H497=0),"No","Yes")</f>
        <v>No</v>
      </c>
    </row>
    <row r="498" spans="3:20" s="1" customFormat="1" hidden="1" x14ac:dyDescent="0.3">
      <c r="C498" s="171"/>
      <c r="D498" s="215"/>
      <c r="E498" s="1576">
        <f>SUM(E496:E497)</f>
        <v>0</v>
      </c>
      <c r="F498" s="1576">
        <f>SUM(F496:F497)</f>
        <v>0</v>
      </c>
      <c r="G498" s="1576">
        <f>SUM(G496:G497)</f>
        <v>0</v>
      </c>
      <c r="H498" s="1576">
        <f>SUM(H496:H497)</f>
        <v>0</v>
      </c>
      <c r="I498" s="41"/>
      <c r="K498" s="41"/>
      <c r="L498" s="41"/>
      <c r="M498" s="1756" t="str">
        <f>IF(AND(E498=0,F498=0,G498=0,H498=0),"No","Yes")</f>
        <v>No</v>
      </c>
    </row>
    <row r="499" spans="3:20" s="1" customFormat="1" hidden="1" x14ac:dyDescent="0.3">
      <c r="C499" s="2788" t="str">
        <f>IF(M495="Yes","("&amp; CHAR(CODE(MID(C495,2,3))+1)&amp;")  Current maturities of Long term borrowings","(" &amp; MID(C495,2,3)&amp; "Current maturities of Long term borrowings")</f>
        <v>(a) Current maturities of Long term borrowings</v>
      </c>
      <c r="D499" s="2789" t="str">
        <f>IF(N495="Yes","("&amp; CHAR(CODE(MID(D495,2,3))+1)&amp;")  Long-term maturities of finance lease obligations (Refer Note 27.8.c)","(" &amp; MID(D495,2,3)&amp; "Long-term maturities of finance lease obligations (Refer Note 27.8.c)")</f>
        <v>(Long-term maturities of finance lease obligations (Refer Note 27.8.c)</v>
      </c>
      <c r="E499" s="1577"/>
      <c r="F499" s="829"/>
      <c r="G499" s="1606"/>
      <c r="H499" s="1577"/>
      <c r="I499" s="486"/>
      <c r="K499" s="487"/>
      <c r="L499" s="486"/>
      <c r="M499" s="1756" t="str">
        <f>M502</f>
        <v>No</v>
      </c>
    </row>
    <row r="500" spans="3:20" s="1" customFormat="1" hidden="1" x14ac:dyDescent="0.3">
      <c r="C500" s="793" t="s">
        <v>1726</v>
      </c>
      <c r="D500" s="797"/>
      <c r="E500" s="845">
        <f>-SUMIFS('Master TB'!$J:$J,'Master TB'!$E:$E,Liabilities!$L500)</f>
        <v>0</v>
      </c>
      <c r="F500" s="845">
        <f>-SUMIFS('Master TB'!$J:$J,'Master TB'!$E:$E,Liabilities!$L500)</f>
        <v>0</v>
      </c>
      <c r="G500" s="845">
        <v>0</v>
      </c>
      <c r="H500" s="845">
        <f>-SUMIFS('Master TB'!$V:$V,'Master TB'!$E:$E,Liabilities!$L500)</f>
        <v>0</v>
      </c>
      <c r="I500" s="41"/>
      <c r="K500" s="41"/>
      <c r="L500" s="805" t="s">
        <v>1218</v>
      </c>
      <c r="M500" s="1756" t="str">
        <f>IF(AND(E500=0,F500=0,G500=0,H500=0),"No","Yes")</f>
        <v>No</v>
      </c>
    </row>
    <row r="501" spans="3:20" s="1" customFormat="1" hidden="1" x14ac:dyDescent="0.3">
      <c r="C501" s="793" t="s">
        <v>1727</v>
      </c>
      <c r="D501" s="797"/>
      <c r="E501" s="845">
        <f>-SUMIFS('Master TB'!$J:$J,'Master TB'!$E:$E,Liabilities!$K501)</f>
        <v>0</v>
      </c>
      <c r="F501" s="845">
        <f>-SUMIFS('Master TB'!$J:$J,'Master TB'!$E:$E,Liabilities!$L501)</f>
        <v>0</v>
      </c>
      <c r="G501" s="845">
        <v>0</v>
      </c>
      <c r="H501" s="845">
        <f>-SUMIFS('Master TB'!$V:$V,'Master TB'!$E:$E,Liabilities!$L501)</f>
        <v>0</v>
      </c>
      <c r="I501" s="41"/>
      <c r="K501" s="41"/>
      <c r="L501" s="806" t="s">
        <v>1219</v>
      </c>
      <c r="M501" s="1756" t="str">
        <f>IF(AND(E501=0,F501=0,G501=0,H501=0),"No","Yes")</f>
        <v>No</v>
      </c>
    </row>
    <row r="502" spans="3:20" s="1" customFormat="1" hidden="1" x14ac:dyDescent="0.3">
      <c r="C502" s="171"/>
      <c r="D502" s="215"/>
      <c r="E502" s="1576">
        <f>SUM(E500:E501)</f>
        <v>0</v>
      </c>
      <c r="F502" s="1576">
        <f>SUM(F500:F501)</f>
        <v>0</v>
      </c>
      <c r="G502" s="1576">
        <f>SUM(G500:G501)</f>
        <v>0</v>
      </c>
      <c r="H502" s="1576">
        <f>SUM(H500:H501)</f>
        <v>0</v>
      </c>
      <c r="I502" s="41"/>
      <c r="K502" s="41"/>
      <c r="L502" s="806"/>
      <c r="M502" s="1756" t="str">
        <f>IF(AND(E502=0,F502=0,G502=0,H502=0),"No","Yes")</f>
        <v>No</v>
      </c>
    </row>
    <row r="503" spans="3:20" s="1" customFormat="1" ht="33" hidden="1" x14ac:dyDescent="0.3">
      <c r="C503" s="799" t="str">
        <f>IF(M499="Yes","("&amp; CHAR(CODE(MID(C499,2,3))+1)&amp;")  Other loans and advances (specify nature)","(" &amp; MID(C499,2,3)&amp; "Other loans and advances (specify nature)")</f>
        <v>(a) Other loans and advances (specify nature)</v>
      </c>
      <c r="D503" s="140"/>
      <c r="E503" s="845"/>
      <c r="F503" s="836"/>
      <c r="G503" s="1606"/>
      <c r="H503" s="1577"/>
      <c r="I503" s="27"/>
      <c r="K503" s="27" t="s">
        <v>1730</v>
      </c>
      <c r="L503" s="41"/>
      <c r="M503" s="1756" t="str">
        <f>M506</f>
        <v>No</v>
      </c>
    </row>
    <row r="504" spans="3:20" s="1" customFormat="1" hidden="1" x14ac:dyDescent="0.3">
      <c r="C504" s="793" t="s">
        <v>1726</v>
      </c>
      <c r="D504" s="797"/>
      <c r="E504" s="845">
        <f>-SUMIFS('Master TB'!$J:$J,'Master TB'!$E:$E,Liabilities!$K504)</f>
        <v>0</v>
      </c>
      <c r="F504" s="845">
        <f>-SUMIFS('Master TB'!$J:$J,'Master TB'!$E:$E,Liabilities!$L504)</f>
        <v>0</v>
      </c>
      <c r="G504" s="845">
        <f>-SUMIFS('Master TB'!$V:$V,'Master TB'!$E:$E,Liabilities!$K504)</f>
        <v>0</v>
      </c>
      <c r="H504" s="845">
        <f>-SUMIFS('Master TB'!$V:$V,'Master TB'!$E:$E,Liabilities!$L504)</f>
        <v>0</v>
      </c>
      <c r="I504" s="41"/>
      <c r="K504" s="41" t="s">
        <v>1220</v>
      </c>
      <c r="L504" s="41" t="s">
        <v>1224</v>
      </c>
      <c r="M504" s="1756" t="str">
        <f>IF(AND(E504=0,F504=0,G504=0,H504=0),"No","Yes")</f>
        <v>No</v>
      </c>
    </row>
    <row r="505" spans="3:20" s="1" customFormat="1" hidden="1" x14ac:dyDescent="0.3">
      <c r="C505" s="793" t="s">
        <v>1727</v>
      </c>
      <c r="D505" s="797"/>
      <c r="E505" s="845">
        <f>-SUMIFS('Master TB'!$J:$J,'Master TB'!$E:$E,Liabilities!$K505)</f>
        <v>0</v>
      </c>
      <c r="F505" s="845">
        <f>-SUMIFS('Master TB'!$J:$J,'Master TB'!$E:$E,Liabilities!$L505)</f>
        <v>0</v>
      </c>
      <c r="G505" s="845">
        <f>-SUMIFS('Master TB'!$V:$V,'Master TB'!$E:$E,Liabilities!$K505)</f>
        <v>0</v>
      </c>
      <c r="H505" s="845">
        <f>-SUMIFS('Master TB'!$V:$V,'Master TB'!$E:$E,Liabilities!$L505)</f>
        <v>0</v>
      </c>
      <c r="I505" s="41"/>
      <c r="K505" s="41" t="s">
        <v>1221</v>
      </c>
      <c r="L505" s="41" t="s">
        <v>1225</v>
      </c>
      <c r="M505" s="1756" t="str">
        <f>IF(AND(E505=0,F505=0,G505=0,H505=0),"No","Yes")</f>
        <v>No</v>
      </c>
    </row>
    <row r="506" spans="3:20" s="1" customFormat="1" hidden="1" x14ac:dyDescent="0.3">
      <c r="C506" s="171"/>
      <c r="D506" s="215"/>
      <c r="E506" s="1576">
        <f>SUM(E504:E505)</f>
        <v>0</v>
      </c>
      <c r="F506" s="1576">
        <f>SUM(F504:F505)</f>
        <v>0</v>
      </c>
      <c r="G506" s="1576">
        <f>SUM(G504:G505)</f>
        <v>0</v>
      </c>
      <c r="H506" s="1576">
        <f>SUM(H504:H505)</f>
        <v>0</v>
      </c>
      <c r="I506" s="41"/>
      <c r="M506" s="1756" t="str">
        <f>IF(AND(E506=0,F506=0,G506=0,H506=0),"No","Yes")</f>
        <v>No</v>
      </c>
    </row>
    <row r="507" spans="3:20" s="1" customFormat="1" hidden="1" x14ac:dyDescent="0.3">
      <c r="C507" s="127"/>
      <c r="D507" s="140"/>
      <c r="E507" s="1577"/>
      <c r="F507" s="829"/>
      <c r="G507" s="1606"/>
      <c r="H507" s="1577"/>
      <c r="I507" s="41"/>
      <c r="M507" s="1756" t="str">
        <f>M508</f>
        <v>No</v>
      </c>
    </row>
    <row r="508" spans="3:20" s="1" customFormat="1" hidden="1" x14ac:dyDescent="0.3">
      <c r="C508" s="453" t="s">
        <v>35</v>
      </c>
      <c r="D508" s="461"/>
      <c r="E508" s="832">
        <f>SUM(E473,E478,E482,E486,E490,E494,E498,E502,E506)</f>
        <v>0</v>
      </c>
      <c r="F508" s="832">
        <f>SUM(F473,F478,F482,F486,F490,F494,F498,F502,F506)</f>
        <v>0</v>
      </c>
      <c r="G508" s="832">
        <f>SUM(G473,G478,G482,G486,G490,G494,G498,G502,G506)</f>
        <v>0</v>
      </c>
      <c r="H508" s="832">
        <f>SUM(H473,H478,H482,H486,H490,H494,H498,H502,H506)</f>
        <v>0</v>
      </c>
      <c r="I508" s="41"/>
      <c r="M508" s="1756" t="str">
        <f>IF(AND(E508=0,F508=0,G508=0,H508=0),"No","Yes")</f>
        <v>No</v>
      </c>
    </row>
    <row r="509" spans="3:20" s="1" customFormat="1" hidden="1" x14ac:dyDescent="0.3">
      <c r="C509" s="81"/>
      <c r="D509" s="81"/>
      <c r="E509" s="1209"/>
      <c r="F509" s="1209"/>
      <c r="G509" s="1209"/>
      <c r="H509" s="1209"/>
      <c r="I509" s="41"/>
      <c r="M509" s="1756" t="str">
        <f>M508</f>
        <v>No</v>
      </c>
    </row>
    <row r="510" spans="3:20" hidden="1" x14ac:dyDescent="0.3">
      <c r="C510" s="306" t="str">
        <f>+"("&amp;N510&amp;") "&amp;O510</f>
        <v>(i) Details of bonds / debentures issued by the Company:</v>
      </c>
      <c r="D510" s="3"/>
      <c r="E510" s="1579"/>
      <c r="F510" s="1579"/>
      <c r="G510" s="1579"/>
      <c r="H510" s="1579"/>
      <c r="I510" s="3"/>
      <c r="J510" s="3"/>
      <c r="K510" s="3"/>
      <c r="M510" s="1756" t="str">
        <f>M512</f>
        <v>No</v>
      </c>
      <c r="N510" s="1" t="s">
        <v>478</v>
      </c>
      <c r="O510" s="1" t="s">
        <v>1862</v>
      </c>
      <c r="P510" s="41"/>
      <c r="Q510" s="41"/>
      <c r="R510" s="41"/>
      <c r="S510" s="41"/>
      <c r="T510" s="41"/>
    </row>
    <row r="511" spans="3:20" hidden="1" x14ac:dyDescent="0.3">
      <c r="C511" s="307"/>
      <c r="D511" s="3"/>
      <c r="E511" s="1579"/>
      <c r="F511" s="1579"/>
      <c r="G511" s="1579"/>
      <c r="H511" s="1579"/>
      <c r="I511" s="3"/>
      <c r="J511" s="3"/>
      <c r="K511" s="3"/>
      <c r="M511" s="1756" t="str">
        <f>+M510</f>
        <v>No</v>
      </c>
      <c r="P511" s="41"/>
      <c r="Q511" s="41"/>
      <c r="R511" s="41"/>
      <c r="S511" s="41"/>
      <c r="T511" s="41"/>
    </row>
    <row r="512" spans="3:20" ht="30" hidden="1" x14ac:dyDescent="0.3">
      <c r="C512" s="1268" t="s">
        <v>20</v>
      </c>
      <c r="D512" s="1268" t="s">
        <v>1239</v>
      </c>
      <c r="E512" s="1402" t="str">
        <f>BSCY</f>
        <v>As At 31st March 2025</v>
      </c>
      <c r="F512" s="1402" t="str">
        <f>BSPY</f>
        <v>As At 31st March 2024</v>
      </c>
      <c r="G512" s="1608"/>
      <c r="I512" s="3"/>
      <c r="J512" s="3"/>
      <c r="K512" s="301"/>
      <c r="L512" s="301"/>
      <c r="M512" s="1756" t="str">
        <f>IF(COUNTIF(M513:M523,"Yes")&lt;&gt;0,"Yes","No")</f>
        <v>No</v>
      </c>
      <c r="P512" s="41"/>
      <c r="Q512" s="41"/>
      <c r="R512" s="41"/>
      <c r="S512" s="41"/>
      <c r="T512" s="41"/>
    </row>
    <row r="513" spans="3:20" hidden="1" x14ac:dyDescent="0.3">
      <c r="C513" s="1468" t="str">
        <f>'Qualitative Disclosures'!C453</f>
        <v>__% Redeemable bonds / debentures</v>
      </c>
      <c r="D513" s="1469">
        <f>'Qualitative Disclosures'!D453</f>
        <v>0</v>
      </c>
      <c r="E513" s="1580">
        <f>'Qualitative Disclosures'!E453</f>
        <v>0</v>
      </c>
      <c r="F513" s="1580">
        <f>'Qualitative Disclosures'!F453</f>
        <v>0</v>
      </c>
      <c r="I513" s="42"/>
      <c r="J513" s="42"/>
      <c r="K513" s="42"/>
      <c r="M513" s="1756" t="str">
        <f>IF(AND(E513=0,F513=0),"No","Yes")</f>
        <v>No</v>
      </c>
      <c r="P513" s="41"/>
      <c r="Q513" s="41"/>
      <c r="R513" s="41"/>
      <c r="S513" s="41"/>
      <c r="T513" s="41"/>
    </row>
    <row r="514" spans="3:20" hidden="1" x14ac:dyDescent="0.3">
      <c r="C514" s="1468" t="str">
        <f>'Qualitative Disclosures'!C454</f>
        <v>5 % Convertible bonds / debentures</v>
      </c>
      <c r="D514" s="1454">
        <f>'Qualitative Disclosures'!D454</f>
        <v>0</v>
      </c>
      <c r="E514" s="1580">
        <f>'Qualitative Disclosures'!E454</f>
        <v>0</v>
      </c>
      <c r="F514" s="1580">
        <f>'Qualitative Disclosures'!F454</f>
        <v>0</v>
      </c>
      <c r="I514" s="42"/>
      <c r="J514" s="42"/>
      <c r="K514" s="42"/>
      <c r="M514" s="1756" t="str">
        <f t="shared" ref="M514:M523" si="21">IF(AND(E514=0,F514=0),"No","Yes")</f>
        <v>No</v>
      </c>
      <c r="P514" s="41"/>
      <c r="Q514" s="41"/>
      <c r="R514" s="41"/>
      <c r="S514" s="41"/>
      <c r="T514" s="41"/>
    </row>
    <row r="515" spans="3:20" hidden="1" x14ac:dyDescent="0.3">
      <c r="C515" s="1468" t="str">
        <f>'Qualitative Disclosures'!C455</f>
        <v>&lt;Name&gt;</v>
      </c>
      <c r="D515" s="1454">
        <f>'Qualitative Disclosures'!D455</f>
        <v>0</v>
      </c>
      <c r="E515" s="1580">
        <f>'Qualitative Disclosures'!E455</f>
        <v>0</v>
      </c>
      <c r="F515" s="1580">
        <f>'Qualitative Disclosures'!F455</f>
        <v>0</v>
      </c>
      <c r="I515" s="42"/>
      <c r="J515" s="42"/>
      <c r="K515" s="42"/>
      <c r="M515" s="1756" t="str">
        <f t="shared" si="21"/>
        <v>No</v>
      </c>
      <c r="P515" s="41"/>
      <c r="Q515" s="41"/>
      <c r="R515" s="41"/>
      <c r="S515" s="41"/>
      <c r="T515" s="41"/>
    </row>
    <row r="516" spans="3:20" hidden="1" x14ac:dyDescent="0.3">
      <c r="C516" s="1468" t="str">
        <f>'Qualitative Disclosures'!C456</f>
        <v>&lt;Name&gt;</v>
      </c>
      <c r="D516" s="1454">
        <f>'Qualitative Disclosures'!D456</f>
        <v>0</v>
      </c>
      <c r="E516" s="1580">
        <f>'Qualitative Disclosures'!E456</f>
        <v>0</v>
      </c>
      <c r="F516" s="1580">
        <f>'Qualitative Disclosures'!F456</f>
        <v>0</v>
      </c>
      <c r="I516" s="42"/>
      <c r="J516" s="42"/>
      <c r="K516" s="42"/>
      <c r="M516" s="1756" t="str">
        <f t="shared" si="21"/>
        <v>No</v>
      </c>
      <c r="P516" s="41"/>
      <c r="Q516" s="41"/>
      <c r="R516" s="41"/>
      <c r="S516" s="41"/>
      <c r="T516" s="41"/>
    </row>
    <row r="517" spans="3:20" hidden="1" x14ac:dyDescent="0.3">
      <c r="C517" s="1468" t="str">
        <f>'Qualitative Disclosures'!C457</f>
        <v>&lt;Name&gt;</v>
      </c>
      <c r="D517" s="1454">
        <f>'Qualitative Disclosures'!D457</f>
        <v>0</v>
      </c>
      <c r="E517" s="1580">
        <f>'Qualitative Disclosures'!E457</f>
        <v>0</v>
      </c>
      <c r="F517" s="1580">
        <f>'Qualitative Disclosures'!F457</f>
        <v>0</v>
      </c>
      <c r="I517" s="42"/>
      <c r="J517" s="42"/>
      <c r="K517" s="42"/>
      <c r="M517" s="1756" t="str">
        <f t="shared" si="21"/>
        <v>No</v>
      </c>
      <c r="P517" s="41"/>
      <c r="Q517" s="41"/>
      <c r="R517" s="41"/>
      <c r="S517" s="41"/>
      <c r="T517" s="41"/>
    </row>
    <row r="518" spans="3:20" hidden="1" x14ac:dyDescent="0.3">
      <c r="C518" s="1468" t="str">
        <f>'Qualitative Disclosures'!C458</f>
        <v>&lt;Name&gt;</v>
      </c>
      <c r="D518" s="1454">
        <f>'Qualitative Disclosures'!D458</f>
        <v>0</v>
      </c>
      <c r="E518" s="1580">
        <f>'Qualitative Disclosures'!E458</f>
        <v>0</v>
      </c>
      <c r="F518" s="1580">
        <f>'Qualitative Disclosures'!F458</f>
        <v>0</v>
      </c>
      <c r="I518" s="42"/>
      <c r="J518" s="42"/>
      <c r="K518" s="42"/>
      <c r="M518" s="1756" t="str">
        <f t="shared" si="21"/>
        <v>No</v>
      </c>
      <c r="P518" s="41"/>
      <c r="Q518" s="41"/>
      <c r="R518" s="41"/>
      <c r="S518" s="41"/>
      <c r="T518" s="41"/>
    </row>
    <row r="519" spans="3:20" hidden="1" x14ac:dyDescent="0.3">
      <c r="C519" s="1468" t="str">
        <f>'Qualitative Disclosures'!C459</f>
        <v>&lt;Name&gt;</v>
      </c>
      <c r="D519" s="1454">
        <f>'Qualitative Disclosures'!D459</f>
        <v>0</v>
      </c>
      <c r="E519" s="1580">
        <f>'Qualitative Disclosures'!E459</f>
        <v>0</v>
      </c>
      <c r="F519" s="1580">
        <f>'Qualitative Disclosures'!F459</f>
        <v>0</v>
      </c>
      <c r="I519" s="42"/>
      <c r="J519" s="42"/>
      <c r="K519" s="42"/>
      <c r="M519" s="1756" t="str">
        <f t="shared" si="21"/>
        <v>No</v>
      </c>
      <c r="P519" s="41"/>
      <c r="Q519" s="41"/>
      <c r="R519" s="41"/>
      <c r="S519" s="41"/>
      <c r="T519" s="41"/>
    </row>
    <row r="520" spans="3:20" hidden="1" x14ac:dyDescent="0.3">
      <c r="C520" s="1468" t="str">
        <f>'Qualitative Disclosures'!C460</f>
        <v>&lt;Name&gt;</v>
      </c>
      <c r="D520" s="1471">
        <f>'Qualitative Disclosures'!D460</f>
        <v>0</v>
      </c>
      <c r="E520" s="1581">
        <f>'Qualitative Disclosures'!E460</f>
        <v>0</v>
      </c>
      <c r="F520" s="1581">
        <f>'Qualitative Disclosures'!F460</f>
        <v>0</v>
      </c>
      <c r="G520" s="1523"/>
      <c r="I520" s="81"/>
      <c r="J520" s="81"/>
      <c r="K520" s="81"/>
      <c r="M520" s="1756" t="str">
        <f t="shared" si="21"/>
        <v>No</v>
      </c>
      <c r="P520" s="41"/>
      <c r="Q520" s="41"/>
      <c r="R520" s="41"/>
      <c r="S520" s="41"/>
      <c r="T520" s="41"/>
    </row>
    <row r="521" spans="3:20" hidden="1" x14ac:dyDescent="0.3">
      <c r="C521" s="1468" t="str">
        <f>'Qualitative Disclosures'!C461</f>
        <v>&lt;Name&gt;</v>
      </c>
      <c r="D521" s="1471">
        <f>'Qualitative Disclosures'!D461</f>
        <v>0</v>
      </c>
      <c r="E521" s="1581">
        <f>'Qualitative Disclosures'!E461</f>
        <v>0</v>
      </c>
      <c r="F521" s="1581">
        <f>'Qualitative Disclosures'!F461</f>
        <v>0</v>
      </c>
      <c r="G521" s="1523"/>
      <c r="I521" s="81"/>
      <c r="J521" s="81"/>
      <c r="K521" s="81"/>
      <c r="M521" s="1756" t="str">
        <f t="shared" si="21"/>
        <v>No</v>
      </c>
      <c r="P521" s="41"/>
      <c r="Q521" s="41"/>
      <c r="R521" s="41"/>
      <c r="S521" s="41"/>
      <c r="T521" s="41"/>
    </row>
    <row r="522" spans="3:20" hidden="1" x14ac:dyDescent="0.3">
      <c r="C522" s="1468" t="str">
        <f>'Qualitative Disclosures'!C462</f>
        <v>Others</v>
      </c>
      <c r="D522" s="1473">
        <f>'Qualitative Disclosures'!D462</f>
        <v>0</v>
      </c>
      <c r="E522" s="1581">
        <f>'Qualitative Disclosures'!E462</f>
        <v>0</v>
      </c>
      <c r="F522" s="1581">
        <f>'Qualitative Disclosures'!F462</f>
        <v>0</v>
      </c>
      <c r="G522" s="1523"/>
      <c r="I522" s="81"/>
      <c r="J522" s="81"/>
      <c r="K522" s="81"/>
      <c r="M522" s="1756" t="str">
        <f t="shared" si="21"/>
        <v>No</v>
      </c>
      <c r="P522" s="41"/>
      <c r="Q522" s="41"/>
      <c r="R522" s="41"/>
      <c r="S522" s="41"/>
      <c r="T522" s="41"/>
    </row>
    <row r="523" spans="3:20" hidden="1" x14ac:dyDescent="0.3">
      <c r="C523" s="1474" t="s">
        <v>171</v>
      </c>
      <c r="D523" s="1475"/>
      <c r="E523" s="1582">
        <f>SUM(E513:E522)</f>
        <v>0</v>
      </c>
      <c r="F523" s="1582">
        <f>SUM(F513:F522)</f>
        <v>0</v>
      </c>
      <c r="I523" s="81"/>
      <c r="J523" s="81"/>
      <c r="K523" s="81"/>
      <c r="M523" s="1756" t="str">
        <f t="shared" si="21"/>
        <v>No</v>
      </c>
      <c r="P523" s="41"/>
      <c r="Q523" s="41"/>
      <c r="R523" s="41"/>
      <c r="S523" s="41"/>
      <c r="T523" s="41"/>
    </row>
    <row r="524" spans="3:20" hidden="1" x14ac:dyDescent="0.3">
      <c r="C524" s="32"/>
      <c r="I524" s="81"/>
      <c r="J524" s="81"/>
      <c r="K524" s="81"/>
      <c r="M524" s="1756" t="str">
        <f>+M523</f>
        <v>No</v>
      </c>
      <c r="P524" s="41"/>
      <c r="Q524" s="41"/>
      <c r="R524" s="41"/>
      <c r="S524" s="41"/>
      <c r="T524" s="41"/>
    </row>
    <row r="525" spans="3:20" hidden="1" x14ac:dyDescent="0.3">
      <c r="C525" s="2799" t="str">
        <f t="shared" ref="C525:H525" si="22">+"("&amp;N525&amp;") "&amp;O525</f>
        <v>(i) The Company is eligible to reissue the (state type) bonds / debentures that have been redeemed. As at 31 March, 20X2, ___ number of bonds / debentures of ` ___ each (As at 31 March, 20X1 ____ number of bonds / debentures of ` ___ each) were available for reissuance.</v>
      </c>
      <c r="D525" s="2799" t="str">
        <f t="shared" si="22"/>
        <v xml:space="preserve">(The Company is eligible to reissue the (state type) bonds / debentures that have been redeemed. As at 31 March, 20X2, ___ number of bonds / debentures of ` ___ each (As at 31 March, 20X1 ____ number of bonds / debentures of ` ___ each) were available for reissuance.) </v>
      </c>
      <c r="E525" s="2799" t="str">
        <f t="shared" si="22"/>
        <v xml:space="preserve">() </v>
      </c>
      <c r="F525" s="2799" t="str">
        <f t="shared" si="22"/>
        <v xml:space="preserve">() </v>
      </c>
      <c r="G525" s="2799" t="str">
        <f t="shared" si="22"/>
        <v xml:space="preserve">() </v>
      </c>
      <c r="H525" s="2799" t="str">
        <f t="shared" si="22"/>
        <v xml:space="preserve">() </v>
      </c>
      <c r="I525" s="3"/>
      <c r="J525" s="3"/>
      <c r="K525" s="3"/>
      <c r="M525" s="1756" t="s">
        <v>840</v>
      </c>
      <c r="N525" s="225" t="str">
        <f>+IF(M510="Yes",LOWER(ROMAN(_xlfn.ARABIC(N510)+1)),N510)</f>
        <v>i</v>
      </c>
      <c r="O525" s="1" t="str">
        <f>+_xlfn.TEXTAFTER('Qualitative Disclosures'!C465," ")</f>
        <v>The Company is eligible to reissue the (state type) bonds / debentures that have been redeemed. As at 31 March, 20X2, ___ number of bonds / debentures of ` ___ each (As at 31 March, 20X1 ____ number of bonds / debentures of ` ___ each) were available for reissuance.</v>
      </c>
      <c r="P525" s="41"/>
      <c r="Q525" s="41"/>
      <c r="R525" s="41"/>
      <c r="S525" s="41"/>
      <c r="T525" s="41"/>
    </row>
    <row r="526" spans="3:20" hidden="1" x14ac:dyDescent="0.3">
      <c r="C526" s="17" t="str">
        <f>+"("&amp;N526&amp;") "&amp;O526</f>
        <v>(i) Details of terms of repayment for the other long-term borrowings and security provided in respect of the secured other long-term borrowings:</v>
      </c>
      <c r="D526" s="32"/>
      <c r="E526" s="1523"/>
      <c r="F526" s="1523"/>
      <c r="G526" s="1523"/>
      <c r="H526" s="1523"/>
      <c r="I526" s="3"/>
      <c r="J526" s="3"/>
      <c r="K526" s="3"/>
      <c r="M526" s="1756" t="str">
        <f>M527</f>
        <v>No</v>
      </c>
      <c r="N526" s="225" t="str">
        <f>+IF(M525="Yes",LOWER(ROMAN(_xlfn.ARABIC(N525)+1)),N525)</f>
        <v>i</v>
      </c>
      <c r="O526" s="1" t="s">
        <v>1863</v>
      </c>
      <c r="P526" s="41"/>
      <c r="Q526" s="41"/>
      <c r="R526" s="41"/>
      <c r="S526" s="41"/>
      <c r="T526" s="41"/>
    </row>
    <row r="527" spans="3:20" hidden="1" x14ac:dyDescent="0.3">
      <c r="C527" s="2760" t="s">
        <v>20</v>
      </c>
      <c r="D527" s="2760" t="s">
        <v>1240</v>
      </c>
      <c r="E527" s="2803" t="str">
        <f>BSCY</f>
        <v>As At 31st March 2025</v>
      </c>
      <c r="F527" s="2760"/>
      <c r="G527" s="2803" t="str">
        <f>BSPY</f>
        <v>As At 31st March 2024</v>
      </c>
      <c r="H527" s="2760"/>
      <c r="I527" s="3"/>
      <c r="J527" s="3"/>
      <c r="M527" s="1756" t="str">
        <f>M528</f>
        <v>No</v>
      </c>
      <c r="P527" s="41"/>
      <c r="Q527" s="41"/>
      <c r="R527" s="41"/>
      <c r="S527" s="41"/>
      <c r="T527" s="41"/>
    </row>
    <row r="528" spans="3:20" hidden="1" x14ac:dyDescent="0.25">
      <c r="C528" s="2761"/>
      <c r="D528" s="2761"/>
      <c r="E528" s="1583" t="s">
        <v>825</v>
      </c>
      <c r="F528" s="1583" t="s">
        <v>826</v>
      </c>
      <c r="G528" s="1583" t="s">
        <v>825</v>
      </c>
      <c r="H528" s="1583" t="s">
        <v>826</v>
      </c>
      <c r="I528" s="131"/>
      <c r="J528" s="131"/>
      <c r="M528" s="1756" t="str">
        <f>IF(COUNTIF(M529:M548,"Yes")&lt;&gt;0,"Yes","No")</f>
        <v>No</v>
      </c>
      <c r="N528" s="41"/>
      <c r="O528" s="41"/>
      <c r="P528" s="41"/>
      <c r="Q528" s="41"/>
      <c r="R528" s="41"/>
      <c r="S528" s="41"/>
      <c r="T528" s="41"/>
    </row>
    <row r="529" spans="3:20" hidden="1" x14ac:dyDescent="0.25">
      <c r="C529" s="1476" t="str">
        <f>'Qualitative Disclosures'!C471</f>
        <v>Term loans from banks:</v>
      </c>
      <c r="D529" s="1470"/>
      <c r="E529" s="1580"/>
      <c r="F529" s="1580"/>
      <c r="G529" s="1580"/>
      <c r="H529" s="1580"/>
      <c r="I529" s="131"/>
      <c r="J529" s="131"/>
      <c r="K529" s="131"/>
      <c r="M529" s="1756" t="str">
        <f>M540</f>
        <v>No</v>
      </c>
      <c r="N529" s="41"/>
      <c r="O529" s="41"/>
      <c r="P529" s="41"/>
      <c r="Q529" s="41"/>
      <c r="R529" s="41"/>
      <c r="S529" s="41"/>
      <c r="T529" s="41"/>
    </row>
    <row r="530" spans="3:20" hidden="1" x14ac:dyDescent="0.25">
      <c r="C530" s="1477" t="str">
        <f>'Qualitative Disclosures'!C472</f>
        <v>XXX Bank</v>
      </c>
      <c r="D530" s="1478">
        <f>'Qualitative Disclosures'!D472</f>
        <v>0</v>
      </c>
      <c r="E530" s="1580">
        <f>'Qualitative Disclosures'!E472</f>
        <v>0</v>
      </c>
      <c r="F530" s="1580">
        <f>'Qualitative Disclosures'!F472</f>
        <v>0</v>
      </c>
      <c r="G530" s="1580">
        <f>'Qualitative Disclosures'!G472</f>
        <v>0</v>
      </c>
      <c r="H530" s="1580">
        <f>'Qualitative Disclosures'!H472</f>
        <v>0</v>
      </c>
      <c r="M530" s="1756" t="str">
        <f t="shared" ref="M530:M548" si="23">IF(AND(E530=0,F530=0,G530=0,H530=0),"No","Yes")</f>
        <v>No</v>
      </c>
      <c r="N530" s="41"/>
      <c r="O530" s="41"/>
      <c r="P530" s="41"/>
      <c r="Q530" s="41"/>
      <c r="R530" s="41"/>
      <c r="S530" s="41"/>
      <c r="T530" s="41"/>
    </row>
    <row r="531" spans="3:20" hidden="1" x14ac:dyDescent="0.3">
      <c r="C531" s="1477" t="str">
        <f>'Qualitative Disclosures'!C473</f>
        <v>XXX Bank</v>
      </c>
      <c r="D531" s="1478">
        <f>'Qualitative Disclosures'!D473</f>
        <v>0</v>
      </c>
      <c r="E531" s="1571">
        <f>'Qualitative Disclosures'!E473</f>
        <v>0</v>
      </c>
      <c r="F531" s="1571">
        <f>'Qualitative Disclosures'!F473</f>
        <v>0</v>
      </c>
      <c r="G531" s="1571">
        <f>'Qualitative Disclosures'!G473</f>
        <v>0</v>
      </c>
      <c r="H531" s="1571">
        <f>'Qualitative Disclosures'!H473</f>
        <v>0</v>
      </c>
      <c r="M531" s="1756" t="str">
        <f t="shared" si="23"/>
        <v>No</v>
      </c>
      <c r="N531" s="41"/>
      <c r="O531" s="41"/>
      <c r="P531" s="41"/>
      <c r="Q531" s="41"/>
      <c r="R531" s="41"/>
      <c r="S531" s="41"/>
      <c r="T531" s="41"/>
    </row>
    <row r="532" spans="3:20" hidden="1" x14ac:dyDescent="0.25">
      <c r="C532" s="1477" t="str">
        <f>'Qualitative Disclosures'!C474</f>
        <v>XXX Bank</v>
      </c>
      <c r="D532" s="1478">
        <f>'Qualitative Disclosures'!D474</f>
        <v>0</v>
      </c>
      <c r="E532" s="1580">
        <f>'Qualitative Disclosures'!E474</f>
        <v>0</v>
      </c>
      <c r="F532" s="1580">
        <f>'Qualitative Disclosures'!F474</f>
        <v>0</v>
      </c>
      <c r="G532" s="1580">
        <f>'Qualitative Disclosures'!G474</f>
        <v>0</v>
      </c>
      <c r="H532" s="1580">
        <f>'Qualitative Disclosures'!H474</f>
        <v>0</v>
      </c>
      <c r="M532" s="1756" t="str">
        <f t="shared" si="23"/>
        <v>No</v>
      </c>
      <c r="N532" s="41"/>
      <c r="O532" s="41"/>
      <c r="P532" s="41"/>
      <c r="Q532" s="41"/>
      <c r="R532" s="41"/>
      <c r="S532" s="41"/>
      <c r="T532" s="41"/>
    </row>
    <row r="533" spans="3:20" hidden="1" x14ac:dyDescent="0.25">
      <c r="C533" s="1477" t="str">
        <f>'Qualitative Disclosures'!C475</f>
        <v>XXX Bank</v>
      </c>
      <c r="D533" s="1478">
        <f>'Qualitative Disclosures'!D475</f>
        <v>0</v>
      </c>
      <c r="E533" s="1580">
        <f>'Qualitative Disclosures'!E475</f>
        <v>0</v>
      </c>
      <c r="F533" s="1580">
        <f>'Qualitative Disclosures'!F475</f>
        <v>0</v>
      </c>
      <c r="G533" s="1580">
        <f>'Qualitative Disclosures'!G475</f>
        <v>0</v>
      </c>
      <c r="H533" s="1580">
        <f>'Qualitative Disclosures'!H475</f>
        <v>0</v>
      </c>
      <c r="M533" s="1756" t="str">
        <f t="shared" si="23"/>
        <v>No</v>
      </c>
      <c r="N533" s="41"/>
      <c r="O533" s="41"/>
      <c r="P533" s="41"/>
      <c r="Q533" s="41"/>
      <c r="R533" s="41"/>
      <c r="S533" s="41"/>
      <c r="T533" s="41"/>
    </row>
    <row r="534" spans="3:20" hidden="1" x14ac:dyDescent="0.25">
      <c r="C534" s="1477" t="str">
        <f>'Qualitative Disclosures'!C476</f>
        <v>XXX Bank</v>
      </c>
      <c r="D534" s="1478">
        <f>'Qualitative Disclosures'!D476</f>
        <v>0</v>
      </c>
      <c r="E534" s="1580">
        <f>'Qualitative Disclosures'!E476</f>
        <v>0</v>
      </c>
      <c r="F534" s="1580">
        <f>'Qualitative Disclosures'!F476</f>
        <v>0</v>
      </c>
      <c r="G534" s="1580">
        <f>'Qualitative Disclosures'!G476</f>
        <v>0</v>
      </c>
      <c r="H534" s="1580">
        <f>'Qualitative Disclosures'!H476</f>
        <v>0</v>
      </c>
      <c r="M534" s="1756" t="str">
        <f t="shared" si="23"/>
        <v>No</v>
      </c>
      <c r="N534" s="41"/>
      <c r="O534" s="41"/>
      <c r="P534" s="41"/>
      <c r="Q534" s="41"/>
      <c r="R534" s="41"/>
      <c r="S534" s="41"/>
      <c r="T534" s="41"/>
    </row>
    <row r="535" spans="3:20" hidden="1" x14ac:dyDescent="0.25">
      <c r="C535" s="1477" t="str">
        <f>'Qualitative Disclosures'!C477</f>
        <v>XXX Bank</v>
      </c>
      <c r="D535" s="1478">
        <f>'Qualitative Disclosures'!D477</f>
        <v>0</v>
      </c>
      <c r="E535" s="1580">
        <f>'Qualitative Disclosures'!E477</f>
        <v>0</v>
      </c>
      <c r="F535" s="1580">
        <f>'Qualitative Disclosures'!F477</f>
        <v>0</v>
      </c>
      <c r="G535" s="1580">
        <f>'Qualitative Disclosures'!G477</f>
        <v>0</v>
      </c>
      <c r="H535" s="1580">
        <f>'Qualitative Disclosures'!H477</f>
        <v>0</v>
      </c>
      <c r="M535" s="1756" t="str">
        <f t="shared" si="23"/>
        <v>No</v>
      </c>
      <c r="N535" s="41"/>
      <c r="O535" s="41"/>
      <c r="P535" s="41"/>
      <c r="Q535" s="41"/>
      <c r="R535" s="41"/>
      <c r="S535" s="41"/>
      <c r="T535" s="41"/>
    </row>
    <row r="536" spans="3:20" hidden="1" x14ac:dyDescent="0.25">
      <c r="C536" s="1477" t="str">
        <f>'Qualitative Disclosures'!C478</f>
        <v>XXX Bank</v>
      </c>
      <c r="D536" s="1478">
        <f>'Qualitative Disclosures'!D478</f>
        <v>0</v>
      </c>
      <c r="E536" s="1580">
        <f>'Qualitative Disclosures'!E478</f>
        <v>0</v>
      </c>
      <c r="F536" s="1580">
        <f>'Qualitative Disclosures'!F478</f>
        <v>0</v>
      </c>
      <c r="G536" s="1580">
        <f>'Qualitative Disclosures'!G478</f>
        <v>0</v>
      </c>
      <c r="H536" s="1580">
        <f>'Qualitative Disclosures'!H478</f>
        <v>0</v>
      </c>
      <c r="M536" s="1756" t="str">
        <f t="shared" si="23"/>
        <v>No</v>
      </c>
      <c r="N536" s="41"/>
      <c r="O536" s="41"/>
      <c r="P536" s="41"/>
      <c r="Q536" s="41"/>
      <c r="R536" s="41"/>
      <c r="S536" s="41"/>
      <c r="T536" s="41"/>
    </row>
    <row r="537" spans="3:20" hidden="1" x14ac:dyDescent="0.25">
      <c r="C537" s="1477" t="str">
        <f>'Qualitative Disclosures'!C479</f>
        <v>XXX Bank</v>
      </c>
      <c r="D537" s="1478">
        <f>'Qualitative Disclosures'!D479</f>
        <v>0</v>
      </c>
      <c r="E537" s="1580">
        <f>'Qualitative Disclosures'!E479</f>
        <v>0</v>
      </c>
      <c r="F537" s="1580">
        <f>'Qualitative Disclosures'!F479</f>
        <v>0</v>
      </c>
      <c r="G537" s="1580">
        <f>'Qualitative Disclosures'!G479</f>
        <v>0</v>
      </c>
      <c r="H537" s="1580">
        <f>'Qualitative Disclosures'!H479</f>
        <v>0</v>
      </c>
      <c r="M537" s="1756" t="str">
        <f t="shared" si="23"/>
        <v>No</v>
      </c>
      <c r="N537" s="41"/>
      <c r="O537" s="41"/>
      <c r="P537" s="41"/>
      <c r="Q537" s="41"/>
      <c r="R537" s="41"/>
      <c r="S537" s="41"/>
      <c r="T537" s="41"/>
    </row>
    <row r="538" spans="3:20" hidden="1" x14ac:dyDescent="0.25">
      <c r="C538" s="1477" t="str">
        <f>'Qualitative Disclosures'!C480</f>
        <v>XXX Bank</v>
      </c>
      <c r="D538" s="1478">
        <f>'Qualitative Disclosures'!D480</f>
        <v>0</v>
      </c>
      <c r="E538" s="1580">
        <f>'Qualitative Disclosures'!E480</f>
        <v>0</v>
      </c>
      <c r="F538" s="1580">
        <f>'Qualitative Disclosures'!F480</f>
        <v>0</v>
      </c>
      <c r="G538" s="1580">
        <f>'Qualitative Disclosures'!G480</f>
        <v>0</v>
      </c>
      <c r="H538" s="1580">
        <f>'Qualitative Disclosures'!H480</f>
        <v>0</v>
      </c>
      <c r="M538" s="1756" t="str">
        <f t="shared" si="23"/>
        <v>No</v>
      </c>
      <c r="N538" s="41"/>
      <c r="O538" s="41"/>
      <c r="P538" s="41"/>
      <c r="Q538" s="41"/>
      <c r="R538" s="41"/>
      <c r="S538" s="41"/>
      <c r="T538" s="41"/>
    </row>
    <row r="539" spans="3:20" hidden="1" x14ac:dyDescent="0.25">
      <c r="C539" s="1477" t="str">
        <f>'Qualitative Disclosures'!C481</f>
        <v>XXX Bank</v>
      </c>
      <c r="D539" s="1478">
        <f>'Qualitative Disclosures'!D481</f>
        <v>0</v>
      </c>
      <c r="E539" s="1580">
        <f>'Qualitative Disclosures'!E481</f>
        <v>0</v>
      </c>
      <c r="F539" s="1580">
        <f>'Qualitative Disclosures'!F481</f>
        <v>0</v>
      </c>
      <c r="G539" s="1580">
        <f>'Qualitative Disclosures'!G481</f>
        <v>0</v>
      </c>
      <c r="H539" s="1580">
        <f>'Qualitative Disclosures'!H481</f>
        <v>0</v>
      </c>
      <c r="M539" s="1756" t="str">
        <f t="shared" si="23"/>
        <v>No</v>
      </c>
      <c r="N539" s="41"/>
      <c r="O539" s="41"/>
      <c r="P539" s="41"/>
      <c r="Q539" s="41"/>
      <c r="R539" s="41"/>
      <c r="S539" s="41"/>
      <c r="T539" s="41"/>
    </row>
    <row r="540" spans="3:20" hidden="1" x14ac:dyDescent="0.25">
      <c r="C540" s="1476" t="str">
        <f>'Qualitative Disclosures'!C482</f>
        <v>Total - Term loans from banks</v>
      </c>
      <c r="D540" s="1478"/>
      <c r="E540" s="1580">
        <f>SUM(E530:E539)</f>
        <v>0</v>
      </c>
      <c r="F540" s="1580">
        <f>SUM(F530:F539)</f>
        <v>0</v>
      </c>
      <c r="G540" s="1580">
        <f>SUM(G530:G539)</f>
        <v>0</v>
      </c>
      <c r="H540" s="1580">
        <f>SUM(H530:H539)</f>
        <v>0</v>
      </c>
      <c r="M540" s="1756" t="str">
        <f t="shared" si="23"/>
        <v>No</v>
      </c>
      <c r="N540" s="41"/>
      <c r="O540" s="41"/>
      <c r="P540" s="41"/>
      <c r="Q540" s="41"/>
      <c r="R540" s="41"/>
      <c r="S540" s="41"/>
      <c r="T540" s="41"/>
    </row>
    <row r="541" spans="3:20" hidden="1" x14ac:dyDescent="0.25">
      <c r="C541" s="1476"/>
      <c r="D541" s="1478"/>
      <c r="E541" s="1580"/>
      <c r="F541" s="1580"/>
      <c r="G541" s="1580"/>
      <c r="H541" s="1580"/>
      <c r="M541" s="1756" t="str">
        <f>M548</f>
        <v>No</v>
      </c>
      <c r="N541" s="41"/>
      <c r="O541" s="41"/>
      <c r="P541" s="41"/>
      <c r="Q541" s="41"/>
      <c r="R541" s="41"/>
      <c r="S541" s="41"/>
      <c r="T541" s="41"/>
    </row>
    <row r="542" spans="3:20" hidden="1" x14ac:dyDescent="0.25">
      <c r="C542" s="1476" t="str">
        <f>'Qualitative Disclosures'!C484</f>
        <v>Others</v>
      </c>
      <c r="D542" s="1478">
        <f>'Qualitative Disclosures'!D484</f>
        <v>0</v>
      </c>
      <c r="E542" s="1580">
        <f>'Qualitative Disclosures'!E484</f>
        <v>0</v>
      </c>
      <c r="F542" s="1580">
        <f>'Qualitative Disclosures'!F484</f>
        <v>0</v>
      </c>
      <c r="G542" s="1580">
        <f>'Qualitative Disclosures'!G484</f>
        <v>0</v>
      </c>
      <c r="H542" s="1580">
        <f>'Qualitative Disclosures'!H484</f>
        <v>0</v>
      </c>
      <c r="M542" s="1756" t="str">
        <f t="shared" si="23"/>
        <v>No</v>
      </c>
      <c r="N542" s="41"/>
      <c r="O542" s="41"/>
      <c r="P542" s="41"/>
      <c r="Q542" s="41"/>
      <c r="R542" s="41"/>
      <c r="S542" s="41"/>
      <c r="T542" s="41"/>
    </row>
    <row r="543" spans="3:20" hidden="1" x14ac:dyDescent="0.25">
      <c r="C543" s="1476" t="str">
        <f>'Qualitative Disclosures'!C485</f>
        <v>Others</v>
      </c>
      <c r="D543" s="1478">
        <f>'Qualitative Disclosures'!D485</f>
        <v>0</v>
      </c>
      <c r="E543" s="1580">
        <f>'Qualitative Disclosures'!E485</f>
        <v>0</v>
      </c>
      <c r="F543" s="1580">
        <f>'Qualitative Disclosures'!F485</f>
        <v>0</v>
      </c>
      <c r="G543" s="1580">
        <f>'Qualitative Disclosures'!G485</f>
        <v>0</v>
      </c>
      <c r="H543" s="1580">
        <f>'Qualitative Disclosures'!H485</f>
        <v>0</v>
      </c>
      <c r="M543" s="1756" t="str">
        <f t="shared" si="23"/>
        <v>No</v>
      </c>
      <c r="N543" s="41"/>
      <c r="O543" s="41"/>
      <c r="P543" s="41"/>
      <c r="Q543" s="41"/>
      <c r="R543" s="41"/>
      <c r="S543" s="41"/>
      <c r="T543" s="41"/>
    </row>
    <row r="544" spans="3:20" hidden="1" x14ac:dyDescent="0.3">
      <c r="C544" s="1476" t="str">
        <f>'Qualitative Disclosures'!C486</f>
        <v>Others</v>
      </c>
      <c r="D544" s="1478">
        <f>'Qualitative Disclosures'!D486</f>
        <v>0</v>
      </c>
      <c r="E544" s="1580">
        <f>'Qualitative Disclosures'!E486</f>
        <v>0</v>
      </c>
      <c r="F544" s="1580">
        <f>'Qualitative Disclosures'!F486</f>
        <v>0</v>
      </c>
      <c r="G544" s="1580">
        <f>'Qualitative Disclosures'!G486</f>
        <v>0</v>
      </c>
      <c r="H544" s="1580">
        <f>'Qualitative Disclosures'!H486</f>
        <v>0</v>
      </c>
      <c r="M544" s="1756" t="str">
        <f t="shared" si="23"/>
        <v>No</v>
      </c>
    </row>
    <row r="545" spans="3:20" hidden="1" x14ac:dyDescent="0.3">
      <c r="C545" s="1476" t="str">
        <f>'Qualitative Disclosures'!C487</f>
        <v>Others</v>
      </c>
      <c r="D545" s="1478">
        <f>'Qualitative Disclosures'!D487</f>
        <v>0</v>
      </c>
      <c r="E545" s="1580">
        <f>'Qualitative Disclosures'!E487</f>
        <v>0</v>
      </c>
      <c r="F545" s="1580">
        <f>'Qualitative Disclosures'!F487</f>
        <v>0</v>
      </c>
      <c r="G545" s="1580">
        <f>'Qualitative Disclosures'!G487</f>
        <v>0</v>
      </c>
      <c r="H545" s="1580">
        <f>'Qualitative Disclosures'!H487</f>
        <v>0</v>
      </c>
      <c r="M545" s="1756" t="str">
        <f t="shared" si="23"/>
        <v>No</v>
      </c>
    </row>
    <row r="546" spans="3:20" hidden="1" x14ac:dyDescent="0.3">
      <c r="C546" s="1476" t="str">
        <f>'Qualitative Disclosures'!C488</f>
        <v>Others</v>
      </c>
      <c r="D546" s="1478">
        <f>'Qualitative Disclosures'!D488</f>
        <v>0</v>
      </c>
      <c r="E546" s="1580">
        <f>'Qualitative Disclosures'!E488</f>
        <v>0</v>
      </c>
      <c r="F546" s="1580">
        <f>'Qualitative Disclosures'!F488</f>
        <v>0</v>
      </c>
      <c r="G546" s="1580">
        <f>'Qualitative Disclosures'!G488</f>
        <v>0</v>
      </c>
      <c r="H546" s="1580">
        <f>'Qualitative Disclosures'!H488</f>
        <v>0</v>
      </c>
      <c r="M546" s="1756" t="str">
        <f t="shared" si="23"/>
        <v>No</v>
      </c>
    </row>
    <row r="547" spans="3:20" hidden="1" x14ac:dyDescent="0.3">
      <c r="C547" s="1476" t="str">
        <f>'Qualitative Disclosures'!C489</f>
        <v>Others</v>
      </c>
      <c r="D547" s="1478">
        <f>'Qualitative Disclosures'!D489</f>
        <v>0</v>
      </c>
      <c r="E547" s="1580">
        <f>'Qualitative Disclosures'!E489</f>
        <v>0</v>
      </c>
      <c r="F547" s="1580">
        <f>'Qualitative Disclosures'!F489</f>
        <v>0</v>
      </c>
      <c r="G547" s="1580">
        <f>'Qualitative Disclosures'!G489</f>
        <v>0</v>
      </c>
      <c r="H547" s="1580">
        <f>'Qualitative Disclosures'!H489</f>
        <v>0</v>
      </c>
      <c r="M547" s="1756" t="str">
        <f t="shared" si="23"/>
        <v>No</v>
      </c>
    </row>
    <row r="548" spans="3:20" hidden="1" x14ac:dyDescent="0.3">
      <c r="C548" s="1907" t="str">
        <f>'Qualitative Disclosures'!C490</f>
        <v>Total - XYZ</v>
      </c>
      <c r="D548" s="1908"/>
      <c r="E548" s="1582">
        <f>SUM(E542:E547)</f>
        <v>0</v>
      </c>
      <c r="F548" s="1582">
        <f>SUM(F542:F547)</f>
        <v>0</v>
      </c>
      <c r="G548" s="1582">
        <f>SUM(G542:G547)</f>
        <v>0</v>
      </c>
      <c r="H548" s="1582">
        <f>SUM(H542:H547)</f>
        <v>0</v>
      </c>
      <c r="M548" s="1756" t="str">
        <f t="shared" si="23"/>
        <v>No</v>
      </c>
    </row>
    <row r="549" spans="3:20" ht="14.45" hidden="1" customHeight="1" x14ac:dyDescent="0.3">
      <c r="C549" s="32"/>
      <c r="M549" s="1756" t="str">
        <f>M528</f>
        <v>No</v>
      </c>
    </row>
    <row r="550" spans="3:20" ht="14.45" hidden="1" customHeight="1" x14ac:dyDescent="0.3">
      <c r="C550" s="42" t="str">
        <f>+"("&amp;N550&amp;") "&amp;O550</f>
        <v xml:space="preserve">(i) Details of borrowings guaranteed by some of the directors or others: </v>
      </c>
      <c r="D550" s="3"/>
      <c r="E550" s="1579"/>
      <c r="F550" s="1579"/>
      <c r="G550" s="1579"/>
      <c r="H550" s="1579"/>
      <c r="K550" s="301"/>
      <c r="L550" s="301"/>
      <c r="M550" s="1756" t="str">
        <f>M551</f>
        <v>No</v>
      </c>
      <c r="N550" s="225" t="str">
        <f>+IF(M526="Yes",LOWER(ROMAN(_xlfn.ARABIC(N526)+1)),N526)</f>
        <v>i</v>
      </c>
      <c r="O550" s="1" t="s">
        <v>1864</v>
      </c>
    </row>
    <row r="551" spans="3:20" ht="30" hidden="1" x14ac:dyDescent="0.3">
      <c r="C551" s="1410" t="s">
        <v>20</v>
      </c>
      <c r="D551" s="1419" t="str">
        <f>BSCY</f>
        <v>As At 31st March 2025</v>
      </c>
      <c r="E551" s="1534" t="str">
        <f>BSPY</f>
        <v>As At 31st March 2024</v>
      </c>
      <c r="F551" s="1600"/>
      <c r="G551" s="1600"/>
      <c r="H551" s="1586"/>
      <c r="I551" s="31"/>
      <c r="J551" s="3"/>
      <c r="K551" s="3"/>
      <c r="M551" s="1756" t="str">
        <f>IF(COUNTIF(M552:M564,"Yes")&lt;&gt;0,"Yes","No")</f>
        <v>No</v>
      </c>
      <c r="T551" s="41"/>
    </row>
    <row r="552" spans="3:20" hidden="1" x14ac:dyDescent="0.3">
      <c r="C552" s="1468" t="str">
        <f>'Qualitative Disclosures'!C495</f>
        <v>Bonds / debentures</v>
      </c>
      <c r="D552" s="1471">
        <f>'Qualitative Disclosures'!E495</f>
        <v>0</v>
      </c>
      <c r="E552" s="1584">
        <f>'Qualitative Disclosures'!F495</f>
        <v>0</v>
      </c>
      <c r="F552" s="1586"/>
      <c r="G552" s="1586"/>
      <c r="H552" s="1586"/>
      <c r="I552" s="31"/>
      <c r="J552" s="31"/>
      <c r="K552" s="31"/>
      <c r="M552" s="1756" t="str">
        <f t="shared" ref="M552:M564" si="24">IF(AND(D552=0,E552=0),"No","Yes")</f>
        <v>No</v>
      </c>
      <c r="T552" s="41"/>
    </row>
    <row r="553" spans="3:20" hidden="1" x14ac:dyDescent="0.3">
      <c r="C553" s="1468" t="str">
        <f>'Qualitative Disclosures'!C496</f>
        <v>Term loans from banks</v>
      </c>
      <c r="D553" s="1471">
        <f>'Qualitative Disclosures'!E496</f>
        <v>0</v>
      </c>
      <c r="E553" s="1584">
        <f>'Qualitative Disclosures'!F496</f>
        <v>0</v>
      </c>
      <c r="F553" s="1586"/>
      <c r="G553" s="1586"/>
      <c r="H553" s="1586"/>
      <c r="I553" s="31"/>
      <c r="J553" s="31"/>
      <c r="K553" s="31"/>
      <c r="M553" s="1756" t="str">
        <f t="shared" si="24"/>
        <v>No</v>
      </c>
      <c r="T553" s="41"/>
    </row>
    <row r="554" spans="3:20" hidden="1" x14ac:dyDescent="0.3">
      <c r="C554" s="1468" t="str">
        <f>'Qualitative Disclosures'!C497</f>
        <v>Term loans from other parties</v>
      </c>
      <c r="D554" s="1471">
        <f>'Qualitative Disclosures'!E497</f>
        <v>0</v>
      </c>
      <c r="E554" s="1584">
        <f>'Qualitative Disclosures'!F497</f>
        <v>0</v>
      </c>
      <c r="F554" s="1586"/>
      <c r="G554" s="1586"/>
      <c r="H554" s="1586"/>
      <c r="I554" s="31"/>
      <c r="J554" s="31"/>
      <c r="K554" s="31"/>
      <c r="M554" s="1756" t="str">
        <f t="shared" si="24"/>
        <v>No</v>
      </c>
      <c r="T554" s="41"/>
    </row>
    <row r="555" spans="3:20" hidden="1" x14ac:dyDescent="0.3">
      <c r="C555" s="1468" t="str">
        <f>'Qualitative Disclosures'!C498</f>
        <v>XYZ</v>
      </c>
      <c r="D555" s="1471">
        <f>'Qualitative Disclosures'!E498</f>
        <v>0</v>
      </c>
      <c r="E555" s="1584">
        <f>'Qualitative Disclosures'!F498</f>
        <v>0</v>
      </c>
      <c r="F555" s="1586"/>
      <c r="G555" s="1586"/>
      <c r="H555" s="1586"/>
      <c r="I555" s="31"/>
      <c r="J555" s="31"/>
      <c r="K555" s="31"/>
      <c r="M555" s="1756" t="str">
        <f t="shared" si="24"/>
        <v>No</v>
      </c>
      <c r="T555" s="41"/>
    </row>
    <row r="556" spans="3:20" hidden="1" x14ac:dyDescent="0.3">
      <c r="C556" s="1472">
        <f>'Qualitative Disclosures'!C499</f>
        <v>0</v>
      </c>
      <c r="D556" s="1471">
        <f>'Qualitative Disclosures'!E499</f>
        <v>0</v>
      </c>
      <c r="E556" s="1584">
        <f>'Qualitative Disclosures'!F499</f>
        <v>0</v>
      </c>
      <c r="F556" s="1586"/>
      <c r="G556" s="1586"/>
      <c r="H556" s="1586"/>
      <c r="I556" s="31"/>
      <c r="J556" s="31"/>
      <c r="K556" s="31"/>
      <c r="M556" s="1756" t="str">
        <f t="shared" si="24"/>
        <v>No</v>
      </c>
      <c r="T556" s="41"/>
    </row>
    <row r="557" spans="3:20" hidden="1" x14ac:dyDescent="0.3">
      <c r="C557" s="1472">
        <f>'Qualitative Disclosures'!C500</f>
        <v>0</v>
      </c>
      <c r="D557" s="1471">
        <f>'Qualitative Disclosures'!E500</f>
        <v>0</v>
      </c>
      <c r="E557" s="1584">
        <f>'Qualitative Disclosures'!F500</f>
        <v>0</v>
      </c>
      <c r="F557" s="1586"/>
      <c r="G557" s="1586"/>
      <c r="H557" s="1586"/>
      <c r="I557" s="31"/>
      <c r="J557" s="31"/>
      <c r="K557" s="31"/>
      <c r="M557" s="1756" t="str">
        <f t="shared" si="24"/>
        <v>No</v>
      </c>
      <c r="T557" s="41"/>
    </row>
    <row r="558" spans="3:20" hidden="1" x14ac:dyDescent="0.3">
      <c r="C558" s="1472">
        <f>'Qualitative Disclosures'!C501</f>
        <v>0</v>
      </c>
      <c r="D558" s="1471">
        <f>'Qualitative Disclosures'!E501</f>
        <v>0</v>
      </c>
      <c r="E558" s="1584">
        <f>'Qualitative Disclosures'!F501</f>
        <v>0</v>
      </c>
      <c r="F558" s="1586"/>
      <c r="G558" s="1586"/>
      <c r="H558" s="1586"/>
      <c r="I558" s="31"/>
      <c r="J558" s="31"/>
      <c r="K558" s="31"/>
      <c r="M558" s="1756" t="str">
        <f t="shared" si="24"/>
        <v>No</v>
      </c>
      <c r="T558" s="41"/>
    </row>
    <row r="559" spans="3:20" hidden="1" x14ac:dyDescent="0.3">
      <c r="C559" s="1472">
        <f>'Qualitative Disclosures'!C502</f>
        <v>0</v>
      </c>
      <c r="D559" s="1471">
        <f>'Qualitative Disclosures'!E502</f>
        <v>0</v>
      </c>
      <c r="E559" s="1584">
        <f>'Qualitative Disclosures'!F502</f>
        <v>0</v>
      </c>
      <c r="F559" s="1586"/>
      <c r="G559" s="1586"/>
      <c r="H559" s="1586"/>
      <c r="I559" s="31"/>
      <c r="J559" s="31"/>
      <c r="K559" s="31"/>
      <c r="M559" s="1756" t="str">
        <f t="shared" si="24"/>
        <v>No</v>
      </c>
      <c r="T559" s="41"/>
    </row>
    <row r="560" spans="3:20" hidden="1" x14ac:dyDescent="0.3">
      <c r="C560" s="1472">
        <f>'Qualitative Disclosures'!C503</f>
        <v>0</v>
      </c>
      <c r="D560" s="1471">
        <f>'Qualitative Disclosures'!E503</f>
        <v>0</v>
      </c>
      <c r="E560" s="1584">
        <f>'Qualitative Disclosures'!F503</f>
        <v>0</v>
      </c>
      <c r="F560" s="1586"/>
      <c r="G560" s="1586"/>
      <c r="H560" s="1586"/>
      <c r="I560" s="31"/>
      <c r="J560" s="31"/>
      <c r="K560" s="31"/>
      <c r="M560" s="1756" t="str">
        <f t="shared" si="24"/>
        <v>No</v>
      </c>
      <c r="T560" s="41"/>
    </row>
    <row r="561" spans="3:20" hidden="1" x14ac:dyDescent="0.3">
      <c r="C561" s="1472">
        <f>'Qualitative Disclosures'!C504</f>
        <v>0</v>
      </c>
      <c r="D561" s="1471">
        <f>'Qualitative Disclosures'!E504</f>
        <v>0</v>
      </c>
      <c r="E561" s="1584">
        <f>'Qualitative Disclosures'!F504</f>
        <v>0</v>
      </c>
      <c r="F561" s="1586"/>
      <c r="G561" s="1586"/>
      <c r="H561" s="1586"/>
      <c r="I561" s="31"/>
      <c r="J561" s="31"/>
      <c r="K561" s="31"/>
      <c r="M561" s="1756" t="str">
        <f t="shared" si="24"/>
        <v>No</v>
      </c>
      <c r="T561" s="41"/>
    </row>
    <row r="562" spans="3:20" hidden="1" x14ac:dyDescent="0.3">
      <c r="C562" s="1472">
        <f>'Qualitative Disclosures'!C505</f>
        <v>0</v>
      </c>
      <c r="D562" s="1471">
        <f>'Qualitative Disclosures'!E505</f>
        <v>0</v>
      </c>
      <c r="E562" s="1584">
        <f>'Qualitative Disclosures'!F505</f>
        <v>0</v>
      </c>
      <c r="F562" s="1586"/>
      <c r="G562" s="1586"/>
      <c r="H562" s="1586"/>
      <c r="I562" s="31"/>
      <c r="J562" s="31"/>
      <c r="K562" s="31"/>
      <c r="M562" s="1756" t="str">
        <f t="shared" si="24"/>
        <v>No</v>
      </c>
      <c r="T562" s="41"/>
    </row>
    <row r="563" spans="3:20" hidden="1" x14ac:dyDescent="0.3">
      <c r="C563" s="1472">
        <f>'Qualitative Disclosures'!C506</f>
        <v>0</v>
      </c>
      <c r="D563" s="1471">
        <f>'Qualitative Disclosures'!E506</f>
        <v>0</v>
      </c>
      <c r="E563" s="1584">
        <f>'Qualitative Disclosures'!F506</f>
        <v>0</v>
      </c>
      <c r="F563" s="1586"/>
      <c r="G563" s="1586"/>
      <c r="H563" s="1586"/>
      <c r="I563" s="31"/>
      <c r="J563" s="31"/>
      <c r="K563" s="31"/>
      <c r="M563" s="1756" t="str">
        <f t="shared" si="24"/>
        <v>No</v>
      </c>
      <c r="T563" s="41"/>
    </row>
    <row r="564" spans="3:20" hidden="1" x14ac:dyDescent="0.3">
      <c r="C564" s="1475" t="s">
        <v>35</v>
      </c>
      <c r="D564" s="1479">
        <f>SUM(D552:D563)</f>
        <v>0</v>
      </c>
      <c r="E564" s="1585">
        <f>SUM(E552:E563)</f>
        <v>0</v>
      </c>
      <c r="F564" s="1586"/>
      <c r="G564" s="1586"/>
      <c r="H564" s="1586"/>
      <c r="I564" s="31"/>
      <c r="J564" s="31"/>
      <c r="K564" s="31"/>
      <c r="M564" s="1756" t="str">
        <f t="shared" si="24"/>
        <v>No</v>
      </c>
      <c r="T564" s="41"/>
    </row>
    <row r="565" spans="3:20" hidden="1" x14ac:dyDescent="0.3">
      <c r="C565" s="31"/>
      <c r="D565" s="31"/>
      <c r="E565" s="1586"/>
      <c r="F565" s="1586"/>
      <c r="G565" s="1586"/>
      <c r="H565" s="1586"/>
      <c r="I565" s="31"/>
      <c r="J565" s="31"/>
      <c r="K565" s="31"/>
      <c r="L565" s="31"/>
      <c r="M565" s="1756" t="str">
        <f>M551</f>
        <v>No</v>
      </c>
    </row>
    <row r="566" spans="3:20" ht="14.45" hidden="1" customHeight="1" x14ac:dyDescent="0.3">
      <c r="C566" s="962" t="str">
        <f>+"("&amp;N566&amp;") "&amp;O566</f>
        <v>(i) The Company has defaulted in repayment of loans and interest in respect of the following:</v>
      </c>
      <c r="D566" s="956"/>
      <c r="E566" s="1587"/>
      <c r="F566" s="1587"/>
      <c r="G566" s="1587"/>
      <c r="H566" s="1587"/>
      <c r="I566" s="31"/>
      <c r="J566" s="31"/>
      <c r="K566" s="31"/>
      <c r="M566" s="1756" t="str">
        <f>M567</f>
        <v>No</v>
      </c>
      <c r="N566" s="225" t="str">
        <f>+IF(M550="Yes",LOWER(ROMAN(_xlfn.ARABIC(N550)+1)),N550)</f>
        <v>i</v>
      </c>
      <c r="O566" s="1" t="s">
        <v>1865</v>
      </c>
    </row>
    <row r="567" spans="3:20" ht="14.45" hidden="1" customHeight="1" x14ac:dyDescent="0.3">
      <c r="C567" s="2801" t="s">
        <v>20</v>
      </c>
      <c r="D567" s="2801" t="s">
        <v>177</v>
      </c>
      <c r="E567" s="2800" t="str">
        <f>BSCY</f>
        <v>As At 31st March 2025</v>
      </c>
      <c r="F567" s="2801"/>
      <c r="G567" s="2800" t="str">
        <f>BSPY</f>
        <v>As At 31st March 2024</v>
      </c>
      <c r="H567" s="2801"/>
      <c r="I567" s="3"/>
      <c r="J567" s="3"/>
      <c r="K567" s="3"/>
      <c r="M567" s="1756" t="str">
        <f>M568</f>
        <v>No</v>
      </c>
    </row>
    <row r="568" spans="3:20" hidden="1" x14ac:dyDescent="0.3">
      <c r="C568" s="2802"/>
      <c r="D568" s="2802"/>
      <c r="E568" s="1588" t="s">
        <v>825</v>
      </c>
      <c r="F568" s="1588" t="s">
        <v>826</v>
      </c>
      <c r="G568" s="1588" t="s">
        <v>825</v>
      </c>
      <c r="H568" s="1588" t="s">
        <v>826</v>
      </c>
      <c r="I568" s="131"/>
      <c r="J568" s="131"/>
      <c r="K568" s="131"/>
      <c r="M568" s="1756" t="str">
        <f>M589</f>
        <v>No</v>
      </c>
    </row>
    <row r="569" spans="3:20" hidden="1" x14ac:dyDescent="0.3">
      <c r="C569" s="1468" t="str">
        <f>'Qualitative Disclosures'!C513</f>
        <v>Loans from banks</v>
      </c>
      <c r="D569" s="1471"/>
      <c r="E569" s="1584"/>
      <c r="F569" s="1584"/>
      <c r="G569" s="1584"/>
      <c r="H569" s="1584"/>
      <c r="I569" s="131"/>
      <c r="J569" s="131"/>
      <c r="K569" s="131"/>
      <c r="M569" s="1756" t="str">
        <f>M572</f>
        <v>No</v>
      </c>
    </row>
    <row r="570" spans="3:20" hidden="1" x14ac:dyDescent="0.3">
      <c r="C570" s="1480" t="str">
        <f>'Qualitative Disclosures'!C514</f>
        <v>Principal</v>
      </c>
      <c r="D570" s="1471">
        <f>'Qualitative Disclosures'!D514</f>
        <v>0</v>
      </c>
      <c r="E570" s="1584">
        <f>'Qualitative Disclosures'!E514</f>
        <v>0</v>
      </c>
      <c r="F570" s="1584">
        <f>'Qualitative Disclosures'!F514</f>
        <v>0</v>
      </c>
      <c r="G570" s="1584">
        <f>'Qualitative Disclosures'!G514</f>
        <v>0</v>
      </c>
      <c r="H570" s="1584">
        <f>'Qualitative Disclosures'!H514</f>
        <v>0</v>
      </c>
      <c r="I570" s="31"/>
      <c r="J570" s="31"/>
      <c r="K570" s="31"/>
      <c r="M570" s="1756" t="str">
        <f t="shared" ref="M570:M589" si="25">IF(AND(E570=0,F570=0,G570=0,H570=0),"No","Yes")</f>
        <v>No</v>
      </c>
    </row>
    <row r="571" spans="3:20" hidden="1" x14ac:dyDescent="0.3">
      <c r="C571" s="1480" t="str">
        <f>'Qualitative Disclosures'!C515</f>
        <v>Interest</v>
      </c>
      <c r="D571" s="1471">
        <f>'Qualitative Disclosures'!D515</f>
        <v>0</v>
      </c>
      <c r="E571" s="1584">
        <f>'Qualitative Disclosures'!E515</f>
        <v>0</v>
      </c>
      <c r="F571" s="1584">
        <f>'Qualitative Disclosures'!F515</f>
        <v>0</v>
      </c>
      <c r="G571" s="1584">
        <f>'Qualitative Disclosures'!G515</f>
        <v>0</v>
      </c>
      <c r="H571" s="1584">
        <f>'Qualitative Disclosures'!H515</f>
        <v>0</v>
      </c>
      <c r="I571" s="31"/>
      <c r="J571" s="31"/>
      <c r="K571" s="31"/>
      <c r="M571" s="1756" t="str">
        <f t="shared" si="25"/>
        <v>No</v>
      </c>
    </row>
    <row r="572" spans="3:20" hidden="1" x14ac:dyDescent="0.3">
      <c r="C572" s="1468"/>
      <c r="D572" s="1471">
        <f>'Qualitative Disclosures'!D516</f>
        <v>0</v>
      </c>
      <c r="E572" s="1584">
        <f>SUM(E570:E571)</f>
        <v>0</v>
      </c>
      <c r="F572" s="1584">
        <f>SUM(F570:F571)</f>
        <v>0</v>
      </c>
      <c r="G572" s="1584">
        <f>SUM(G570:G571)</f>
        <v>0</v>
      </c>
      <c r="H572" s="1584">
        <f>SUM(H570:H571)</f>
        <v>0</v>
      </c>
      <c r="I572" s="31"/>
      <c r="J572" s="31"/>
      <c r="K572" s="31"/>
      <c r="M572" s="1756" t="str">
        <f t="shared" si="25"/>
        <v>No</v>
      </c>
    </row>
    <row r="573" spans="3:20" hidden="1" x14ac:dyDescent="0.3">
      <c r="C573" s="1468" t="str">
        <f>'Qualitative Disclosures'!C517</f>
        <v>Others (XYZ)</v>
      </c>
      <c r="D573" s="1454">
        <f>'Qualitative Disclosures'!D517</f>
        <v>0</v>
      </c>
      <c r="E573" s="1580"/>
      <c r="F573" s="1580"/>
      <c r="G573" s="1580"/>
      <c r="H573" s="1580"/>
      <c r="I573" s="31"/>
      <c r="J573" s="31"/>
      <c r="K573" s="31"/>
      <c r="M573" s="1756" t="str">
        <f>M576</f>
        <v>No</v>
      </c>
    </row>
    <row r="574" spans="3:20" hidden="1" x14ac:dyDescent="0.3">
      <c r="C574" s="1480" t="str">
        <f>'Qualitative Disclosures'!C518</f>
        <v>Principal</v>
      </c>
      <c r="D574" s="1454">
        <f>'Qualitative Disclosures'!D518</f>
        <v>0</v>
      </c>
      <c r="E574" s="1580">
        <f>'Qualitative Disclosures'!E518</f>
        <v>0</v>
      </c>
      <c r="F574" s="1580">
        <f>'Qualitative Disclosures'!F518</f>
        <v>0</v>
      </c>
      <c r="G574" s="1580">
        <f>'Qualitative Disclosures'!G518</f>
        <v>0</v>
      </c>
      <c r="H574" s="1580">
        <f>'Qualitative Disclosures'!H518</f>
        <v>0</v>
      </c>
      <c r="M574" s="1756" t="str">
        <f t="shared" si="25"/>
        <v>No</v>
      </c>
    </row>
    <row r="575" spans="3:20" hidden="1" x14ac:dyDescent="0.3">
      <c r="C575" s="1480" t="str">
        <f>'Qualitative Disclosures'!C519</f>
        <v>Interest</v>
      </c>
      <c r="D575" s="1454">
        <f>'Qualitative Disclosures'!D519</f>
        <v>0</v>
      </c>
      <c r="E575" s="1584">
        <f>'Qualitative Disclosures'!E519</f>
        <v>0</v>
      </c>
      <c r="F575" s="1584">
        <f>'Qualitative Disclosures'!F519</f>
        <v>0</v>
      </c>
      <c r="G575" s="1584">
        <f>'Qualitative Disclosures'!G519</f>
        <v>0</v>
      </c>
      <c r="H575" s="1584">
        <f>'Qualitative Disclosures'!H519</f>
        <v>0</v>
      </c>
      <c r="M575" s="1756" t="str">
        <f t="shared" si="25"/>
        <v>No</v>
      </c>
    </row>
    <row r="576" spans="3:20" hidden="1" x14ac:dyDescent="0.25">
      <c r="C576" s="1468"/>
      <c r="D576" s="1454">
        <f>'Qualitative Disclosures'!D520</f>
        <v>0</v>
      </c>
      <c r="E576" s="1584">
        <f>SUM(E574:E575)</f>
        <v>0</v>
      </c>
      <c r="F576" s="1584">
        <f>SUM(F574:F575)</f>
        <v>0</v>
      </c>
      <c r="G576" s="1584">
        <f>SUM(G574:G575)</f>
        <v>0</v>
      </c>
      <c r="H576" s="1584">
        <f>SUM(H574:H575)</f>
        <v>0</v>
      </c>
      <c r="M576" s="1756" t="str">
        <f t="shared" si="25"/>
        <v>No</v>
      </c>
      <c r="N576" s="41"/>
      <c r="O576" s="41"/>
      <c r="P576" s="41"/>
      <c r="Q576" s="41"/>
      <c r="R576" s="41"/>
      <c r="S576" s="41"/>
      <c r="T576" s="41"/>
    </row>
    <row r="577" spans="3:20" hidden="1" x14ac:dyDescent="0.25">
      <c r="C577" s="1468" t="str">
        <f>'Qualitative Disclosures'!C521</f>
        <v>Others (XYZ)</v>
      </c>
      <c r="D577" s="1454">
        <f>'Qualitative Disclosures'!D521</f>
        <v>0</v>
      </c>
      <c r="E577" s="1580"/>
      <c r="F577" s="1580"/>
      <c r="G577" s="1580"/>
      <c r="H577" s="1580"/>
      <c r="M577" s="1756" t="str">
        <f>M580</f>
        <v>No</v>
      </c>
      <c r="N577" s="41"/>
      <c r="O577" s="41"/>
      <c r="P577" s="41"/>
      <c r="Q577" s="41"/>
      <c r="R577" s="41"/>
      <c r="S577" s="41"/>
      <c r="T577" s="41"/>
    </row>
    <row r="578" spans="3:20" hidden="1" x14ac:dyDescent="0.25">
      <c r="C578" s="1480" t="str">
        <f>'Qualitative Disclosures'!C522</f>
        <v>Principal</v>
      </c>
      <c r="D578" s="1454">
        <f>'Qualitative Disclosures'!D522</f>
        <v>0</v>
      </c>
      <c r="E578" s="1580">
        <f>'Qualitative Disclosures'!E522</f>
        <v>0</v>
      </c>
      <c r="F578" s="1580">
        <f>'Qualitative Disclosures'!F522</f>
        <v>0</v>
      </c>
      <c r="G578" s="1580">
        <f>'Qualitative Disclosures'!G522</f>
        <v>0</v>
      </c>
      <c r="H578" s="1580">
        <f>'Qualitative Disclosures'!H522</f>
        <v>0</v>
      </c>
      <c r="M578" s="1756" t="str">
        <f t="shared" si="25"/>
        <v>No</v>
      </c>
      <c r="N578" s="41"/>
      <c r="O578" s="41"/>
      <c r="P578" s="41"/>
      <c r="Q578" s="41"/>
      <c r="R578" s="41"/>
      <c r="S578" s="41"/>
      <c r="T578" s="41"/>
    </row>
    <row r="579" spans="3:20" hidden="1" x14ac:dyDescent="0.25">
      <c r="C579" s="1480" t="str">
        <f>'Qualitative Disclosures'!C523</f>
        <v>Interest</v>
      </c>
      <c r="D579" s="1454">
        <f>'Qualitative Disclosures'!D523</f>
        <v>0</v>
      </c>
      <c r="E579" s="1584">
        <f>'Qualitative Disclosures'!E523</f>
        <v>0</v>
      </c>
      <c r="F579" s="1584">
        <f>'Qualitative Disclosures'!F523</f>
        <v>0</v>
      </c>
      <c r="G579" s="1584">
        <f>'Qualitative Disclosures'!G523</f>
        <v>0</v>
      </c>
      <c r="H579" s="1584">
        <f>'Qualitative Disclosures'!H523</f>
        <v>0</v>
      </c>
      <c r="M579" s="1756" t="str">
        <f t="shared" si="25"/>
        <v>No</v>
      </c>
      <c r="N579" s="41"/>
      <c r="O579" s="41"/>
      <c r="P579" s="41"/>
      <c r="Q579" s="41"/>
      <c r="R579" s="41"/>
      <c r="S579" s="41"/>
      <c r="T579" s="41"/>
    </row>
    <row r="580" spans="3:20" hidden="1" x14ac:dyDescent="0.25">
      <c r="C580" s="1468"/>
      <c r="D580" s="1454">
        <f>'Qualitative Disclosures'!D524</f>
        <v>0</v>
      </c>
      <c r="E580" s="1584">
        <f>SUM(E578:E579)</f>
        <v>0</v>
      </c>
      <c r="F580" s="1584">
        <f>SUM(F578:F579)</f>
        <v>0</v>
      </c>
      <c r="G580" s="1584">
        <f>SUM(G578:G579)</f>
        <v>0</v>
      </c>
      <c r="H580" s="1584">
        <f>SUM(H578:H579)</f>
        <v>0</v>
      </c>
      <c r="M580" s="1756" t="str">
        <f t="shared" si="25"/>
        <v>No</v>
      </c>
      <c r="N580" s="41"/>
      <c r="O580" s="41"/>
      <c r="P580" s="41"/>
      <c r="Q580" s="41"/>
      <c r="R580" s="41"/>
      <c r="S580" s="41"/>
      <c r="T580" s="41"/>
    </row>
    <row r="581" spans="3:20" hidden="1" x14ac:dyDescent="0.25">
      <c r="C581" s="1468" t="str">
        <f>'Qualitative Disclosures'!C525</f>
        <v>Others (XYZ)</v>
      </c>
      <c r="D581" s="1454">
        <f>'Qualitative Disclosures'!D525</f>
        <v>0</v>
      </c>
      <c r="E581" s="1580"/>
      <c r="F581" s="1580"/>
      <c r="G581" s="1580"/>
      <c r="H581" s="1580"/>
      <c r="M581" s="1756" t="str">
        <f>M584</f>
        <v>No</v>
      </c>
      <c r="N581" s="41"/>
      <c r="O581" s="41"/>
      <c r="P581" s="41"/>
      <c r="Q581" s="41"/>
      <c r="R581" s="41"/>
      <c r="S581" s="41"/>
      <c r="T581" s="41"/>
    </row>
    <row r="582" spans="3:20" hidden="1" x14ac:dyDescent="0.25">
      <c r="C582" s="1480" t="str">
        <f>'Qualitative Disclosures'!C526</f>
        <v>Principal</v>
      </c>
      <c r="D582" s="1454">
        <f>'Qualitative Disclosures'!D526</f>
        <v>0</v>
      </c>
      <c r="E582" s="1580">
        <f>'Qualitative Disclosures'!E526</f>
        <v>0</v>
      </c>
      <c r="F582" s="1580">
        <f>'Qualitative Disclosures'!F526</f>
        <v>0</v>
      </c>
      <c r="G582" s="1580">
        <f>'Qualitative Disclosures'!G526</f>
        <v>0</v>
      </c>
      <c r="H582" s="1580">
        <f>'Qualitative Disclosures'!H526</f>
        <v>0</v>
      </c>
      <c r="M582" s="1756" t="str">
        <f t="shared" si="25"/>
        <v>No</v>
      </c>
      <c r="N582" s="41"/>
      <c r="O582" s="41"/>
      <c r="P582" s="41"/>
      <c r="Q582" s="41"/>
      <c r="R582" s="41"/>
      <c r="S582" s="41"/>
      <c r="T582" s="41"/>
    </row>
    <row r="583" spans="3:20" hidden="1" x14ac:dyDescent="0.25">
      <c r="C583" s="1480" t="str">
        <f>'Qualitative Disclosures'!C527</f>
        <v>Interest</v>
      </c>
      <c r="D583" s="1454">
        <f>'Qualitative Disclosures'!D527</f>
        <v>0</v>
      </c>
      <c r="E583" s="1584">
        <f>'Qualitative Disclosures'!E527</f>
        <v>0</v>
      </c>
      <c r="F583" s="1584">
        <f>'Qualitative Disclosures'!F527</f>
        <v>0</v>
      </c>
      <c r="G583" s="1584">
        <f>'Qualitative Disclosures'!G527</f>
        <v>0</v>
      </c>
      <c r="H583" s="1584">
        <f>'Qualitative Disclosures'!H527</f>
        <v>0</v>
      </c>
      <c r="M583" s="1756" t="str">
        <f t="shared" si="25"/>
        <v>No</v>
      </c>
      <c r="N583" s="41"/>
      <c r="O583" s="41"/>
      <c r="P583" s="41"/>
      <c r="Q583" s="41"/>
      <c r="R583" s="41"/>
      <c r="S583" s="41"/>
      <c r="T583" s="41"/>
    </row>
    <row r="584" spans="3:20" hidden="1" x14ac:dyDescent="0.25">
      <c r="C584" s="1468"/>
      <c r="D584" s="1454">
        <f>'Qualitative Disclosures'!D528</f>
        <v>0</v>
      </c>
      <c r="E584" s="1584">
        <f>SUM(E582:E583)</f>
        <v>0</v>
      </c>
      <c r="F584" s="1584">
        <f>SUM(F582:F583)</f>
        <v>0</v>
      </c>
      <c r="G584" s="1584">
        <f>SUM(G582:G583)</f>
        <v>0</v>
      </c>
      <c r="H584" s="1584">
        <f>SUM(H582:H583)</f>
        <v>0</v>
      </c>
      <c r="M584" s="1756" t="str">
        <f t="shared" si="25"/>
        <v>No</v>
      </c>
      <c r="N584" s="41"/>
      <c r="O584" s="41"/>
      <c r="P584" s="41"/>
      <c r="Q584" s="41"/>
      <c r="R584" s="41"/>
      <c r="S584" s="41"/>
      <c r="T584" s="41"/>
    </row>
    <row r="585" spans="3:20" hidden="1" x14ac:dyDescent="0.25">
      <c r="C585" s="1468" t="str">
        <f>'Qualitative Disclosures'!C529</f>
        <v>Others (XYZ)</v>
      </c>
      <c r="D585" s="1454">
        <f>'Qualitative Disclosures'!D529</f>
        <v>0</v>
      </c>
      <c r="E585" s="1580"/>
      <c r="F585" s="1580"/>
      <c r="G585" s="1580"/>
      <c r="H585" s="1580"/>
      <c r="M585" s="1756" t="str">
        <f>M588</f>
        <v>No</v>
      </c>
      <c r="N585" s="41"/>
      <c r="O585" s="41"/>
      <c r="P585" s="41"/>
      <c r="Q585" s="41"/>
      <c r="R585" s="41"/>
      <c r="S585" s="41"/>
      <c r="T585" s="41"/>
    </row>
    <row r="586" spans="3:20" hidden="1" x14ac:dyDescent="0.25">
      <c r="C586" s="1480" t="str">
        <f>'Qualitative Disclosures'!C530</f>
        <v>Principal</v>
      </c>
      <c r="D586" s="1454">
        <f>'Qualitative Disclosures'!D530</f>
        <v>0</v>
      </c>
      <c r="E586" s="1580">
        <f>'Qualitative Disclosures'!E530</f>
        <v>0</v>
      </c>
      <c r="F586" s="1580">
        <f>'Qualitative Disclosures'!F530</f>
        <v>0</v>
      </c>
      <c r="G586" s="1580">
        <f>'Qualitative Disclosures'!G530</f>
        <v>0</v>
      </c>
      <c r="H586" s="1580">
        <f>'Qualitative Disclosures'!H530</f>
        <v>0</v>
      </c>
      <c r="M586" s="1756" t="str">
        <f t="shared" si="25"/>
        <v>No</v>
      </c>
      <c r="N586" s="41"/>
      <c r="O586" s="41"/>
      <c r="P586" s="41"/>
      <c r="Q586" s="41"/>
      <c r="R586" s="41"/>
      <c r="S586" s="41"/>
      <c r="T586" s="41"/>
    </row>
    <row r="587" spans="3:20" hidden="1" x14ac:dyDescent="0.25">
      <c r="C587" s="1480" t="str">
        <f>'Qualitative Disclosures'!C531</f>
        <v>Interest</v>
      </c>
      <c r="D587" s="1454">
        <f>'Qualitative Disclosures'!D531</f>
        <v>0</v>
      </c>
      <c r="E587" s="1584">
        <f>'Qualitative Disclosures'!E531</f>
        <v>0</v>
      </c>
      <c r="F587" s="1584">
        <f>'Qualitative Disclosures'!F531</f>
        <v>0</v>
      </c>
      <c r="G587" s="1584">
        <f>'Qualitative Disclosures'!G531</f>
        <v>0</v>
      </c>
      <c r="H587" s="1584">
        <f>'Qualitative Disclosures'!H531</f>
        <v>0</v>
      </c>
      <c r="M587" s="1756" t="str">
        <f t="shared" si="25"/>
        <v>No</v>
      </c>
      <c r="N587" s="41"/>
      <c r="O587" s="41"/>
      <c r="P587" s="41"/>
      <c r="Q587" s="41"/>
      <c r="R587" s="41"/>
      <c r="S587" s="41"/>
      <c r="T587" s="41"/>
    </row>
    <row r="588" spans="3:20" hidden="1" x14ac:dyDescent="0.25">
      <c r="C588" s="1480"/>
      <c r="D588" s="1454">
        <f>'Qualitative Disclosures'!D532</f>
        <v>0</v>
      </c>
      <c r="E588" s="1584">
        <f>SUM(E586:E587)</f>
        <v>0</v>
      </c>
      <c r="F588" s="1584">
        <f>SUM(F586:F587)</f>
        <v>0</v>
      </c>
      <c r="G588" s="1584">
        <f>SUM(G586:G587)</f>
        <v>0</v>
      </c>
      <c r="H588" s="1584">
        <f>SUM(H586:H587)</f>
        <v>0</v>
      </c>
      <c r="M588" s="1756" t="str">
        <f>IF(AND(E588=0,F588=0,G588=0,H588=0),"No","Yes")</f>
        <v>No</v>
      </c>
      <c r="N588" s="41"/>
      <c r="O588" s="41"/>
      <c r="P588" s="41"/>
      <c r="Q588" s="41"/>
      <c r="R588" s="41"/>
      <c r="S588" s="41"/>
      <c r="T588" s="41"/>
    </row>
    <row r="589" spans="3:20" hidden="1" x14ac:dyDescent="0.25">
      <c r="C589" s="1909" t="s">
        <v>35</v>
      </c>
      <c r="D589" s="1831"/>
      <c r="E589" s="1588">
        <f>+E588+E584+E580+E576+E572</f>
        <v>0</v>
      </c>
      <c r="F589" s="1588">
        <f>+F588+F584+F580+F576+F572</f>
        <v>0</v>
      </c>
      <c r="G589" s="1588">
        <f>+G588+G584+G580+G576+G572</f>
        <v>0</v>
      </c>
      <c r="H589" s="1588">
        <f>+H588+H584+H580+H576+H572</f>
        <v>0</v>
      </c>
      <c r="M589" s="1756" t="str">
        <f t="shared" si="25"/>
        <v>No</v>
      </c>
      <c r="N589" s="41"/>
      <c r="O589" s="41"/>
      <c r="P589" s="41"/>
      <c r="Q589" s="41"/>
      <c r="R589" s="41"/>
      <c r="S589" s="41"/>
      <c r="T589" s="41"/>
    </row>
    <row r="590" spans="3:20" hidden="1" x14ac:dyDescent="0.25">
      <c r="C590" s="565"/>
      <c r="M590" s="1756" t="e">
        <f>+M591</f>
        <v>#REF!</v>
      </c>
      <c r="N590" s="41"/>
      <c r="O590" s="41"/>
      <c r="P590" s="41"/>
      <c r="Q590" s="41"/>
      <c r="R590" s="41"/>
      <c r="S590" s="41"/>
      <c r="T590" s="41"/>
    </row>
    <row r="591" spans="3:20" hidden="1" x14ac:dyDescent="0.25">
      <c r="C591" s="41"/>
      <c r="D591" s="41"/>
      <c r="E591" s="841"/>
      <c r="F591" s="841"/>
      <c r="G591" s="841"/>
      <c r="H591" s="841"/>
      <c r="M591" s="1756" t="e">
        <f>+#REF!</f>
        <v>#REF!</v>
      </c>
      <c r="N591" s="41"/>
      <c r="O591" s="41"/>
      <c r="P591" s="41"/>
      <c r="Q591" s="41"/>
      <c r="R591" s="41"/>
      <c r="S591" s="41"/>
      <c r="T591" s="41"/>
    </row>
    <row r="592" spans="3:20" hidden="1" x14ac:dyDescent="0.25">
      <c r="I592" s="81"/>
      <c r="J592" s="81"/>
      <c r="M592" s="1756" t="str">
        <f>+M593</f>
        <v>No</v>
      </c>
      <c r="N592" s="41"/>
      <c r="O592" s="41"/>
      <c r="P592" s="41"/>
      <c r="Q592" s="41"/>
      <c r="R592" s="41"/>
      <c r="S592" s="41"/>
      <c r="T592" s="41"/>
    </row>
    <row r="593" spans="3:20" hidden="1" x14ac:dyDescent="0.25">
      <c r="C593" s="42" t="str">
        <f>+"Note "&amp;'Balance Sheet'!E26&amp;": Other Long-term Liabilities"</f>
        <v>Note 4: Other Long-term Liabilities</v>
      </c>
      <c r="D593" s="42"/>
      <c r="E593" s="1510"/>
      <c r="I593" s="81"/>
      <c r="J593" s="81"/>
      <c r="M593" s="1756" t="str">
        <f>$M$606</f>
        <v>No</v>
      </c>
      <c r="N593" s="41"/>
      <c r="O593" s="41"/>
      <c r="P593" s="41"/>
      <c r="Q593" s="41"/>
      <c r="R593" s="41"/>
      <c r="S593" s="41"/>
      <c r="T593" s="41"/>
    </row>
    <row r="594" spans="3:20" hidden="1" x14ac:dyDescent="0.25">
      <c r="C594" s="17"/>
      <c r="D594" s="17"/>
      <c r="E594" s="1522"/>
      <c r="M594" s="1756" t="str">
        <f>$M$606</f>
        <v>No</v>
      </c>
      <c r="N594" s="41"/>
      <c r="O594" s="41"/>
      <c r="P594" s="41"/>
      <c r="Q594" s="41"/>
      <c r="R594" s="41"/>
      <c r="S594" s="41"/>
      <c r="T594" s="41"/>
    </row>
    <row r="595" spans="3:20" ht="30" hidden="1" x14ac:dyDescent="0.25">
      <c r="C595" s="2750" t="s">
        <v>20</v>
      </c>
      <c r="D595" s="2751"/>
      <c r="E595" s="1385" t="str">
        <f>BSCY</f>
        <v>As At 31st March 2025</v>
      </c>
      <c r="F595" s="1385" t="str">
        <f>BSPY</f>
        <v>As At 31st March 2024</v>
      </c>
      <c r="I595" s="81"/>
      <c r="J595" s="81"/>
      <c r="M595" s="1756" t="str">
        <f>$M$606</f>
        <v>No</v>
      </c>
      <c r="N595" s="41"/>
      <c r="O595" s="41"/>
      <c r="P595" s="41"/>
      <c r="Q595" s="41"/>
      <c r="R595" s="41"/>
      <c r="S595" s="41"/>
      <c r="T595" s="41"/>
    </row>
    <row r="596" spans="3:20" hidden="1" x14ac:dyDescent="0.25">
      <c r="C596" s="468" t="str">
        <f>IF(M596="No","(a) Payables on purchase of fixed assets","(a) Payables on purchase of fixed assets")</f>
        <v>(a) Payables on purchase of fixed assets</v>
      </c>
      <c r="D596" s="469"/>
      <c r="E596" s="845">
        <f>SUMIFS('Master TB'!$J:$J,'Master TB'!$E:$E,Liabilities!K596)</f>
        <v>0</v>
      </c>
      <c r="F596" s="845">
        <f>SUMIFS('Master TB'!$V:$V,'Master TB'!$E:$E,Liabilities!$K596)</f>
        <v>0</v>
      </c>
      <c r="I596" s="81"/>
      <c r="J596" s="81"/>
      <c r="K596" s="41" t="s">
        <v>1242</v>
      </c>
      <c r="M596" s="1756" t="str">
        <f t="shared" ref="M596:M606" si="26">IF(AND(E596=0,F596=0),"No","Yes")</f>
        <v>No</v>
      </c>
      <c r="N596" s="41"/>
      <c r="O596" s="41"/>
      <c r="P596" s="41"/>
      <c r="Q596" s="41"/>
      <c r="R596" s="41"/>
      <c r="S596" s="41"/>
      <c r="T596" s="41"/>
    </row>
    <row r="597" spans="3:20" ht="14.45" hidden="1" customHeight="1" x14ac:dyDescent="0.25">
      <c r="C597" s="445" t="str">
        <f>IF(M596="Yes","("&amp; CHAR(CODE(MID(C596,2,3))+1)&amp;")  Contractually reimbursable expenses","(" &amp; MID(C596,2,3)&amp; "Contractually reimbursable expenses")</f>
        <v>(a) Contractually reimbursable expenses</v>
      </c>
      <c r="D597" s="470"/>
      <c r="E597" s="845">
        <f>SUMIFS('Master TB'!$J:$J,'Master TB'!$E:$E,Liabilities!K597)</f>
        <v>0</v>
      </c>
      <c r="F597" s="845">
        <f>SUMIFS('Master TB'!$V:$V,'Master TB'!$E:$E,Liabilities!$K597)</f>
        <v>0</v>
      </c>
      <c r="I597" s="81"/>
      <c r="J597" s="81"/>
      <c r="K597" s="41" t="s">
        <v>1243</v>
      </c>
      <c r="M597" s="1756" t="str">
        <f t="shared" si="26"/>
        <v>No</v>
      </c>
      <c r="N597" s="41"/>
      <c r="O597" s="41"/>
      <c r="P597" s="41"/>
      <c r="Q597" s="41"/>
      <c r="R597" s="41"/>
      <c r="S597" s="41"/>
      <c r="T597" s="41"/>
    </row>
    <row r="598" spans="3:20" ht="14.45" hidden="1" customHeight="1" x14ac:dyDescent="0.25">
      <c r="C598" s="445" t="str">
        <f>IF(M597="Yes","("&amp; CHAR(CODE(MID(C597,2,3))+1)&amp;")  Interest accrued but not due on borrowings","(" &amp; MID(C597,2,3)&amp; "Interest accrued but not due on borrowings")</f>
        <v>(a) Interest accrued but not due on borrowings</v>
      </c>
      <c r="D598" s="471"/>
      <c r="E598" s="845">
        <f>SUMIFS('Master TB'!$J:$J,'Master TB'!$E:$E,Liabilities!K598)</f>
        <v>0</v>
      </c>
      <c r="F598" s="845">
        <f>SUMIFS('Master TB'!$V:$V,'Master TB'!$E:$E,Liabilities!$K598)</f>
        <v>0</v>
      </c>
      <c r="I598" s="81"/>
      <c r="J598" s="81"/>
      <c r="K598" s="41" t="s">
        <v>1244</v>
      </c>
      <c r="M598" s="1756" t="str">
        <f t="shared" si="26"/>
        <v>No</v>
      </c>
      <c r="N598" s="41"/>
      <c r="O598" s="41"/>
      <c r="P598" s="41"/>
      <c r="Q598" s="41"/>
      <c r="R598" s="41"/>
      <c r="S598" s="41"/>
      <c r="T598" s="41"/>
    </row>
    <row r="599" spans="3:20" hidden="1" x14ac:dyDescent="0.25">
      <c r="C599" s="445" t="str">
        <f>IF(M598="Yes","("&amp; CHAR(CODE(MID(C598,2,3))+1)&amp;")  Interest accrued on trade payables","(" &amp; MID(C598,2,3)&amp; "Interest accrued on trade payables")</f>
        <v>(a) Interest accrued on trade payables</v>
      </c>
      <c r="D599" s="470"/>
      <c r="E599" s="845">
        <f>SUMIFS('Master TB'!$J:$J,'Master TB'!$E:$E,Liabilities!K599)</f>
        <v>0</v>
      </c>
      <c r="F599" s="845">
        <f>SUMIFS('Master TB'!$V:$V,'Master TB'!$E:$E,Liabilities!$K599)</f>
        <v>0</v>
      </c>
      <c r="I599" s="81"/>
      <c r="J599" s="81"/>
      <c r="K599" s="41" t="s">
        <v>1245</v>
      </c>
      <c r="M599" s="1756" t="str">
        <f t="shared" si="26"/>
        <v>No</v>
      </c>
      <c r="N599" s="41"/>
      <c r="O599" s="41"/>
      <c r="P599" s="41"/>
      <c r="Q599" s="41"/>
      <c r="R599" s="41"/>
      <c r="S599" s="41"/>
      <c r="T599" s="41"/>
    </row>
    <row r="600" spans="3:20" hidden="1" x14ac:dyDescent="0.25">
      <c r="C600" s="445" t="str">
        <f>IF(M599="Yes","("&amp; CHAR(CODE(MID(C599,2,3))+1)&amp;")  Interest accrued on others","(" &amp; MID(C599,2,3)&amp; "Interest accrued on others")</f>
        <v>(a) Interest accrued on others</v>
      </c>
      <c r="D600" s="470"/>
      <c r="E600" s="845">
        <f>SUMIFS('Master TB'!$J:$J,'Master TB'!$E:$E,Liabilities!K600)</f>
        <v>0</v>
      </c>
      <c r="F600" s="845">
        <f>SUMIFS('Master TB'!$V:$V,'Master TB'!$E:$E,Liabilities!$K600)</f>
        <v>0</v>
      </c>
      <c r="I600" s="81"/>
      <c r="J600" s="81"/>
      <c r="K600" s="41" t="s">
        <v>1246</v>
      </c>
      <c r="M600" s="1756" t="str">
        <f t="shared" si="26"/>
        <v>No</v>
      </c>
      <c r="N600" s="41"/>
      <c r="O600" s="41"/>
      <c r="P600" s="41"/>
      <c r="Q600" s="41"/>
      <c r="R600" s="41"/>
      <c r="S600" s="41"/>
      <c r="T600" s="41"/>
    </row>
    <row r="601" spans="3:20" hidden="1" x14ac:dyDescent="0.25">
      <c r="C601" s="445" t="str">
        <f>IF(M600="Yes","("&amp; CHAR(CODE(MID(C600,2,3))+1)&amp;")  Security Deposits received","(" &amp; MID(C600,2,3)&amp; "Security Deposits received")</f>
        <v>(a) Security Deposits received</v>
      </c>
      <c r="D601" s="470"/>
      <c r="E601" s="845">
        <f>SUMIFS('Master TB'!$J:$J,'Master TB'!$E:$E,Liabilities!K601)</f>
        <v>0</v>
      </c>
      <c r="F601" s="845">
        <f>SUMIFS('Master TB'!$V:$V,'Master TB'!$E:$E,Liabilities!$K601)</f>
        <v>0</v>
      </c>
      <c r="I601" s="81"/>
      <c r="J601" s="81"/>
      <c r="K601" s="41" t="s">
        <v>1247</v>
      </c>
      <c r="M601" s="1756" t="str">
        <f t="shared" si="26"/>
        <v>No</v>
      </c>
      <c r="N601" s="41"/>
      <c r="O601" s="41"/>
      <c r="P601" s="41"/>
      <c r="Q601" s="41"/>
      <c r="R601" s="41"/>
      <c r="S601" s="41"/>
      <c r="T601" s="41"/>
    </row>
    <row r="602" spans="3:20" hidden="1" x14ac:dyDescent="0.3">
      <c r="C602" s="445" t="str">
        <f>IF(M601="Yes","("&amp; CHAR(CODE(MID(C601,2,3))+1)&amp;")  Advances from customers","(" &amp; MID(C601,2,3)&amp; "Advances from customers")</f>
        <v>(a) Advances from customers</v>
      </c>
      <c r="D602" s="470"/>
      <c r="E602" s="845">
        <f>SUMIFS('Master TB'!$J:$J,'Master TB'!$E:$E,Liabilities!K602)</f>
        <v>0</v>
      </c>
      <c r="F602" s="845">
        <f>SUMIFS('Master TB'!$V:$V,'Master TB'!$E:$E,Liabilities!$K602)</f>
        <v>0</v>
      </c>
      <c r="I602" s="81"/>
      <c r="J602" s="81"/>
      <c r="K602" s="41" t="s">
        <v>1248</v>
      </c>
      <c r="M602" s="1756" t="str">
        <f t="shared" si="26"/>
        <v>No</v>
      </c>
    </row>
    <row r="603" spans="3:20" hidden="1" x14ac:dyDescent="0.3">
      <c r="C603" s="445" t="str">
        <f>IF(M602="Yes","("&amp; CHAR(CODE(MID(C602,2,3))+1)&amp;")  Income received in advance (Unearned revenue)","(" &amp; MID(C602,2,3)&amp; "Income received in advance (Unearned revenue)")</f>
        <v>(a) Income received in advance (Unearned revenue)</v>
      </c>
      <c r="D603" s="471"/>
      <c r="E603" s="845">
        <f>-SUMIFS('Master TB'!$J:$J,'Master TB'!$E:$E,Liabilities!K603)</f>
        <v>0</v>
      </c>
      <c r="F603" s="845">
        <f>SUMIFS('Master TB'!$V:$V,'Master TB'!$E:$E,Liabilities!$K603)</f>
        <v>0</v>
      </c>
      <c r="I603" s="81"/>
      <c r="J603" s="81"/>
      <c r="K603" s="41" t="s">
        <v>1249</v>
      </c>
      <c r="M603" s="1756" t="str">
        <f t="shared" si="26"/>
        <v>No</v>
      </c>
    </row>
    <row r="604" spans="3:20" hidden="1" x14ac:dyDescent="0.3">
      <c r="C604" s="445" t="str">
        <f>IF(M603="Yes","("&amp; CHAR(CODE(MID(C603,2,3))+1)&amp;")  Others","(" &amp; MID(C603,2,3)&amp; "Others")</f>
        <v>(a) Others</v>
      </c>
      <c r="D604" s="470"/>
      <c r="E604" s="845">
        <f>SUMIFS('Master TB'!$J:$J,'Master TB'!$E:$E,Liabilities!K604)</f>
        <v>0</v>
      </c>
      <c r="F604" s="845">
        <f>SUMIFS('Master TB'!$V:$V,'Master TB'!$E:$E,Liabilities!$K604)</f>
        <v>0</v>
      </c>
      <c r="I604" s="81"/>
      <c r="J604" s="81"/>
      <c r="K604" s="41" t="s">
        <v>1250</v>
      </c>
      <c r="M604" s="1756" t="str">
        <f t="shared" si="26"/>
        <v>No</v>
      </c>
    </row>
    <row r="605" spans="3:20" hidden="1" x14ac:dyDescent="0.3">
      <c r="C605" s="465"/>
      <c r="D605" s="26"/>
      <c r="E605" s="1197"/>
      <c r="F605" s="1195"/>
      <c r="I605" s="81"/>
      <c r="J605" s="81"/>
      <c r="M605" s="1756" t="str">
        <f>M606</f>
        <v>No</v>
      </c>
    </row>
    <row r="606" spans="3:20" hidden="1" x14ac:dyDescent="0.3">
      <c r="C606" s="466"/>
      <c r="D606" s="472" t="s">
        <v>35</v>
      </c>
      <c r="E606" s="1590">
        <f>SUM(E596:E604)</f>
        <v>0</v>
      </c>
      <c r="F606" s="1590">
        <f>SUM(F596:F604)</f>
        <v>0</v>
      </c>
      <c r="I606" s="81"/>
      <c r="J606" s="81"/>
      <c r="M606" s="1756" t="str">
        <f t="shared" si="26"/>
        <v>No</v>
      </c>
    </row>
    <row r="607" spans="3:20" hidden="1" x14ac:dyDescent="0.3">
      <c r="C607" s="510"/>
      <c r="D607" s="510"/>
      <c r="E607" s="1591"/>
      <c r="F607" s="1591"/>
      <c r="I607" s="81"/>
      <c r="J607" s="81"/>
      <c r="M607" s="1756" t="str">
        <f>M606</f>
        <v>No</v>
      </c>
    </row>
    <row r="608" spans="3:20" hidden="1" x14ac:dyDescent="0.3">
      <c r="C608" s="1494" t="str">
        <f>+IF(Footnotes!C41="","",Footnotes!C41)</f>
        <v/>
      </c>
      <c r="D608" s="1494" t="str">
        <f>+IF(Footnotes!D41="","",Footnotes!D41)</f>
        <v/>
      </c>
      <c r="E608" s="1592" t="str">
        <f>+IF(Footnotes!E41="","",Footnotes!E41)</f>
        <v/>
      </c>
      <c r="F608" s="1592" t="str">
        <f>+IF(Footnotes!F41="","",Footnotes!F41)</f>
        <v/>
      </c>
      <c r="G608" s="1593" t="str">
        <f>+IF(Footnotes!G41="","",Footnotes!G41)</f>
        <v/>
      </c>
      <c r="H608" s="1593" t="str">
        <f>+IF(Footnotes!H41="","",Footnotes!H41)</f>
        <v/>
      </c>
      <c r="I608" s="1493" t="str">
        <f>+IF(Footnotes!I41="","",Footnotes!I41)</f>
        <v/>
      </c>
      <c r="J608" s="81"/>
      <c r="M608" s="1756" t="str">
        <f t="shared" ref="M608:M613" si="27">+IF(AND(C608="",D608="",E608="",F608="",G608="",H608="",I608=""),"No","Yes")</f>
        <v>No</v>
      </c>
    </row>
    <row r="609" spans="3:20" hidden="1" x14ac:dyDescent="0.3">
      <c r="C609" s="1494" t="str">
        <f>+IF(Footnotes!C42="","",Footnotes!C42)</f>
        <v/>
      </c>
      <c r="D609" s="1494" t="str">
        <f>+IF(Footnotes!D42="","",Footnotes!D42)</f>
        <v/>
      </c>
      <c r="E609" s="1592" t="str">
        <f>+IF(Footnotes!E42="","",Footnotes!E42)</f>
        <v/>
      </c>
      <c r="F609" s="1592" t="str">
        <f>+IF(Footnotes!F42="","",Footnotes!F42)</f>
        <v/>
      </c>
      <c r="G609" s="1593" t="str">
        <f>+IF(Footnotes!G42="","",Footnotes!G42)</f>
        <v/>
      </c>
      <c r="H609" s="1593" t="str">
        <f>+IF(Footnotes!H42="","",Footnotes!H42)</f>
        <v/>
      </c>
      <c r="I609" s="1493" t="str">
        <f>+IF(Footnotes!I42="","",Footnotes!I42)</f>
        <v/>
      </c>
      <c r="J609" s="81"/>
      <c r="M609" s="1756" t="str">
        <f t="shared" si="27"/>
        <v>No</v>
      </c>
    </row>
    <row r="610" spans="3:20" hidden="1" x14ac:dyDescent="0.3">
      <c r="C610" s="1494" t="str">
        <f>+IF(Footnotes!C43="","",Footnotes!C43)</f>
        <v/>
      </c>
      <c r="D610" s="1494" t="str">
        <f>+IF(Footnotes!D43="","",Footnotes!D43)</f>
        <v/>
      </c>
      <c r="E610" s="1592" t="str">
        <f>+IF(Footnotes!E43="","",Footnotes!E43)</f>
        <v/>
      </c>
      <c r="F610" s="1592" t="str">
        <f>+IF(Footnotes!F43="","",Footnotes!F43)</f>
        <v/>
      </c>
      <c r="G610" s="1593" t="str">
        <f>+IF(Footnotes!G43="","",Footnotes!G43)</f>
        <v/>
      </c>
      <c r="H610" s="1593" t="str">
        <f>+IF(Footnotes!H43="","",Footnotes!H43)</f>
        <v/>
      </c>
      <c r="I610" s="1493" t="str">
        <f>+IF(Footnotes!I43="","",Footnotes!I43)</f>
        <v/>
      </c>
      <c r="J610" s="81"/>
      <c r="M610" s="1756" t="str">
        <f t="shared" si="27"/>
        <v>No</v>
      </c>
    </row>
    <row r="611" spans="3:20" hidden="1" x14ac:dyDescent="0.3">
      <c r="C611" s="1494" t="str">
        <f>+IF(Footnotes!C44="","",Footnotes!C44)</f>
        <v/>
      </c>
      <c r="D611" s="1494" t="str">
        <f>+IF(Footnotes!D44="","",Footnotes!D44)</f>
        <v/>
      </c>
      <c r="E611" s="1592" t="str">
        <f>+IF(Footnotes!E44="","",Footnotes!E44)</f>
        <v/>
      </c>
      <c r="F611" s="1592" t="str">
        <f>+IF(Footnotes!F44="","",Footnotes!F44)</f>
        <v/>
      </c>
      <c r="G611" s="1593" t="str">
        <f>+IF(Footnotes!G44="","",Footnotes!G44)</f>
        <v/>
      </c>
      <c r="H611" s="1593" t="str">
        <f>+IF(Footnotes!H44="","",Footnotes!H44)</f>
        <v/>
      </c>
      <c r="I611" s="1493" t="str">
        <f>+IF(Footnotes!I44="","",Footnotes!I44)</f>
        <v/>
      </c>
      <c r="J611" s="81"/>
      <c r="M611" s="1756" t="str">
        <f t="shared" si="27"/>
        <v>No</v>
      </c>
    </row>
    <row r="612" spans="3:20" hidden="1" x14ac:dyDescent="0.3">
      <c r="C612" s="1494" t="str">
        <f>+IF(Footnotes!C45="","",Footnotes!C45)</f>
        <v/>
      </c>
      <c r="D612" s="1494" t="str">
        <f>+IF(Footnotes!D45="","",Footnotes!D45)</f>
        <v/>
      </c>
      <c r="E612" s="1592" t="str">
        <f>+IF(Footnotes!E45="","",Footnotes!E45)</f>
        <v/>
      </c>
      <c r="F612" s="1592" t="str">
        <f>+IF(Footnotes!F45="","",Footnotes!F45)</f>
        <v/>
      </c>
      <c r="G612" s="1593" t="str">
        <f>+IF(Footnotes!G45="","",Footnotes!G45)</f>
        <v/>
      </c>
      <c r="H612" s="1593" t="str">
        <f>+IF(Footnotes!H45="","",Footnotes!H45)</f>
        <v/>
      </c>
      <c r="I612" s="1493" t="str">
        <f>+IF(Footnotes!I45="","",Footnotes!I45)</f>
        <v/>
      </c>
      <c r="J612" s="81"/>
      <c r="M612" s="1756" t="str">
        <f t="shared" si="27"/>
        <v>No</v>
      </c>
    </row>
    <row r="613" spans="3:20" hidden="1" x14ac:dyDescent="0.3">
      <c r="C613" s="1493" t="str">
        <f>+IF(Footnotes!C46="","",Footnotes!C46)</f>
        <v/>
      </c>
      <c r="D613" s="1493" t="str">
        <f>+IF(Footnotes!D46="","",Footnotes!D46)</f>
        <v/>
      </c>
      <c r="E613" s="1593" t="str">
        <f>+IF(Footnotes!E46="","",Footnotes!E46)</f>
        <v/>
      </c>
      <c r="F613" s="1593" t="str">
        <f>+IF(Footnotes!F46="","",Footnotes!F46)</f>
        <v/>
      </c>
      <c r="G613" s="1593" t="str">
        <f>+IF(Footnotes!G46="","",Footnotes!G46)</f>
        <v/>
      </c>
      <c r="H613" s="1593" t="str">
        <f>+IF(Footnotes!H46="","",Footnotes!H46)</f>
        <v/>
      </c>
      <c r="I613" s="1267" t="str">
        <f>+IF(Footnotes!I46="","",Footnotes!I46)</f>
        <v/>
      </c>
      <c r="M613" s="1756" t="str">
        <f t="shared" si="27"/>
        <v>No</v>
      </c>
    </row>
    <row r="614" spans="3:20" hidden="1" x14ac:dyDescent="0.3">
      <c r="M614" s="1756" t="str">
        <f>+M615</f>
        <v>Yes</v>
      </c>
    </row>
    <row r="615" spans="3:20" x14ac:dyDescent="0.3">
      <c r="C615" s="2745" t="str">
        <f>+"Note "&amp;'Balance Sheet'!E27&amp;" : Provisions"</f>
        <v>Note 5 : Provisions</v>
      </c>
      <c r="D615" s="2745"/>
      <c r="E615" s="1394"/>
      <c r="F615" s="1394"/>
      <c r="G615" s="1609"/>
      <c r="M615" s="1756" t="str">
        <f>$M$634</f>
        <v>Yes</v>
      </c>
    </row>
    <row r="616" spans="3:20" x14ac:dyDescent="0.3">
      <c r="H616" s="1673" t="str">
        <f>+F354</f>
        <v>Amount in Rs '00.</v>
      </c>
      <c r="M616" s="1756" t="str">
        <f>$M$634</f>
        <v>Yes</v>
      </c>
    </row>
    <row r="617" spans="3:20" s="81" customFormat="1" x14ac:dyDescent="0.3">
      <c r="C617" s="2746" t="s">
        <v>20</v>
      </c>
      <c r="D617" s="2747"/>
      <c r="E617" s="2765" t="str">
        <f>BSCY</f>
        <v>As At 31st March 2025</v>
      </c>
      <c r="F617" s="2766"/>
      <c r="G617" s="2765" t="str">
        <f>BSPY</f>
        <v>As At 31st March 2024</v>
      </c>
      <c r="H617" s="2766"/>
      <c r="M617" s="1756" t="str">
        <f>$M$634</f>
        <v>Yes</v>
      </c>
      <c r="N617" s="1"/>
      <c r="O617" s="1"/>
      <c r="P617" s="1"/>
      <c r="Q617" s="1"/>
      <c r="R617" s="1"/>
      <c r="S617" s="1"/>
      <c r="T617" s="1"/>
    </row>
    <row r="618" spans="3:20" s="81" customFormat="1" x14ac:dyDescent="0.3">
      <c r="C618" s="2748"/>
      <c r="D618" s="2749"/>
      <c r="E618" s="1948" t="s">
        <v>825</v>
      </c>
      <c r="F618" s="1949" t="s">
        <v>826</v>
      </c>
      <c r="G618" s="1948" t="s">
        <v>825</v>
      </c>
      <c r="H618" s="1950" t="s">
        <v>826</v>
      </c>
      <c r="M618" s="1756" t="str">
        <f>$M$634</f>
        <v>Yes</v>
      </c>
      <c r="N618" s="1"/>
      <c r="O618" s="1"/>
      <c r="P618" s="1"/>
      <c r="Q618" s="1"/>
      <c r="R618" s="1"/>
      <c r="S618" s="1"/>
      <c r="T618" s="1"/>
    </row>
    <row r="619" spans="3:20" x14ac:dyDescent="0.3">
      <c r="C619" s="477" t="str">
        <f>IF(M619="No","(a) Provision for employee benefits:","(a) Provision for employee benefits:")</f>
        <v>(a) Provision for employee benefits:</v>
      </c>
      <c r="D619" s="478"/>
      <c r="E619" s="1594"/>
      <c r="F619" s="1601"/>
      <c r="G619" s="1597"/>
      <c r="H619" s="1615"/>
      <c r="I619" s="81"/>
      <c r="J619" s="81"/>
      <c r="M619" s="1756" t="str">
        <f>M625</f>
        <v>Yes</v>
      </c>
    </row>
    <row r="620" spans="3:20" hidden="1" x14ac:dyDescent="0.3">
      <c r="C620" s="475" t="str">
        <f>IF(M620="No","(i) " &amp;N620,"(i) "&amp;N620)</f>
        <v>(i)  Provision for compensated absences</v>
      </c>
      <c r="D620" s="479"/>
      <c r="E620" s="845">
        <f>-SUMIFS('Master TB'!$J:$J,'Master TB'!$E:$E,Liabilities!$K620)</f>
        <v>0</v>
      </c>
      <c r="F620" s="845">
        <f>-SUMIFS('Master TB'!$J:$J,'Master TB'!$E:$E,Liabilities!$L620)</f>
        <v>0</v>
      </c>
      <c r="G620" s="845">
        <f>-SUMIFS('Master TB'!$V:$V,'Master TB'!$E:$E,Liabilities!$K620)</f>
        <v>0</v>
      </c>
      <c r="H620" s="845">
        <f>-SUMIFS('Master TB'!$V:$V,'Master TB'!$E:$E,Liabilities!$L620)</f>
        <v>0</v>
      </c>
      <c r="I620" s="81"/>
      <c r="J620" s="81"/>
      <c r="K620" s="41" t="s">
        <v>1251</v>
      </c>
      <c r="L620" s="41" t="s">
        <v>1261</v>
      </c>
      <c r="M620" s="1756" t="str">
        <f t="shared" ref="M620:M625" si="28">IF(AND(E620=0,F620=0,G620=0,H620=0),"No","Yes")</f>
        <v>No</v>
      </c>
      <c r="N620" s="1" t="s">
        <v>1375</v>
      </c>
    </row>
    <row r="621" spans="3:20" x14ac:dyDescent="0.3">
      <c r="C621" s="475" t="e">
        <f ca="1">IF(M620="Yes","("&amp;LOWER(ROMAN(_xlfn.ARABIC(_xlfn.TEXTAFTER(_xlfn.TEXTBEFORE(C620,")"),"("))+1))&amp;") "&amp;N621,"("&amp;LOWER(ROMAN(_xlfn.ARABIC(_xlfn.TEXTAFTER(_xlfn.TEXTBEFORE(C620,")"),"("))))&amp;") "&amp;N621)</f>
        <v>#NAME?</v>
      </c>
      <c r="D621" s="479"/>
      <c r="E621" s="845">
        <f>-SUMIFS('Master TB'!$J:$J,'Master TB'!$E:$E,Liabilities!$K621)</f>
        <v>0</v>
      </c>
      <c r="F621" s="845">
        <f>-SUMIFS('Master TB'!$J:$J,'Master TB'!$E:$E,Liabilities!$L621)</f>
        <v>2489.0907999999999</v>
      </c>
      <c r="G621" s="845">
        <f>-SUMIFS('Master TB'!$V:$V,'Master TB'!$E:$E,Liabilities!$K621)</f>
        <v>0</v>
      </c>
      <c r="H621" s="845">
        <f>-SUMIFS('Master TB'!$V:$V,'Master TB'!$E:$E,Liabilities!$L621)</f>
        <v>0</v>
      </c>
      <c r="I621" s="81"/>
      <c r="J621" s="81"/>
      <c r="K621" s="41" t="s">
        <v>1252</v>
      </c>
      <c r="L621" s="41" t="s">
        <v>1262</v>
      </c>
      <c r="M621" s="1756" t="str">
        <f t="shared" si="28"/>
        <v>Yes</v>
      </c>
      <c r="N621" s="1" t="str">
        <f>+"Provision for gratuity (net) (Refer Note "&amp;MID('AS 15 Disclosures'!C11,6,2)&amp;")"</f>
        <v>Provision for gratuity (net) (Refer Note 21)</v>
      </c>
    </row>
    <row r="622" spans="3:20" hidden="1" x14ac:dyDescent="0.3">
      <c r="C622" s="475" t="e">
        <f ca="1">IF(M621="Yes","("&amp;LOWER(ROMAN(_xlfn.ARABIC(_xlfn.TEXTAFTER(_xlfn.TEXTBEFORE(C621,")"),"("))+1))&amp;") "&amp;N622,"("&amp;LOWER(ROMAN(_xlfn.ARABIC(_xlfn.TEXTAFTER(_xlfn.TEXTBEFORE(C621,")"),"("))))&amp;") "&amp;N622)</f>
        <v>#NAME?</v>
      </c>
      <c r="D622" s="479"/>
      <c r="E622" s="845">
        <f>-SUMIFS('Master TB'!$J:$J,'Master TB'!$E:$E,Liabilities!$K622)</f>
        <v>0</v>
      </c>
      <c r="F622" s="845">
        <f>-SUMIFS('Master TB'!$J:$J,'Master TB'!$E:$E,Liabilities!$L622)</f>
        <v>0</v>
      </c>
      <c r="G622" s="845">
        <f>-SUMIFS('Master TB'!$V:$V,'Master TB'!$E:$E,Liabilities!$K622)</f>
        <v>0</v>
      </c>
      <c r="H622" s="845">
        <f>-SUMIFS('Master TB'!$V:$V,'Master TB'!$E:$E,Liabilities!$L622)</f>
        <v>0</v>
      </c>
      <c r="I622" s="81"/>
      <c r="J622" s="81"/>
      <c r="K622" s="41" t="s">
        <v>1253</v>
      </c>
      <c r="L622" s="41" t="s">
        <v>1263</v>
      </c>
      <c r="M622" s="1756" t="str">
        <f t="shared" si="28"/>
        <v>No</v>
      </c>
      <c r="N622" s="1" t="s">
        <v>1376</v>
      </c>
    </row>
    <row r="623" spans="3:20" hidden="1" x14ac:dyDescent="0.3">
      <c r="C623" s="475" t="e">
        <f ca="1">IF(M622="Yes","("&amp;LOWER(ROMAN(_xlfn.ARABIC(_xlfn.TEXTAFTER(_xlfn.TEXTBEFORE(C622,")"),"("))+1))&amp;") "&amp;N623,"("&amp;LOWER(ROMAN(_xlfn.ARABIC(_xlfn.TEXTAFTER(_xlfn.TEXTBEFORE(C622,")"),"("))))&amp;") "&amp;N623)</f>
        <v>#NAME?</v>
      </c>
      <c r="D623" s="479"/>
      <c r="E623" s="845">
        <f>-SUMIFS('Master TB'!$J:$J,'Master TB'!$E:$E,Liabilities!$K623)</f>
        <v>0</v>
      </c>
      <c r="F623" s="845">
        <f>-SUMIFS('Master TB'!$J:$J,'Master TB'!$E:$E,Liabilities!$L623)</f>
        <v>0</v>
      </c>
      <c r="G623" s="845">
        <f>-SUMIFS('Master TB'!$V:$V,'Master TB'!$E:$E,Liabilities!$K623)</f>
        <v>0</v>
      </c>
      <c r="H623" s="845">
        <f>-SUMIFS('Master TB'!$V:$V,'Master TB'!$E:$E,Liabilities!$L623)</f>
        <v>0</v>
      </c>
      <c r="I623" s="81"/>
      <c r="J623" s="81"/>
      <c r="K623" s="41" t="s">
        <v>1254</v>
      </c>
      <c r="L623" s="41" t="s">
        <v>1264</v>
      </c>
      <c r="M623" s="1756" t="str">
        <f t="shared" si="28"/>
        <v>No</v>
      </c>
      <c r="N623" s="1" t="str">
        <f>+ "Provision for other defined benefit plans (net) (Refer Note "&amp;MID('AS 15 Disclosures'!C11,6,2)&amp;")"</f>
        <v>Provision for other defined benefit plans (net) (Refer Note 21)</v>
      </c>
    </row>
    <row r="624" spans="3:20" hidden="1" x14ac:dyDescent="0.3">
      <c r="C624" s="475" t="e">
        <f ca="1">IF(M623="Yes","("&amp;LOWER(ROMAN(_xlfn.ARABIC(_xlfn.TEXTAFTER(_xlfn.TEXTBEFORE(C623,")"),"("))+1))&amp;") "&amp;N624,"("&amp;LOWER(ROMAN(_xlfn.ARABIC(_xlfn.TEXTAFTER(_xlfn.TEXTBEFORE(C623,")"),"("))))&amp;") "&amp;N624)</f>
        <v>#NAME?</v>
      </c>
      <c r="D624" s="479"/>
      <c r="E624" s="845">
        <f>-SUMIFS('Master TB'!$J:$J,'Master TB'!$E:$E,Liabilities!$K624)</f>
        <v>0</v>
      </c>
      <c r="F624" s="845">
        <f>-SUMIFS('Master TB'!$J:$J,'Master TB'!$E:$E,Liabilities!$L624)</f>
        <v>0</v>
      </c>
      <c r="G624" s="845">
        <f>-SUMIFS('Master TB'!$V:$V,'Master TB'!$E:$E,Liabilities!$K624)</f>
        <v>0</v>
      </c>
      <c r="H624" s="845">
        <f>-SUMIFS('Master TB'!$V:$V,'Master TB'!$E:$E,Liabilities!$L624)</f>
        <v>0</v>
      </c>
      <c r="I624" s="81"/>
      <c r="J624" s="81"/>
      <c r="K624" s="41" t="s">
        <v>1255</v>
      </c>
      <c r="L624" s="41" t="s">
        <v>1265</v>
      </c>
      <c r="M624" s="1756" t="str">
        <f t="shared" si="28"/>
        <v>No</v>
      </c>
      <c r="N624" s="1" t="s">
        <v>1377</v>
      </c>
    </row>
    <row r="625" spans="3:16" x14ac:dyDescent="0.3">
      <c r="C625" s="474"/>
      <c r="D625" s="480"/>
      <c r="E625" s="1595">
        <f>SUM(E620:E624)</f>
        <v>0</v>
      </c>
      <c r="F625" s="1602">
        <f>SUM(F620:F624)</f>
        <v>2489.0907999999999</v>
      </c>
      <c r="G625" s="1194">
        <f>SUM(G620:G624)</f>
        <v>0</v>
      </c>
      <c r="H625" s="1616">
        <f>SUM(H620:H624)</f>
        <v>0</v>
      </c>
      <c r="I625" s="81"/>
      <c r="J625" s="81"/>
      <c r="M625" s="1756" t="str">
        <f t="shared" si="28"/>
        <v>Yes</v>
      </c>
    </row>
    <row r="626" spans="3:16" x14ac:dyDescent="0.3">
      <c r="C626" s="476" t="str">
        <f>IF(M619="Yes","("&amp; CHAR(CODE(MID(C619,2,3))+1)&amp;")  Interest accrued but not due on borrowings","(" &amp; MID(C619,2,3)&amp; "Interest accrued but not due on borrowings")</f>
        <v>(b)  Interest accrued but not due on borrowings</v>
      </c>
      <c r="D626" s="26"/>
      <c r="E626" s="1596"/>
      <c r="F626" s="1603"/>
      <c r="G626" s="1508"/>
      <c r="H626" s="1617"/>
      <c r="I626" s="81"/>
      <c r="J626" s="81"/>
      <c r="M626" s="1756" t="str">
        <f>M632</f>
        <v>Yes</v>
      </c>
    </row>
    <row r="627" spans="3:16" hidden="1" x14ac:dyDescent="0.3">
      <c r="C627" s="475" t="str">
        <f>IF(M627="No","(i) " &amp;N627,"(i) "&amp;N627)</f>
        <v xml:space="preserve">(i)  Provision for premium payable on redemption of bonds </v>
      </c>
      <c r="D627" s="479"/>
      <c r="E627" s="845">
        <f>-SUMIFS('Master TB'!$J:$J,'Master TB'!$E:$E,Liabilities!$K627)</f>
        <v>0</v>
      </c>
      <c r="F627" s="845">
        <f>-SUMIFS('Master TB'!$J:$J,'Master TB'!$E:$E,Liabilities!$L627)</f>
        <v>0</v>
      </c>
      <c r="G627" s="1597">
        <f>-SUMIFS('Master TB'!$V:$V,'Master TB'!$E:$E,Liabilities!$K627)</f>
        <v>0</v>
      </c>
      <c r="H627" s="845">
        <f>-SUMIFS('Master TB'!$V:$V,'Master TB'!$E:$E,Liabilities!$L627)</f>
        <v>0</v>
      </c>
      <c r="I627" s="81"/>
      <c r="J627" s="81"/>
      <c r="K627" s="41" t="s">
        <v>1256</v>
      </c>
      <c r="L627" s="41" t="s">
        <v>1266</v>
      </c>
      <c r="M627" s="1756" t="str">
        <f>IF(AND(E627=0,F627=0,G627=0,H627=0),"No","Yes")</f>
        <v>No</v>
      </c>
      <c r="N627" s="1" t="s">
        <v>1378</v>
      </c>
    </row>
    <row r="628" spans="3:16" x14ac:dyDescent="0.3">
      <c r="C628" s="475" t="e">
        <f ca="1">IF(M627="Yes","("&amp;LOWER(ROMAN(_xlfn.ARABIC(_xlfn.TEXTAFTER(_xlfn.TEXTBEFORE(C627,")"),"("))+1))&amp;") "&amp;N628,"("&amp;LOWER(ROMAN(_xlfn.ARABIC(_xlfn.TEXTAFTER(_xlfn.TEXTBEFORE(C627,")"),"("))))&amp;") "&amp;N628)</f>
        <v>#NAME?</v>
      </c>
      <c r="D628" s="479"/>
      <c r="E628" s="845">
        <f>-SUMIFS('Master TB'!$J:$J,'Master TB'!$E:$E,Liabilities!$K628)</f>
        <v>0</v>
      </c>
      <c r="F628" s="845">
        <f>-SUMIFS('Master TB'!$J:$J,'Master TB'!$E:$E,Liabilities!$L628)</f>
        <v>109835.1</v>
      </c>
      <c r="G628" s="1597">
        <f>-SUMIFS('Master TB'!$V:$V,'Master TB'!$E:$E,Liabilities!$K628)</f>
        <v>0</v>
      </c>
      <c r="H628" s="845">
        <f>-SUMIFS('Master TB'!$V:$V,'Master TB'!$E:$E,Liabilities!$L628)</f>
        <v>62771.850299999991</v>
      </c>
      <c r="I628" s="81"/>
      <c r="J628" s="81"/>
      <c r="K628" s="41" t="s">
        <v>1257</v>
      </c>
      <c r="L628" s="41" t="s">
        <v>1267</v>
      </c>
      <c r="M628" s="1756" t="str">
        <f t="shared" ref="M628:M634" si="29">IF(AND(E628=0,F628=0,G628=0,H628=0),"No","Yes")</f>
        <v>Yes</v>
      </c>
      <c r="N628" s="1" t="s">
        <v>1379</v>
      </c>
      <c r="P628" s="1" t="s">
        <v>3354</v>
      </c>
    </row>
    <row r="629" spans="3:16" hidden="1" x14ac:dyDescent="0.3">
      <c r="C629" s="475" t="e">
        <f ca="1">IF(M628="Yes","("&amp;LOWER(ROMAN(_xlfn.ARABIC(_xlfn.TEXTAFTER(_xlfn.TEXTBEFORE(C628,")"),"("))+1))&amp;") "&amp;N629,"("&amp;LOWER(ROMAN(_xlfn.ARABIC(_xlfn.TEXTAFTER(_xlfn.TEXTBEFORE(C628,")"),"("))))&amp;") "&amp;N629)</f>
        <v>#NAME?</v>
      </c>
      <c r="D629" s="479"/>
      <c r="E629" s="845">
        <f>-SUMIFS('Master TB'!$J:$J,'Master TB'!$E:$E,Liabilities!$K629)</f>
        <v>0</v>
      </c>
      <c r="F629" s="845">
        <f>-SUMIFS('Master TB'!$J:$J,'Master TB'!$E:$E,Liabilities!$L629)</f>
        <v>0</v>
      </c>
      <c r="G629" s="1597">
        <f>-SUMIFS('Master TB'!$V:$V,'Master TB'!$E:$E,Liabilities!$K629)</f>
        <v>0</v>
      </c>
      <c r="H629" s="845">
        <f>-SUMIFS('Master TB'!$V:$V,'Master TB'!$E:$E,Liabilities!$L629)</f>
        <v>0</v>
      </c>
      <c r="I629" s="81"/>
      <c r="J629" s="81"/>
      <c r="K629" s="41" t="s">
        <v>1258</v>
      </c>
      <c r="L629" s="41" t="s">
        <v>1268</v>
      </c>
      <c r="M629" s="1756" t="str">
        <f t="shared" si="29"/>
        <v>No</v>
      </c>
      <c r="N629" s="1" t="str">
        <f>+ "Provision for warranty (Refer Note "&amp;MID('AS 15 Disclosures'!C11,6,2)&amp;")"</f>
        <v>Provision for warranty (Refer Note 21)</v>
      </c>
    </row>
    <row r="630" spans="3:16" hidden="1" x14ac:dyDescent="0.3">
      <c r="C630" s="475" t="e">
        <f ca="1">IF(M629="Yes","("&amp;LOWER(ROMAN(_xlfn.ARABIC(_xlfn.TEXTAFTER(_xlfn.TEXTBEFORE(C629,")"),"("))+1))&amp;") "&amp;N630,"("&amp;LOWER(ROMAN(_xlfn.ARABIC(_xlfn.TEXTAFTER(_xlfn.TEXTBEFORE(C629,")"),"("))))&amp;") "&amp;N630)</f>
        <v>#NAME?</v>
      </c>
      <c r="D630" s="479"/>
      <c r="E630" s="845">
        <f>-SUMIFS('Master TB'!$J:$J,'Master TB'!$E:$E,Liabilities!$K630)</f>
        <v>0</v>
      </c>
      <c r="F630" s="845">
        <f>-SUMIFS('Master TB'!$J:$J,'Master TB'!$E:$E,Liabilities!$L630)</f>
        <v>0</v>
      </c>
      <c r="G630" s="1597">
        <f>-SUMIFS('Master TB'!$V:$V,'Master TB'!$E:$E,Liabilities!$K630)</f>
        <v>0</v>
      </c>
      <c r="H630" s="845">
        <f>-SUMIFS('Master TB'!$V:$V,'Master TB'!$E:$E,Liabilities!$L630)</f>
        <v>0</v>
      </c>
      <c r="I630" s="81"/>
      <c r="J630" s="81"/>
      <c r="K630" s="41" t="s">
        <v>1259</v>
      </c>
      <c r="L630" s="41" t="s">
        <v>1269</v>
      </c>
      <c r="M630" s="1756" t="str">
        <f t="shared" si="29"/>
        <v>No</v>
      </c>
      <c r="N630" s="1" t="str">
        <f>+ "Provision for other contingencies (Refer Note "&amp;MID('AS 15 Disclosures'!C11,6,2)&amp;")"</f>
        <v>Provision for other contingencies (Refer Note 21)</v>
      </c>
    </row>
    <row r="631" spans="3:16" hidden="1" x14ac:dyDescent="0.3">
      <c r="C631" s="475" t="e">
        <f ca="1">IF(M630="Yes","("&amp;LOWER(ROMAN(_xlfn.ARABIC(_xlfn.TEXTAFTER(_xlfn.TEXTBEFORE(C630,")"),"("))+1))&amp;") "&amp;N631,"("&amp;LOWER(ROMAN(_xlfn.ARABIC(_xlfn.TEXTAFTER(_xlfn.TEXTBEFORE(C630,")"),"("))))&amp;") "&amp;N631)</f>
        <v>#NAME?</v>
      </c>
      <c r="D631" s="479"/>
      <c r="E631" s="845">
        <f>-SUMIFS('Master TB'!$J:$J,'Master TB'!$E:$E,Liabilities!$K631)</f>
        <v>0</v>
      </c>
      <c r="F631" s="1604">
        <f>-SUMIFS('Master TB'!$J:$J,'Master TB'!$E:$E,Liabilities!$L631)</f>
        <v>0</v>
      </c>
      <c r="G631" s="1597">
        <f>-SUMIFS('Master TB'!$V:$V,'Master TB'!$E:$E,Liabilities!$K631)</f>
        <v>0</v>
      </c>
      <c r="H631" s="845">
        <f>-SUMIFS('Master TB'!$V:$V,'Master TB'!$E:$E,Liabilities!$L631)</f>
        <v>0</v>
      </c>
      <c r="I631" s="81"/>
      <c r="J631" s="81"/>
      <c r="K631" s="41" t="s">
        <v>1260</v>
      </c>
      <c r="L631" s="41" t="s">
        <v>1270</v>
      </c>
      <c r="M631" s="1756" t="str">
        <f t="shared" si="29"/>
        <v>No</v>
      </c>
      <c r="N631" s="1" t="s">
        <v>1380</v>
      </c>
    </row>
    <row r="632" spans="3:16" x14ac:dyDescent="0.3">
      <c r="C632" s="474"/>
      <c r="D632" s="480"/>
      <c r="E632" s="1594">
        <f>SUM(E627:E631)</f>
        <v>0</v>
      </c>
      <c r="F632" s="1605">
        <f>SUM(F627:F631)</f>
        <v>109835.1</v>
      </c>
      <c r="G632" s="1594">
        <f>SUM(G627:G631)</f>
        <v>0</v>
      </c>
      <c r="H632" s="1618">
        <f>SUM(H627:H631)</f>
        <v>62771.850299999991</v>
      </c>
      <c r="I632" s="81"/>
      <c r="J632" s="81"/>
      <c r="M632" s="1756" t="str">
        <f t="shared" si="29"/>
        <v>Yes</v>
      </c>
    </row>
    <row r="633" spans="3:16" x14ac:dyDescent="0.3">
      <c r="C633" s="474"/>
      <c r="D633" s="480"/>
      <c r="E633" s="1597"/>
      <c r="F633" s="1601"/>
      <c r="G633" s="1597"/>
      <c r="H633" s="1388"/>
      <c r="I633" s="81"/>
      <c r="J633" s="81"/>
      <c r="M633" s="1756" t="str">
        <f>M634</f>
        <v>Yes</v>
      </c>
    </row>
    <row r="634" spans="3:16" x14ac:dyDescent="0.3">
      <c r="C634" s="2769" t="s">
        <v>35</v>
      </c>
      <c r="D634" s="2769"/>
      <c r="E634" s="1948">
        <f>E625+E632</f>
        <v>0</v>
      </c>
      <c r="F634" s="1948">
        <f>F625+F632</f>
        <v>112324.19080000001</v>
      </c>
      <c r="G634" s="1948">
        <f>G625+G632</f>
        <v>0</v>
      </c>
      <c r="H634" s="1948">
        <f>H625+H632</f>
        <v>62771.850299999991</v>
      </c>
      <c r="I634" s="81"/>
      <c r="J634" s="81"/>
      <c r="M634" s="1756" t="str">
        <f t="shared" si="29"/>
        <v>Yes</v>
      </c>
    </row>
    <row r="635" spans="3:16" x14ac:dyDescent="0.3">
      <c r="M635" s="1756" t="str">
        <f>M634</f>
        <v>Yes</v>
      </c>
    </row>
    <row r="636" spans="3:16" hidden="1" x14ac:dyDescent="0.3">
      <c r="C636" s="1493" t="str">
        <f>+IF(Footnotes!C49="","",Footnotes!C49)</f>
        <v/>
      </c>
      <c r="D636" s="1493" t="str">
        <f>+IF(Footnotes!D49="","",Footnotes!D49)</f>
        <v/>
      </c>
      <c r="E636" s="1593" t="str">
        <f>+IF(Footnotes!E49="","",Footnotes!E49)</f>
        <v/>
      </c>
      <c r="F636" s="1593" t="str">
        <f>+IF(Footnotes!F49="","",Footnotes!F49)</f>
        <v/>
      </c>
      <c r="G636" s="1593" t="str">
        <f>+IF(Footnotes!G49="","",Footnotes!G49)</f>
        <v/>
      </c>
      <c r="H636" s="1593" t="str">
        <f>+IF(Footnotes!H49="","",Footnotes!H49)</f>
        <v/>
      </c>
      <c r="I636" s="1267" t="str">
        <f>+IF(Footnotes!I49="","",Footnotes!I49)</f>
        <v/>
      </c>
      <c r="M636" s="1756" t="str">
        <f t="shared" ref="M636:M641" si="30">+IF(AND(C636="",D636="",E636="",F636="",G636="",H636="",I636=""),"No","Yes")</f>
        <v>No</v>
      </c>
    </row>
    <row r="637" spans="3:16" hidden="1" x14ac:dyDescent="0.3">
      <c r="C637" s="1493" t="str">
        <f>+IF(Footnotes!C50="","",Footnotes!C50)</f>
        <v/>
      </c>
      <c r="D637" s="1493" t="str">
        <f>+IF(Footnotes!D50="","",Footnotes!D50)</f>
        <v/>
      </c>
      <c r="E637" s="1593" t="str">
        <f>+IF(Footnotes!E50="","",Footnotes!E50)</f>
        <v/>
      </c>
      <c r="F637" s="1593" t="str">
        <f>+IF(Footnotes!F50="","",Footnotes!F50)</f>
        <v/>
      </c>
      <c r="G637" s="1593" t="str">
        <f>+IF(Footnotes!G50="","",Footnotes!G50)</f>
        <v/>
      </c>
      <c r="H637" s="1593" t="str">
        <f>+IF(Footnotes!H50="","",Footnotes!H50)</f>
        <v/>
      </c>
      <c r="I637" s="1267" t="str">
        <f>+IF(Footnotes!I50="","",Footnotes!I50)</f>
        <v/>
      </c>
      <c r="M637" s="1756" t="str">
        <f t="shared" si="30"/>
        <v>No</v>
      </c>
    </row>
    <row r="638" spans="3:16" hidden="1" x14ac:dyDescent="0.3">
      <c r="C638" s="1493" t="str">
        <f>+IF(Footnotes!C51="","",Footnotes!C51)</f>
        <v/>
      </c>
      <c r="D638" s="1493" t="str">
        <f>+IF(Footnotes!D51="","",Footnotes!D51)</f>
        <v/>
      </c>
      <c r="E638" s="1593" t="str">
        <f>+IF(Footnotes!E51="","",Footnotes!E51)</f>
        <v/>
      </c>
      <c r="F638" s="1593" t="str">
        <f>+IF(Footnotes!F51="","",Footnotes!F51)</f>
        <v/>
      </c>
      <c r="G638" s="1593" t="str">
        <f>+IF(Footnotes!G51="","",Footnotes!G51)</f>
        <v/>
      </c>
      <c r="H638" s="1593" t="str">
        <f>+IF(Footnotes!H51="","",Footnotes!H51)</f>
        <v/>
      </c>
      <c r="I638" s="1267" t="str">
        <f>+IF(Footnotes!I51="","",Footnotes!I51)</f>
        <v/>
      </c>
      <c r="M638" s="1756" t="str">
        <f t="shared" si="30"/>
        <v>No</v>
      </c>
    </row>
    <row r="639" spans="3:16" hidden="1" x14ac:dyDescent="0.3">
      <c r="C639" s="1493" t="str">
        <f>+IF(Footnotes!C52="","",Footnotes!C52)</f>
        <v/>
      </c>
      <c r="D639" s="1493" t="str">
        <f>+IF(Footnotes!D52="","",Footnotes!D52)</f>
        <v/>
      </c>
      <c r="E639" s="1593" t="str">
        <f>+IF(Footnotes!E52="","",Footnotes!E52)</f>
        <v/>
      </c>
      <c r="F639" s="1593" t="str">
        <f>+IF(Footnotes!F52="","",Footnotes!F52)</f>
        <v/>
      </c>
      <c r="G639" s="1593" t="str">
        <f>+IF(Footnotes!G52="","",Footnotes!G52)</f>
        <v/>
      </c>
      <c r="H639" s="1593" t="str">
        <f>+IF(Footnotes!H52="","",Footnotes!H52)</f>
        <v/>
      </c>
      <c r="I639" s="1267" t="str">
        <f>+IF(Footnotes!I52="","",Footnotes!I52)</f>
        <v/>
      </c>
      <c r="M639" s="1756" t="str">
        <f t="shared" si="30"/>
        <v>No</v>
      </c>
    </row>
    <row r="640" spans="3:16" hidden="1" x14ac:dyDescent="0.3">
      <c r="C640" s="1493" t="str">
        <f>+IF(Footnotes!C53="","",Footnotes!C53)</f>
        <v/>
      </c>
      <c r="D640" s="1493" t="str">
        <f>+IF(Footnotes!D53="","",Footnotes!D53)</f>
        <v/>
      </c>
      <c r="E640" s="1593" t="str">
        <f>+IF(Footnotes!E53="","",Footnotes!E53)</f>
        <v/>
      </c>
      <c r="F640" s="1593" t="str">
        <f>+IF(Footnotes!F53="","",Footnotes!F53)</f>
        <v/>
      </c>
      <c r="G640" s="1593" t="str">
        <f>+IF(Footnotes!G53="","",Footnotes!G53)</f>
        <v/>
      </c>
      <c r="H640" s="1593" t="str">
        <f>+IF(Footnotes!H53="","",Footnotes!H53)</f>
        <v/>
      </c>
      <c r="I640" s="1267" t="str">
        <f>+IF(Footnotes!I53="","",Footnotes!I53)</f>
        <v/>
      </c>
      <c r="M640" s="1756" t="str">
        <f t="shared" si="30"/>
        <v>No</v>
      </c>
    </row>
    <row r="641" spans="3:20" hidden="1" x14ac:dyDescent="0.3">
      <c r="C641" s="1493" t="str">
        <f>+IF(Footnotes!C54="","",Footnotes!C54)</f>
        <v/>
      </c>
      <c r="D641" s="1493" t="str">
        <f>+IF(Footnotes!D54="","",Footnotes!D54)</f>
        <v/>
      </c>
      <c r="E641" s="1593" t="str">
        <f>+IF(Footnotes!E54="","",Footnotes!E54)</f>
        <v/>
      </c>
      <c r="F641" s="1593" t="str">
        <f>+IF(Footnotes!F54="","",Footnotes!F54)</f>
        <v/>
      </c>
      <c r="G641" s="1593" t="str">
        <f>+IF(Footnotes!G54="","",Footnotes!G54)</f>
        <v/>
      </c>
      <c r="H641" s="1593" t="str">
        <f>+IF(Footnotes!H54="","",Footnotes!H54)</f>
        <v/>
      </c>
      <c r="I641" s="1267" t="str">
        <f>+IF(Footnotes!I54="","",Footnotes!I54)</f>
        <v/>
      </c>
      <c r="M641" s="1756" t="str">
        <f t="shared" si="30"/>
        <v>No</v>
      </c>
    </row>
    <row r="642" spans="3:20" hidden="1" x14ac:dyDescent="0.3">
      <c r="M642" s="1756" t="str">
        <f>M643</f>
        <v>Yes</v>
      </c>
    </row>
    <row r="643" spans="3:20" x14ac:dyDescent="0.3">
      <c r="C643" s="42" t="str">
        <f>+"Note "&amp;'Balance Sheet'!E32&amp;" : Trade Payables"</f>
        <v>Note 6 : Trade Payables</v>
      </c>
      <c r="D643" s="42"/>
      <c r="E643" s="1510"/>
      <c r="F643" s="1510"/>
      <c r="G643" s="1510"/>
      <c r="H643" s="1522"/>
      <c r="I643" s="17"/>
      <c r="J643" s="17"/>
      <c r="M643" s="1756" t="s">
        <v>990</v>
      </c>
    </row>
    <row r="644" spans="3:20" x14ac:dyDescent="0.3">
      <c r="C644" s="17"/>
      <c r="D644" s="17"/>
      <c r="E644" s="1522"/>
      <c r="F644" s="1522" t="str">
        <f>+H616</f>
        <v>Amount in Rs '00.</v>
      </c>
      <c r="G644" s="1522"/>
      <c r="H644" s="1522"/>
      <c r="I644" s="17"/>
      <c r="J644" s="17"/>
      <c r="M644" s="1756" t="s">
        <v>990</v>
      </c>
    </row>
    <row r="645" spans="3:20" ht="30" x14ac:dyDescent="0.3">
      <c r="C645" s="2711" t="s">
        <v>20</v>
      </c>
      <c r="D645" s="2756"/>
      <c r="E645" s="1951" t="str">
        <f>BSCY</f>
        <v>As At 31st March 2025</v>
      </c>
      <c r="F645" s="1951" t="str">
        <f>BSPY</f>
        <v>As At 31st March 2024</v>
      </c>
      <c r="G645" s="1608"/>
      <c r="H645" s="841"/>
      <c r="M645" s="1756" t="s">
        <v>990</v>
      </c>
    </row>
    <row r="646" spans="3:20" x14ac:dyDescent="0.3">
      <c r="C646" s="481" t="s">
        <v>514</v>
      </c>
      <c r="D646" s="478"/>
      <c r="E646" s="1194"/>
      <c r="F646" s="1194"/>
      <c r="G646" s="1189"/>
      <c r="H646" s="841"/>
      <c r="M646" s="1756" t="s">
        <v>990</v>
      </c>
    </row>
    <row r="647" spans="3:20" ht="28.9" customHeight="1" x14ac:dyDescent="0.3">
      <c r="C647" s="2767" t="s">
        <v>1294</v>
      </c>
      <c r="D647" s="2768"/>
      <c r="E647" s="845">
        <f>-SUMIFS('Master TB'!$J:$J,'Master TB'!$E:$E,Liabilities!K647)</f>
        <v>21010.052500000002</v>
      </c>
      <c r="F647" s="1195">
        <f>-SUMIFS('Master TB'!$V:$V,'Master TB'!$E:$E,Liabilities!K647)</f>
        <v>0</v>
      </c>
      <c r="G647" s="1189"/>
      <c r="H647" s="1579"/>
      <c r="I647" s="3"/>
      <c r="J647" s="3"/>
      <c r="K647" s="41" t="s">
        <v>1295</v>
      </c>
      <c r="M647" s="1756" t="s">
        <v>990</v>
      </c>
    </row>
    <row r="648" spans="3:20" ht="28.9" customHeight="1" x14ac:dyDescent="0.3">
      <c r="C648" s="2767" t="s">
        <v>1293</v>
      </c>
      <c r="D648" s="2768"/>
      <c r="E648" s="845">
        <f>-SUMIFS('Master TB'!$J:$J,'Master TB'!$E:$E,Liabilities!K648)+(-SUMIFS('Master TB'!$J:$J,'Master TB'!$E:$E,Liabilities!L648))</f>
        <v>489514.37319999991</v>
      </c>
      <c r="F648" s="1195">
        <f>-SUMIFS('Master TB'!$V:$V,'Master TB'!$E:$E,Liabilities!K648)-SUMIFS('Master TB'!$V:$V,'Master TB'!$E:$E,Liabilities!L648)</f>
        <v>296883.98800000007</v>
      </c>
      <c r="G648" s="1189"/>
      <c r="H648" s="1579"/>
      <c r="K648" s="41" t="s">
        <v>1296</v>
      </c>
      <c r="L648" s="41" t="s">
        <v>1337</v>
      </c>
      <c r="M648" s="1756" t="s">
        <v>990</v>
      </c>
    </row>
    <row r="649" spans="3:20" x14ac:dyDescent="0.3">
      <c r="C649" s="465"/>
      <c r="D649" s="26"/>
      <c r="E649" s="1195"/>
      <c r="F649" s="1195"/>
      <c r="G649" s="1189"/>
      <c r="H649" s="841"/>
      <c r="M649" s="1756" t="s">
        <v>990</v>
      </c>
    </row>
    <row r="650" spans="3:20" s="307" customFormat="1" x14ac:dyDescent="0.3">
      <c r="C650" s="2770" t="s">
        <v>35</v>
      </c>
      <c r="D650" s="2770"/>
      <c r="E650" s="1952">
        <f>SUM(E647:E648)</f>
        <v>510524.42569999991</v>
      </c>
      <c r="F650" s="1952">
        <f>SUM(F647:F648)</f>
        <v>296883.98800000007</v>
      </c>
      <c r="G650" s="1180"/>
      <c r="H650" s="1619"/>
      <c r="M650" s="1756" t="s">
        <v>990</v>
      </c>
      <c r="N650" s="1"/>
      <c r="O650" s="1"/>
      <c r="P650" s="1"/>
      <c r="Q650" s="1"/>
      <c r="R650" s="1"/>
      <c r="S650" s="1"/>
      <c r="T650" s="1"/>
    </row>
    <row r="651" spans="3:20" x14ac:dyDescent="0.3">
      <c r="G651" s="841"/>
      <c r="H651" s="841"/>
      <c r="M651" s="1756" t="s">
        <v>990</v>
      </c>
    </row>
    <row r="652" spans="3:20" x14ac:dyDescent="0.3">
      <c r="C652" s="483" t="str">
        <f>"Trade Payables ageing schedule "&amp; BSCY</f>
        <v>Trade Payables ageing schedule As At 31st March 2025</v>
      </c>
      <c r="G652" s="841"/>
      <c r="H652" s="2804" t="s">
        <v>847</v>
      </c>
      <c r="I652" s="2804"/>
      <c r="M652" s="1756" t="s">
        <v>990</v>
      </c>
    </row>
    <row r="653" spans="3:20" x14ac:dyDescent="0.3">
      <c r="C653" s="2769" t="str">
        <f>+'Qualitative Disclosures'!C757</f>
        <v>Particulars</v>
      </c>
      <c r="D653" s="2769" t="str">
        <f>+'Qualitative Disclosures'!D757</f>
        <v>Provisions</v>
      </c>
      <c r="E653" s="2762" t="str">
        <f>+'Qualitative Disclosures'!E757</f>
        <v>Outstanding from following periods from due date of payment</v>
      </c>
      <c r="F653" s="2762">
        <f>+'Qualitative Disclosures'!F757</f>
        <v>0</v>
      </c>
      <c r="G653" s="2762">
        <f>+'Qualitative Disclosures'!G757</f>
        <v>0</v>
      </c>
      <c r="H653" s="2762">
        <f>+'Qualitative Disclosures'!H757</f>
        <v>0</v>
      </c>
      <c r="I653" s="2769" t="str">
        <f>+'Qualitative Disclosures'!I757</f>
        <v>Total</v>
      </c>
      <c r="J653" s="102"/>
      <c r="M653" s="1756" t="s">
        <v>990</v>
      </c>
    </row>
    <row r="654" spans="3:20" x14ac:dyDescent="0.3">
      <c r="C654" s="2769"/>
      <c r="D654" s="2769"/>
      <c r="E654" s="1951" t="str">
        <f>+'Qualitative Disclosures'!E758</f>
        <v>Less than 1 Year</v>
      </c>
      <c r="F654" s="1948" t="str">
        <f>+'Qualitative Disclosures'!F758</f>
        <v>1 - 2 Years</v>
      </c>
      <c r="G654" s="1948" t="str">
        <f>+'Qualitative Disclosures'!G758</f>
        <v>2 - 3 Years</v>
      </c>
      <c r="H654" s="1948" t="str">
        <f>+'Qualitative Disclosures'!H758</f>
        <v>More than 3 Year</v>
      </c>
      <c r="I654" s="2769"/>
      <c r="J654" s="102"/>
      <c r="M654" s="1756" t="s">
        <v>990</v>
      </c>
    </row>
    <row r="655" spans="3:20" x14ac:dyDescent="0.3">
      <c r="C655" s="457" t="s">
        <v>857</v>
      </c>
      <c r="D655" s="2658">
        <f>+'Qualitative Disclosures'!D759</f>
        <v>0</v>
      </c>
      <c r="E655" s="828">
        <f>+'Qualitative Disclosures'!E759</f>
        <v>21010.052500000002</v>
      </c>
      <c r="F655" s="828">
        <f>+'Qualitative Disclosures'!F759</f>
        <v>0</v>
      </c>
      <c r="G655" s="831">
        <f>+'Qualitative Disclosures'!G759</f>
        <v>0</v>
      </c>
      <c r="H655" s="1213">
        <f>+'Qualitative Disclosures'!H759</f>
        <v>0</v>
      </c>
      <c r="I655" s="843">
        <f>+'Qualitative Disclosures'!I759</f>
        <v>21010.052500000002</v>
      </c>
      <c r="M655" s="1756" t="s">
        <v>990</v>
      </c>
    </row>
    <row r="656" spans="3:20" x14ac:dyDescent="0.3">
      <c r="C656" s="457" t="s">
        <v>791</v>
      </c>
      <c r="D656" s="828">
        <f>+'Qualitative Disclosures'!D760</f>
        <v>7502.34</v>
      </c>
      <c r="E656" s="828">
        <f>+'Qualitative Disclosures'!E760</f>
        <v>482012.03319999989</v>
      </c>
      <c r="F656" s="828">
        <f>+'Qualitative Disclosures'!F760</f>
        <v>0</v>
      </c>
      <c r="G656" s="831">
        <f>+'Qualitative Disclosures'!G760</f>
        <v>0</v>
      </c>
      <c r="H656" s="1213">
        <f>+'Qualitative Disclosures'!H760</f>
        <v>0</v>
      </c>
      <c r="I656" s="831">
        <f>+'Qualitative Disclosures'!I760</f>
        <v>489514.37319999991</v>
      </c>
      <c r="K656" s="41" t="s">
        <v>1337</v>
      </c>
      <c r="M656" s="1756" t="s">
        <v>990</v>
      </c>
    </row>
    <row r="657" spans="3:13" x14ac:dyDescent="0.3">
      <c r="C657" s="457" t="s">
        <v>858</v>
      </c>
      <c r="D657" s="828">
        <f>+'Qualitative Disclosures'!D761</f>
        <v>0</v>
      </c>
      <c r="E657" s="828">
        <f>+'Qualitative Disclosures'!E761</f>
        <v>0</v>
      </c>
      <c r="F657" s="828">
        <f>+'Qualitative Disclosures'!F761</f>
        <v>0</v>
      </c>
      <c r="G657" s="831">
        <f>+'Qualitative Disclosures'!G761</f>
        <v>0</v>
      </c>
      <c r="H657" s="1213">
        <f>+'Qualitative Disclosures'!H761</f>
        <v>0</v>
      </c>
      <c r="I657" s="831">
        <f>+'Qualitative Disclosures'!I761</f>
        <v>0</v>
      </c>
      <c r="M657" s="1756" t="s">
        <v>990</v>
      </c>
    </row>
    <row r="658" spans="3:13" x14ac:dyDescent="0.3">
      <c r="C658" s="1314" t="s">
        <v>859</v>
      </c>
      <c r="D658" s="2659">
        <f>+'Qualitative Disclosures'!D762</f>
        <v>0</v>
      </c>
      <c r="E658" s="1953">
        <f>+'Qualitative Disclosures'!E762</f>
        <v>0</v>
      </c>
      <c r="F658" s="1953">
        <f>+'Qualitative Disclosures'!F762</f>
        <v>0</v>
      </c>
      <c r="G658" s="1953">
        <f>+'Qualitative Disclosures'!G762</f>
        <v>0</v>
      </c>
      <c r="H658" s="1218">
        <f>+'Qualitative Disclosures'!H762</f>
        <v>0</v>
      </c>
      <c r="I658" s="1953">
        <f>+'Qualitative Disclosures'!I762</f>
        <v>0</v>
      </c>
      <c r="L658" s="1740" t="str">
        <f>+IF(AND(SUM(I655:I658)=E650,SUM(I663:I666)=F650),"Correct Disclosures Given","Incorrect Disclosures Given")</f>
        <v>Correct Disclosures Given</v>
      </c>
      <c r="M658" s="1756" t="s">
        <v>990</v>
      </c>
    </row>
    <row r="659" spans="3:13" x14ac:dyDescent="0.3">
      <c r="I659" s="1316"/>
      <c r="M659" s="1756" t="s">
        <v>990</v>
      </c>
    </row>
    <row r="660" spans="3:13" x14ac:dyDescent="0.3">
      <c r="C660" s="483" t="str">
        <f>"Trade Payables ageing schedule " &amp;BSPY</f>
        <v>Trade Payables ageing schedule As At 31st March 2024</v>
      </c>
      <c r="G660" s="841"/>
      <c r="H660" s="2763" t="str">
        <f>+H652</f>
        <v>Amount in Rs '00.</v>
      </c>
      <c r="I660" s="2763"/>
      <c r="M660" s="1756" t="s">
        <v>990</v>
      </c>
    </row>
    <row r="661" spans="3:13" x14ac:dyDescent="0.3">
      <c r="C661" s="2769" t="str">
        <f>+'Qualitative Disclosures'!C770</f>
        <v>Particulars</v>
      </c>
      <c r="D661" s="2769" t="str">
        <f>+'Qualitative Disclosures'!D770</f>
        <v>Provisions</v>
      </c>
      <c r="E661" s="2762" t="str">
        <f>+'Qualitative Disclosures'!E770</f>
        <v>Outstanding from following periods from due date of payment</v>
      </c>
      <c r="F661" s="2762">
        <f>+'Qualitative Disclosures'!F770</f>
        <v>0</v>
      </c>
      <c r="G661" s="2762">
        <f>+'Qualitative Disclosures'!G770</f>
        <v>0</v>
      </c>
      <c r="H661" s="2762">
        <f>+'Qualitative Disclosures'!H770</f>
        <v>0</v>
      </c>
      <c r="I661" s="2764" t="str">
        <f>+'Qualitative Disclosures'!I770</f>
        <v>Total</v>
      </c>
      <c r="J661" s="102"/>
      <c r="M661" s="1756" t="s">
        <v>990</v>
      </c>
    </row>
    <row r="662" spans="3:13" x14ac:dyDescent="0.3">
      <c r="C662" s="2769"/>
      <c r="D662" s="2769"/>
      <c r="E662" s="1951" t="str">
        <f>+'Qualitative Disclosures'!E771</f>
        <v>Less than 1 Year</v>
      </c>
      <c r="F662" s="1948" t="str">
        <f>+'Qualitative Disclosures'!F771</f>
        <v>1 - 2 Years</v>
      </c>
      <c r="G662" s="1948" t="str">
        <f>+'Qualitative Disclosures'!G771</f>
        <v>2 - 3 Years</v>
      </c>
      <c r="H662" s="1948" t="str">
        <f>+'Qualitative Disclosures'!H771</f>
        <v>More than 3 Year</v>
      </c>
      <c r="I662" s="2764"/>
      <c r="J662" s="102"/>
      <c r="M662" s="1756" t="s">
        <v>990</v>
      </c>
    </row>
    <row r="663" spans="3:13" x14ac:dyDescent="0.3">
      <c r="C663" s="457" t="s">
        <v>857</v>
      </c>
      <c r="D663" s="2485">
        <f>+'Qualitative Disclosures'!D772</f>
        <v>0</v>
      </c>
      <c r="E663" s="828">
        <f>+'Qualitative Disclosures'!E772</f>
        <v>0</v>
      </c>
      <c r="F663" s="828">
        <f>+'Qualitative Disclosures'!F772</f>
        <v>0</v>
      </c>
      <c r="G663" s="831">
        <f>+'Qualitative Disclosures'!G772</f>
        <v>0</v>
      </c>
      <c r="H663" s="1213">
        <f>+'Qualitative Disclosures'!H772</f>
        <v>0</v>
      </c>
      <c r="I663" s="843">
        <f>+'Qualitative Disclosures'!I772</f>
        <v>0</v>
      </c>
      <c r="M663" s="1756" t="s">
        <v>990</v>
      </c>
    </row>
    <row r="664" spans="3:13" x14ac:dyDescent="0.3">
      <c r="C664" s="457" t="s">
        <v>791</v>
      </c>
      <c r="D664" s="2485">
        <f>+'Qualitative Disclosures'!D773</f>
        <v>21287.600300000002</v>
      </c>
      <c r="E664" s="828">
        <f>+'Qualitative Disclosures'!E773</f>
        <v>275596.38770000008</v>
      </c>
      <c r="F664" s="828">
        <f>+'Qualitative Disclosures'!F773</f>
        <v>0</v>
      </c>
      <c r="G664" s="831">
        <f>+'Qualitative Disclosures'!G773</f>
        <v>0</v>
      </c>
      <c r="H664" s="1213">
        <f>+'Qualitative Disclosures'!H773</f>
        <v>0</v>
      </c>
      <c r="I664" s="831">
        <f>+'Qualitative Disclosures'!I773</f>
        <v>296883.98800000007</v>
      </c>
      <c r="K664" s="41" t="s">
        <v>1337</v>
      </c>
      <c r="M664" s="1756" t="s">
        <v>990</v>
      </c>
    </row>
    <row r="665" spans="3:13" x14ac:dyDescent="0.3">
      <c r="C665" s="457" t="s">
        <v>858</v>
      </c>
      <c r="D665" s="2485">
        <f>+'Qualitative Disclosures'!D774</f>
        <v>0</v>
      </c>
      <c r="E665" s="828">
        <f>+'Qualitative Disclosures'!E774</f>
        <v>0</v>
      </c>
      <c r="F665" s="828">
        <f>+'Qualitative Disclosures'!F774</f>
        <v>0</v>
      </c>
      <c r="G665" s="831">
        <f>+'Qualitative Disclosures'!G774</f>
        <v>0</v>
      </c>
      <c r="H665" s="1213">
        <f>+'Qualitative Disclosures'!H774</f>
        <v>0</v>
      </c>
      <c r="I665" s="831">
        <f>+'Qualitative Disclosures'!I774</f>
        <v>0</v>
      </c>
      <c r="M665" s="1756" t="s">
        <v>990</v>
      </c>
    </row>
    <row r="666" spans="3:13" x14ac:dyDescent="0.3">
      <c r="C666" s="1314" t="s">
        <v>859</v>
      </c>
      <c r="D666" s="2486">
        <f>+'Qualitative Disclosures'!D775</f>
        <v>0</v>
      </c>
      <c r="E666" s="1953">
        <f>+'Qualitative Disclosures'!E775</f>
        <v>0</v>
      </c>
      <c r="F666" s="1953">
        <f>+'Qualitative Disclosures'!F775</f>
        <v>0</v>
      </c>
      <c r="G666" s="1953">
        <f>+'Qualitative Disclosures'!G775</f>
        <v>0</v>
      </c>
      <c r="H666" s="1218">
        <f>+'Qualitative Disclosures'!H775</f>
        <v>0</v>
      </c>
      <c r="I666" s="1953">
        <f>+'Qualitative Disclosures'!I775</f>
        <v>0</v>
      </c>
      <c r="M666" s="1756" t="s">
        <v>990</v>
      </c>
    </row>
    <row r="667" spans="3:13" x14ac:dyDescent="0.3">
      <c r="M667" s="1756" t="str">
        <f>$M$650</f>
        <v>Yes</v>
      </c>
    </row>
    <row r="668" spans="3:13" hidden="1" x14ac:dyDescent="0.3">
      <c r="C668" s="1493" t="str">
        <f>+IF(Footnotes!C57="","",Footnotes!C57)</f>
        <v/>
      </c>
      <c r="D668" s="1493" t="str">
        <f>+IF(Footnotes!D57="","",Footnotes!D57)</f>
        <v/>
      </c>
      <c r="E668" s="1593" t="str">
        <f>+IF(Footnotes!E57="","",Footnotes!E57)</f>
        <v/>
      </c>
      <c r="F668" s="1593" t="str">
        <f>+IF(Footnotes!F57="","",Footnotes!F57)</f>
        <v/>
      </c>
      <c r="G668" s="1593" t="str">
        <f>+IF(Footnotes!G57="","",Footnotes!G57)</f>
        <v/>
      </c>
      <c r="H668" s="1593" t="str">
        <f>+IF(Footnotes!H57="","",Footnotes!H57)</f>
        <v/>
      </c>
      <c r="I668" s="1267" t="str">
        <f>+IF(Footnotes!I57="","",Footnotes!I57)</f>
        <v/>
      </c>
      <c r="M668" s="1756" t="str">
        <f t="shared" ref="M668:M673" si="31">+IF(AND(C668="",D668="",E668="",F668="",G668="",H668="",I668=""),"No","Yes")</f>
        <v>No</v>
      </c>
    </row>
    <row r="669" spans="3:13" hidden="1" x14ac:dyDescent="0.3">
      <c r="C669" s="1493" t="str">
        <f>+IF(Footnotes!C58="","",Footnotes!C58)</f>
        <v/>
      </c>
      <c r="D669" s="1493" t="str">
        <f>+IF(Footnotes!D58="","",Footnotes!D58)</f>
        <v/>
      </c>
      <c r="E669" s="1593" t="str">
        <f>+IF(Footnotes!E58="","",Footnotes!E58)</f>
        <v/>
      </c>
      <c r="F669" s="1593" t="str">
        <f>+IF(Footnotes!F58="","",Footnotes!F58)</f>
        <v/>
      </c>
      <c r="G669" s="1593" t="str">
        <f>+IF(Footnotes!G58="","",Footnotes!G58)</f>
        <v/>
      </c>
      <c r="H669" s="1593" t="str">
        <f>+IF(Footnotes!H58="","",Footnotes!H58)</f>
        <v/>
      </c>
      <c r="I669" s="1267" t="str">
        <f>+IF(Footnotes!I58="","",Footnotes!I58)</f>
        <v/>
      </c>
      <c r="M669" s="1756" t="str">
        <f t="shared" si="31"/>
        <v>No</v>
      </c>
    </row>
    <row r="670" spans="3:13" hidden="1" x14ac:dyDescent="0.3">
      <c r="C670" s="1493" t="str">
        <f>+IF(Footnotes!C59="","",Footnotes!C59)</f>
        <v/>
      </c>
      <c r="D670" s="1493" t="str">
        <f>+IF(Footnotes!D59="","",Footnotes!D59)</f>
        <v/>
      </c>
      <c r="E670" s="1593" t="str">
        <f>+IF(Footnotes!E59="","",Footnotes!E59)</f>
        <v/>
      </c>
      <c r="F670" s="1593" t="str">
        <f>+IF(Footnotes!F59="","",Footnotes!F59)</f>
        <v/>
      </c>
      <c r="G670" s="1593" t="str">
        <f>+IF(Footnotes!G59="","",Footnotes!G59)</f>
        <v/>
      </c>
      <c r="H670" s="1593" t="str">
        <f>+IF(Footnotes!H59="","",Footnotes!H59)</f>
        <v/>
      </c>
      <c r="I670" s="1267" t="str">
        <f>+IF(Footnotes!I59="","",Footnotes!I59)</f>
        <v/>
      </c>
      <c r="M670" s="1756" t="str">
        <f t="shared" si="31"/>
        <v>No</v>
      </c>
    </row>
    <row r="671" spans="3:13" hidden="1" x14ac:dyDescent="0.3">
      <c r="C671" s="1493" t="str">
        <f>+IF(Footnotes!C60="","",Footnotes!C60)</f>
        <v/>
      </c>
      <c r="D671" s="1493" t="str">
        <f>+IF(Footnotes!D60="","",Footnotes!D60)</f>
        <v/>
      </c>
      <c r="E671" s="1593" t="str">
        <f>+IF(Footnotes!E60="","",Footnotes!E60)</f>
        <v/>
      </c>
      <c r="F671" s="1593" t="str">
        <f>+IF(Footnotes!F60="","",Footnotes!F60)</f>
        <v/>
      </c>
      <c r="G671" s="1593" t="str">
        <f>+IF(Footnotes!G60="","",Footnotes!G60)</f>
        <v/>
      </c>
      <c r="H671" s="1593" t="str">
        <f>+IF(Footnotes!H60="","",Footnotes!H60)</f>
        <v/>
      </c>
      <c r="I671" s="1267" t="str">
        <f>+IF(Footnotes!I60="","",Footnotes!I60)</f>
        <v/>
      </c>
      <c r="M671" s="1756" t="str">
        <f t="shared" si="31"/>
        <v>No</v>
      </c>
    </row>
    <row r="672" spans="3:13" hidden="1" x14ac:dyDescent="0.3">
      <c r="C672" s="1493" t="str">
        <f>+IF(Footnotes!C61="","",Footnotes!C61)</f>
        <v/>
      </c>
      <c r="D672" s="1493" t="str">
        <f>+IF(Footnotes!D61="","",Footnotes!D61)</f>
        <v/>
      </c>
      <c r="E672" s="1593" t="str">
        <f>+IF(Footnotes!E61="","",Footnotes!E61)</f>
        <v/>
      </c>
      <c r="F672" s="1593" t="str">
        <f>+IF(Footnotes!F61="","",Footnotes!F61)</f>
        <v/>
      </c>
      <c r="G672" s="1593" t="str">
        <f>+IF(Footnotes!G61="","",Footnotes!G61)</f>
        <v/>
      </c>
      <c r="H672" s="1593" t="str">
        <f>+IF(Footnotes!H61="","",Footnotes!H61)</f>
        <v/>
      </c>
      <c r="I672" s="1267" t="str">
        <f>+IF(Footnotes!I61="","",Footnotes!I61)</f>
        <v/>
      </c>
      <c r="M672" s="1756" t="str">
        <f t="shared" si="31"/>
        <v>No</v>
      </c>
    </row>
    <row r="673" spans="3:20" hidden="1" x14ac:dyDescent="0.3">
      <c r="C673" s="1493" t="str">
        <f>+IF(Footnotes!C62="","",Footnotes!C62)</f>
        <v/>
      </c>
      <c r="D673" s="1493" t="str">
        <f>+IF(Footnotes!D62="","",Footnotes!D62)</f>
        <v/>
      </c>
      <c r="E673" s="1593" t="str">
        <f>+IF(Footnotes!E62="","",Footnotes!E62)</f>
        <v/>
      </c>
      <c r="F673" s="1593" t="str">
        <f>+IF(Footnotes!F62="","",Footnotes!F62)</f>
        <v/>
      </c>
      <c r="G673" s="1593" t="str">
        <f>+IF(Footnotes!G62="","",Footnotes!G62)</f>
        <v/>
      </c>
      <c r="H673" s="1593" t="str">
        <f>+IF(Footnotes!H62="","",Footnotes!H62)</f>
        <v/>
      </c>
      <c r="I673" s="1267" t="str">
        <f>+IF(Footnotes!I62="","",Footnotes!I62)</f>
        <v/>
      </c>
      <c r="M673" s="1756" t="str">
        <f t="shared" si="31"/>
        <v>No</v>
      </c>
    </row>
    <row r="674" spans="3:20" hidden="1" x14ac:dyDescent="0.3">
      <c r="M674" s="1756" t="str">
        <f>M673</f>
        <v>No</v>
      </c>
    </row>
    <row r="675" spans="3:20" s="307" customFormat="1" x14ac:dyDescent="0.3">
      <c r="C675" s="2757" t="str">
        <f>+"Note "&amp;'Balance Sheet'!E35&amp;" : Other current liabilities"</f>
        <v>Note 7 : Other current liabilities</v>
      </c>
      <c r="D675" s="2757"/>
      <c r="E675" s="1761"/>
      <c r="F675" s="1761"/>
      <c r="G675" s="1763"/>
      <c r="H675" s="1763"/>
      <c r="M675" s="1756" t="str">
        <f>$M$700</f>
        <v>Yes</v>
      </c>
      <c r="N675" s="1"/>
      <c r="O675" s="1"/>
      <c r="P675" s="1"/>
      <c r="Q675" s="1"/>
      <c r="R675" s="1"/>
      <c r="S675" s="1"/>
      <c r="T675" s="1"/>
    </row>
    <row r="676" spans="3:20" x14ac:dyDescent="0.3">
      <c r="F676" s="1673" t="str">
        <f>+F644</f>
        <v>Amount in Rs '00.</v>
      </c>
      <c r="M676" s="1756" t="str">
        <f>$M$700</f>
        <v>Yes</v>
      </c>
    </row>
    <row r="677" spans="3:20" ht="30" x14ac:dyDescent="0.3">
      <c r="C677" s="2711" t="s">
        <v>20</v>
      </c>
      <c r="D677" s="2756"/>
      <c r="E677" s="1951" t="str">
        <f>BSCY</f>
        <v>As At 31st March 2025</v>
      </c>
      <c r="F677" s="1951" t="str">
        <f>BSPY</f>
        <v>As At 31st March 2024</v>
      </c>
      <c r="G677" s="1608"/>
      <c r="I677" s="81"/>
      <c r="M677" s="1756" t="str">
        <f>$M$700</f>
        <v>Yes</v>
      </c>
    </row>
    <row r="678" spans="3:20" hidden="1" x14ac:dyDescent="0.3">
      <c r="C678" s="2754" t="str">
        <f>IF(M678="No","(a) Current maturities of finance lease obligations","(a) Current maturities of finance lease obligations")</f>
        <v>(a) Current maturities of finance lease obligations</v>
      </c>
      <c r="D678" s="2755"/>
      <c r="E678" s="845">
        <f>-SUMIFS('Master TB'!$J:$J,'Master TB'!$E:$E,Liabilities!$K678)</f>
        <v>0</v>
      </c>
      <c r="F678" s="845">
        <f>-SUMIFS('Master TB'!$V:$V,'Master TB'!$E:$E,Liabilities!$K678)</f>
        <v>0</v>
      </c>
      <c r="G678" s="1189"/>
      <c r="I678" s="81"/>
      <c r="K678" s="41" t="s">
        <v>1313</v>
      </c>
      <c r="M678" s="1756" t="str">
        <f t="shared" ref="M678:M684" si="32">IF(AND(E678=0,F678=0),"No","Yes")</f>
        <v>No</v>
      </c>
      <c r="N678" s="1" t="str">
        <f>+ "Current maturities of finance lease obligations (Refer Note "&amp; MID('AS 18 Disclosures'!C11,6,2)&amp;" )"</f>
        <v>Current maturities of finance lease obligations (Refer Note 21 )</v>
      </c>
    </row>
    <row r="679" spans="3:20" ht="33" hidden="1" x14ac:dyDescent="0.3">
      <c r="C679" s="467" t="str">
        <f t="shared" ref="C679:C685" si="33">IF(M678="Yes","("&amp; CHAR(CODE(MID(C678,2,3))+1)&amp;") "&amp;N679,"(" &amp; MID(C678,2,3)&amp;N679)</f>
        <v>(a)  Interest accrued but not due on borrowings</v>
      </c>
      <c r="D679" s="1752"/>
      <c r="E679" s="845">
        <f>-SUMIFS('Master TB'!$J:$J,'Master TB'!$E:$E,Liabilities!$K679)</f>
        <v>0</v>
      </c>
      <c r="F679" s="845">
        <f>-SUMIFS('Master TB'!$V:$V,'Master TB'!$E:$E,Liabilities!$K679)</f>
        <v>0</v>
      </c>
      <c r="G679" s="1189"/>
      <c r="I679" s="81"/>
      <c r="K679" s="41" t="s">
        <v>1314</v>
      </c>
      <c r="M679" s="1756" t="str">
        <f t="shared" si="32"/>
        <v>No</v>
      </c>
      <c r="N679" s="1" t="s">
        <v>1381</v>
      </c>
    </row>
    <row r="680" spans="3:20" hidden="1" x14ac:dyDescent="0.3">
      <c r="C680" s="467" t="str">
        <f t="shared" si="33"/>
        <v>(a)  Interest accrued and due on borrowings</v>
      </c>
      <c r="D680" s="1752"/>
      <c r="E680" s="845">
        <f>-SUMIFS('Master TB'!$J:$J,'Master TB'!$E:$E,Liabilities!$K680)</f>
        <v>0</v>
      </c>
      <c r="F680" s="845">
        <f>-SUMIFS('Master TB'!$V:$V,'Master TB'!$E:$E,Liabilities!$K680)</f>
        <v>0</v>
      </c>
      <c r="G680" s="1189"/>
      <c r="I680" s="81"/>
      <c r="K680" s="41" t="s">
        <v>1318</v>
      </c>
      <c r="M680" s="1756" t="str">
        <f t="shared" si="32"/>
        <v>No</v>
      </c>
      <c r="N680" s="1" t="s">
        <v>1382</v>
      </c>
    </row>
    <row r="681" spans="3:20" hidden="1" x14ac:dyDescent="0.3">
      <c r="C681" s="2752" t="str">
        <f t="shared" si="33"/>
        <v>(a)  Income received in advance (Unearned revenue)</v>
      </c>
      <c r="D681" s="2753"/>
      <c r="E681" s="845">
        <f>-SUMIFS('Master TB'!$J:$J,'Master TB'!$E:$E,Liabilities!$K681)</f>
        <v>0</v>
      </c>
      <c r="F681" s="845">
        <f>-SUMIFS('Master TB'!$V:$V,'Master TB'!$E:$E,Liabilities!$K681)</f>
        <v>0</v>
      </c>
      <c r="G681" s="1189"/>
      <c r="I681" s="81"/>
      <c r="K681" s="41" t="s">
        <v>1319</v>
      </c>
      <c r="M681" s="1756" t="str">
        <f t="shared" si="32"/>
        <v>No</v>
      </c>
      <c r="N681" s="1" t="s">
        <v>1383</v>
      </c>
    </row>
    <row r="682" spans="3:20" hidden="1" x14ac:dyDescent="0.3">
      <c r="C682" s="467" t="str">
        <f t="shared" si="33"/>
        <v>(a)   Unclaimed / unpaid dividends</v>
      </c>
      <c r="D682" s="1752"/>
      <c r="E682" s="845">
        <f>-SUMIFS('Master TB'!$J:$J,'Master TB'!$E:$E,Liabilities!$K682)</f>
        <v>0</v>
      </c>
      <c r="F682" s="845">
        <f>-SUMIFS('Master TB'!$V:$V,'Master TB'!$E:$E,Liabilities!$K682)</f>
        <v>0</v>
      </c>
      <c r="G682" s="1189"/>
      <c r="I682" s="81"/>
      <c r="K682" s="41" t="s">
        <v>1320</v>
      </c>
      <c r="M682" s="1756" t="str">
        <f t="shared" si="32"/>
        <v>No</v>
      </c>
      <c r="N682" s="1" t="s">
        <v>1384</v>
      </c>
    </row>
    <row r="683" spans="3:20" ht="49.5" hidden="1" x14ac:dyDescent="0.3">
      <c r="C683" s="467" t="str">
        <f t="shared" si="33"/>
        <v>(a)  Application money received for allotment of securities and due for refund and interest accrued thereon;</v>
      </c>
      <c r="D683" s="1752"/>
      <c r="E683" s="845">
        <f>-SUMIFS('Master TB'!$J:$J,'Master TB'!$E:$E,Liabilities!$K683)</f>
        <v>0</v>
      </c>
      <c r="F683" s="845">
        <f>-SUMIFS('Master TB'!$V:$V,'Master TB'!$E:$E,Liabilities!$K683)</f>
        <v>0</v>
      </c>
      <c r="G683" s="1189"/>
      <c r="I683" s="81"/>
      <c r="K683" s="41" t="s">
        <v>1321</v>
      </c>
      <c r="M683" s="1756" t="str">
        <f t="shared" si="32"/>
        <v>No</v>
      </c>
      <c r="N683" s="1" t="s">
        <v>1385</v>
      </c>
    </row>
    <row r="684" spans="3:20" ht="33" hidden="1" x14ac:dyDescent="0.3">
      <c r="C684" s="467" t="str">
        <f t="shared" si="33"/>
        <v>(a)  Unpaid matured deposits / debentures and interest accrued thereon</v>
      </c>
      <c r="D684" s="1752"/>
      <c r="E684" s="845">
        <f>-SUMIFS('Master TB'!$J:$J,'Master TB'!$E:$E,Liabilities!$K684)</f>
        <v>0</v>
      </c>
      <c r="F684" s="845">
        <f>-SUMIFS('Master TB'!$V:$V,'Master TB'!$E:$E,Liabilities!$K684)</f>
        <v>0</v>
      </c>
      <c r="G684" s="1189"/>
      <c r="I684" s="81"/>
      <c r="K684" s="41" t="s">
        <v>1315</v>
      </c>
      <c r="M684" s="1756" t="str">
        <f t="shared" si="32"/>
        <v>No</v>
      </c>
      <c r="N684" s="1" t="s">
        <v>1386</v>
      </c>
    </row>
    <row r="685" spans="3:20" x14ac:dyDescent="0.3">
      <c r="C685" s="467" t="str">
        <f t="shared" si="33"/>
        <v>(a)  Other payables</v>
      </c>
      <c r="D685" s="1752"/>
      <c r="E685" s="845"/>
      <c r="F685" s="845"/>
      <c r="G685" s="1189"/>
      <c r="I685" s="81"/>
      <c r="M685" s="1756" t="str">
        <f>IF(AND(M686="No",M687="No",M688="No",M689="No",M690="No",M691="No",M692="No",M696="No"),"No","Yes")</f>
        <v>Yes</v>
      </c>
      <c r="N685" s="1" t="s">
        <v>1387</v>
      </c>
    </row>
    <row r="686" spans="3:20" x14ac:dyDescent="0.3">
      <c r="C686" s="2660" t="s">
        <v>3834</v>
      </c>
      <c r="D686" s="1759"/>
      <c r="E686" s="845">
        <f>-SUMIFS('Master TB'!$J:$J,'Master TB'!$E:$E,Liabilities!$K686)</f>
        <v>34329.739099999999</v>
      </c>
      <c r="F686" s="831">
        <f>-SUMIFS('Master TB'!$V:$V,'Master TB'!$E:$E,Liabilities!$K686)</f>
        <v>67299.280800000008</v>
      </c>
      <c r="G686" s="1189"/>
      <c r="I686" s="81"/>
      <c r="K686" s="41" t="s">
        <v>1316</v>
      </c>
      <c r="M686" s="1756" t="str">
        <f t="shared" ref="M686:M696" si="34">IF(AND(E686=0,F686=0),"No","Yes")</f>
        <v>Yes</v>
      </c>
      <c r="N686" s="1" t="s">
        <v>19</v>
      </c>
    </row>
    <row r="687" spans="3:20" hidden="1" x14ac:dyDescent="0.3">
      <c r="C687" s="1758" t="s">
        <v>1297</v>
      </c>
      <c r="D687" s="252"/>
      <c r="E687" s="845">
        <f>-SUMIFS('Master TB'!$J:$J,'Master TB'!$E:$E,Liabilities!$K687)</f>
        <v>0</v>
      </c>
      <c r="F687" s="845">
        <f>-SUMIFS('Master TB'!$V:$V,'Master TB'!$E:$E,Liabilities!$K687)</f>
        <v>0</v>
      </c>
      <c r="G687" s="1189"/>
      <c r="I687" s="81"/>
      <c r="K687" s="41" t="s">
        <v>1317</v>
      </c>
      <c r="M687" s="1756" t="str">
        <f t="shared" si="34"/>
        <v>No</v>
      </c>
    </row>
    <row r="688" spans="3:20" hidden="1" x14ac:dyDescent="0.3">
      <c r="C688" s="1758" t="s">
        <v>1298</v>
      </c>
      <c r="D688" s="252"/>
      <c r="E688" s="845">
        <f>-SUMIFS('Master TB'!$J:$J,'Master TB'!$E:$E,Liabilities!$K688)</f>
        <v>0</v>
      </c>
      <c r="F688" s="845">
        <f>-SUMIFS('Master TB'!$V:$V,'Master TB'!$E:$E,Liabilities!$K688)</f>
        <v>0</v>
      </c>
      <c r="G688" s="1189"/>
      <c r="I688" s="81"/>
      <c r="K688" s="41" t="s">
        <v>1322</v>
      </c>
      <c r="M688" s="1756" t="str">
        <f t="shared" si="34"/>
        <v>No</v>
      </c>
    </row>
    <row r="689" spans="3:13" hidden="1" x14ac:dyDescent="0.3">
      <c r="C689" s="1758" t="s">
        <v>1299</v>
      </c>
      <c r="D689" s="252"/>
      <c r="E689" s="845">
        <f>-SUMIFS('Master TB'!$J:$J,'Master TB'!$E:$E,Liabilities!$K689)</f>
        <v>0</v>
      </c>
      <c r="F689" s="845">
        <f>-SUMIFS('Master TB'!$V:$V,'Master TB'!$E:$E,Liabilities!$K689)</f>
        <v>0</v>
      </c>
      <c r="G689" s="1189"/>
      <c r="I689" s="81"/>
      <c r="K689" s="41" t="s">
        <v>1323</v>
      </c>
      <c r="M689" s="1756" t="str">
        <f t="shared" si="34"/>
        <v>No</v>
      </c>
    </row>
    <row r="690" spans="3:13" hidden="1" x14ac:dyDescent="0.3">
      <c r="C690" s="1758" t="s">
        <v>1300</v>
      </c>
      <c r="D690" s="252"/>
      <c r="E690" s="845">
        <f>-SUMIFS('Master TB'!$J:$J,'Master TB'!$E:$E,Liabilities!$K690)</f>
        <v>0</v>
      </c>
      <c r="F690" s="845">
        <f>-SUMIFS('Master TB'!$V:$V,'Master TB'!$E:$E,Liabilities!$K690)</f>
        <v>0</v>
      </c>
      <c r="G690" s="1189"/>
      <c r="I690" s="81"/>
      <c r="K690" s="41" t="s">
        <v>1324</v>
      </c>
      <c r="M690" s="1756" t="str">
        <f t="shared" si="34"/>
        <v>No</v>
      </c>
    </row>
    <row r="691" spans="3:13" hidden="1" x14ac:dyDescent="0.3">
      <c r="C691" s="1758" t="s">
        <v>1301</v>
      </c>
      <c r="D691" s="252"/>
      <c r="E691" s="845">
        <f>-SUMIFS('Master TB'!$J:$J,'Master TB'!$E:$E,Liabilities!$K691)</f>
        <v>0</v>
      </c>
      <c r="F691" s="845">
        <f>-SUMIFS('Master TB'!$V:$V,'Master TB'!$E:$E,Liabilities!$K691)</f>
        <v>0</v>
      </c>
      <c r="G691" s="1189"/>
      <c r="I691" s="81"/>
      <c r="K691" s="41" t="s">
        <v>1325</v>
      </c>
      <c r="M691" s="1756" t="str">
        <f t="shared" si="34"/>
        <v>No</v>
      </c>
    </row>
    <row r="692" spans="3:13" hidden="1" x14ac:dyDescent="0.3">
      <c r="C692" s="1758" t="s">
        <v>1302</v>
      </c>
      <c r="D692" s="252"/>
      <c r="E692" s="845">
        <f>-SUMIFS('Master TB'!$J:$J,'Master TB'!$E:$E,Liabilities!$K692)</f>
        <v>0</v>
      </c>
      <c r="F692" s="845">
        <f>-SUMIFS('Master TB'!$V:$V,'Master TB'!$E:$E,Liabilities!$K692)</f>
        <v>0</v>
      </c>
      <c r="G692" s="1189"/>
      <c r="I692" s="81"/>
      <c r="K692" s="41" t="s">
        <v>1326</v>
      </c>
      <c r="M692" s="1756" t="str">
        <f t="shared" si="34"/>
        <v>No</v>
      </c>
    </row>
    <row r="693" spans="3:13" x14ac:dyDescent="0.3">
      <c r="C693" s="1758" t="s">
        <v>1648</v>
      </c>
      <c r="D693" s="252"/>
      <c r="E693" s="845">
        <f>-SUMIFS('Master TB'!$J:$J,'Master TB'!$E:$E,Liabilities!$K693)</f>
        <v>40911.334999999999</v>
      </c>
      <c r="F693" s="845">
        <f>-SUMIFS('Master TB'!$V:$V,'Master TB'!$E:$E,Liabilities!$K693)</f>
        <v>2770.5964000000004</v>
      </c>
      <c r="G693" s="1189"/>
      <c r="I693" s="81"/>
      <c r="K693" s="41" t="s">
        <v>1327</v>
      </c>
      <c r="M693" s="1756" t="str">
        <f t="shared" si="34"/>
        <v>Yes</v>
      </c>
    </row>
    <row r="694" spans="3:13" x14ac:dyDescent="0.3">
      <c r="C694" s="1758" t="s">
        <v>1668</v>
      </c>
      <c r="D694" s="252"/>
      <c r="E694" s="845">
        <f>-SUMIFS('Master TB'!$J:$J,'Master TB'!$E:$E,Liabilities!$K694)</f>
        <v>2943.3158000000003</v>
      </c>
      <c r="F694" s="845">
        <f>-SUMIFS('Master TB'!$V:$V,'Master TB'!$E:$E,Liabilities!$K694)</f>
        <v>0</v>
      </c>
      <c r="G694" s="1189"/>
      <c r="I694" s="81"/>
      <c r="K694" s="41" t="s">
        <v>1646</v>
      </c>
      <c r="M694" s="1756" t="str">
        <f t="shared" si="34"/>
        <v>Yes</v>
      </c>
    </row>
    <row r="695" spans="3:13" hidden="1" x14ac:dyDescent="0.3">
      <c r="C695" s="1758" t="s">
        <v>3526</v>
      </c>
      <c r="D695" s="252"/>
      <c r="E695" s="845">
        <f>-SUMIFS('Master TB'!$J:$J,'Master TB'!$E:$E,Liabilities!$K695)</f>
        <v>0</v>
      </c>
      <c r="F695" s="845">
        <f>-SUMIFS('Master TB'!$V:$V,'Master TB'!$E:$E,Liabilities!$K695)</f>
        <v>0</v>
      </c>
      <c r="G695" s="1189"/>
      <c r="I695" s="81"/>
      <c r="K695" s="41" t="s">
        <v>3527</v>
      </c>
      <c r="M695" s="1756"/>
    </row>
    <row r="696" spans="3:13" hidden="1" x14ac:dyDescent="0.3">
      <c r="C696" s="1758" t="s">
        <v>1704</v>
      </c>
      <c r="D696" s="252"/>
      <c r="E696" s="970">
        <f>-SUMIFS('Master TB'!$J:$J,'Master TB'!$E:$E,Liabilities!$K696)</f>
        <v>-4.0000000000000001E-3</v>
      </c>
      <c r="F696" s="970">
        <f>-SUMIFS('Master TB'!$V:$V,'Master TB'!$E:$E,Liabilities!$K696)</f>
        <v>1E-4</v>
      </c>
      <c r="G696" s="1189"/>
      <c r="I696" s="81"/>
      <c r="K696" s="41" t="s">
        <v>1667</v>
      </c>
      <c r="L696" s="41" t="s">
        <v>3770</v>
      </c>
      <c r="M696" s="1756" t="str">
        <f t="shared" si="34"/>
        <v>Yes</v>
      </c>
    </row>
    <row r="697" spans="3:13" hidden="1" x14ac:dyDescent="0.3">
      <c r="C697" s="1758" t="s">
        <v>3767</v>
      </c>
      <c r="D697" s="252"/>
      <c r="E697" s="845">
        <f>-SUMIF('Master TB'!E:E,Liabilities!K697,'Master TB'!J:J)</f>
        <v>0</v>
      </c>
      <c r="F697" s="845"/>
      <c r="G697" s="1189"/>
      <c r="I697" s="81"/>
      <c r="K697" s="1" t="s">
        <v>3768</v>
      </c>
      <c r="M697" s="1756"/>
    </row>
    <row r="698" spans="3:13" x14ac:dyDescent="0.3">
      <c r="C698" s="2692" t="s">
        <v>3899</v>
      </c>
      <c r="D698" s="252"/>
      <c r="E698" s="845">
        <f>-SUMIFS(masterTBCY[Amount for Financials],masterTBCY[Coding Applied],Liabilities!K698)</f>
        <v>26738.636500000001</v>
      </c>
      <c r="F698" s="845">
        <f>-SUMIFS('Master TB'!$V:$V,'Master TB'!$E:$E,Liabilities!#REF!)</f>
        <v>0</v>
      </c>
      <c r="G698" s="1189"/>
      <c r="I698" s="81"/>
      <c r="K698" s="1" t="s">
        <v>3619</v>
      </c>
      <c r="M698" s="1756"/>
    </row>
    <row r="699" spans="3:13" x14ac:dyDescent="0.3">
      <c r="C699" s="467"/>
      <c r="D699" s="458"/>
      <c r="E699" s="1197"/>
      <c r="F699" s="1762"/>
      <c r="G699" s="1189"/>
      <c r="I699" s="81"/>
      <c r="M699" s="1756" t="str">
        <f>M700</f>
        <v>Yes</v>
      </c>
    </row>
    <row r="700" spans="3:13" x14ac:dyDescent="0.3">
      <c r="C700" s="2743" t="s">
        <v>35</v>
      </c>
      <c r="D700" s="2744"/>
      <c r="E700" s="1948">
        <f>SUM(E686:E698,E678:E684)</f>
        <v>104923.02239999999</v>
      </c>
      <c r="F700" s="1948">
        <f>SUM(F686:F696,F678:F684)</f>
        <v>70069.877300000007</v>
      </c>
      <c r="G700" s="1591"/>
      <c r="I700" s="81"/>
      <c r="M700" s="1756" t="str">
        <f>IF(AND(E700=0,F700=0),"No","Yes")</f>
        <v>Yes</v>
      </c>
    </row>
    <row r="701" spans="3:13" x14ac:dyDescent="0.3">
      <c r="C701" s="1760"/>
      <c r="D701" s="1760"/>
      <c r="E701" s="1591"/>
      <c r="F701" s="1591"/>
      <c r="G701" s="1591"/>
      <c r="I701" s="81"/>
      <c r="M701" s="1756" t="str">
        <f>+M700</f>
        <v>Yes</v>
      </c>
    </row>
    <row r="702" spans="3:13" hidden="1" x14ac:dyDescent="0.3">
      <c r="C702" s="1495" t="str">
        <f>+IF(Footnotes!C65="","",Footnotes!C65)</f>
        <v/>
      </c>
      <c r="D702" s="1495" t="str">
        <f>+IF(Footnotes!D65="","",Footnotes!D65)</f>
        <v/>
      </c>
      <c r="E702" s="1592" t="str">
        <f>+IF(Footnotes!E65="","",Footnotes!E65)</f>
        <v/>
      </c>
      <c r="F702" s="1592" t="str">
        <f>+IF(Footnotes!F65="","",Footnotes!F65)</f>
        <v/>
      </c>
      <c r="G702" s="1592" t="str">
        <f>+IF(Footnotes!G65="","",Footnotes!G65)</f>
        <v/>
      </c>
      <c r="H702" s="1589" t="str">
        <f>+IF(Footnotes!H65="","",Footnotes!H65)</f>
        <v/>
      </c>
      <c r="I702" s="1493" t="str">
        <f>+IF(Footnotes!I65="","",Footnotes!I65)</f>
        <v/>
      </c>
      <c r="M702" s="1756" t="str">
        <f t="shared" ref="M702:M707" si="35">+IF(AND(C702="",D702="",E702="",F702="",G702="",H702="",I702=""),"No","Yes")</f>
        <v>No</v>
      </c>
    </row>
    <row r="703" spans="3:13" hidden="1" x14ac:dyDescent="0.3">
      <c r="C703" s="1495" t="str">
        <f>+IF(Footnotes!C66="","",Footnotes!C66)</f>
        <v/>
      </c>
      <c r="D703" s="1495" t="str">
        <f>+IF(Footnotes!D66="","",Footnotes!D66)</f>
        <v/>
      </c>
      <c r="E703" s="1592" t="str">
        <f>+IF(Footnotes!E66="","",Footnotes!E66)</f>
        <v/>
      </c>
      <c r="F703" s="1592" t="str">
        <f>+IF(Footnotes!F66="","",Footnotes!F66)</f>
        <v/>
      </c>
      <c r="G703" s="1592" t="str">
        <f>+IF(Footnotes!G66="","",Footnotes!G66)</f>
        <v/>
      </c>
      <c r="H703" s="1589" t="str">
        <f>+IF(Footnotes!H66="","",Footnotes!H66)</f>
        <v/>
      </c>
      <c r="I703" s="1493" t="str">
        <f>+IF(Footnotes!I66="","",Footnotes!I66)</f>
        <v/>
      </c>
      <c r="M703" s="1756" t="str">
        <f t="shared" si="35"/>
        <v>No</v>
      </c>
    </row>
    <row r="704" spans="3:13" hidden="1" x14ac:dyDescent="0.3">
      <c r="C704" s="1495" t="str">
        <f>+IF(Footnotes!C67="","",Footnotes!C67)</f>
        <v/>
      </c>
      <c r="D704" s="1495" t="str">
        <f>+IF(Footnotes!D67="","",Footnotes!D67)</f>
        <v/>
      </c>
      <c r="E704" s="1592" t="str">
        <f>+IF(Footnotes!E67="","",Footnotes!E67)</f>
        <v/>
      </c>
      <c r="F704" s="1592" t="str">
        <f>+IF(Footnotes!F67="","",Footnotes!F67)</f>
        <v/>
      </c>
      <c r="G704" s="1592" t="str">
        <f>+IF(Footnotes!G67="","",Footnotes!G67)</f>
        <v/>
      </c>
      <c r="H704" s="1589" t="str">
        <f>+IF(Footnotes!H67="","",Footnotes!H67)</f>
        <v/>
      </c>
      <c r="I704" s="1493" t="str">
        <f>+IF(Footnotes!I67="","",Footnotes!I67)</f>
        <v/>
      </c>
      <c r="M704" s="1756" t="str">
        <f t="shared" si="35"/>
        <v>No</v>
      </c>
    </row>
    <row r="705" spans="3:13" hidden="1" x14ac:dyDescent="0.3">
      <c r="C705" s="1495" t="str">
        <f>+IF(Footnotes!C68="","",Footnotes!C68)</f>
        <v/>
      </c>
      <c r="D705" s="1495" t="str">
        <f>+IF(Footnotes!D68="","",Footnotes!D68)</f>
        <v/>
      </c>
      <c r="E705" s="1592" t="str">
        <f>+IF(Footnotes!E68="","",Footnotes!E68)</f>
        <v/>
      </c>
      <c r="F705" s="1592" t="str">
        <f>+IF(Footnotes!F68="","",Footnotes!F68)</f>
        <v/>
      </c>
      <c r="G705" s="1592" t="str">
        <f>+IF(Footnotes!G68="","",Footnotes!G68)</f>
        <v/>
      </c>
      <c r="H705" s="1589" t="str">
        <f>+IF(Footnotes!H68="","",Footnotes!H68)</f>
        <v/>
      </c>
      <c r="I705" s="1493" t="str">
        <f>+IF(Footnotes!I68="","",Footnotes!I68)</f>
        <v/>
      </c>
      <c r="M705" s="1756" t="str">
        <f t="shared" si="35"/>
        <v>No</v>
      </c>
    </row>
    <row r="706" spans="3:13" hidden="1" x14ac:dyDescent="0.3">
      <c r="C706" s="1495" t="str">
        <f>+IF(Footnotes!C69="","",Footnotes!C69)</f>
        <v/>
      </c>
      <c r="D706" s="1495" t="str">
        <f>+IF(Footnotes!D69="","",Footnotes!D69)</f>
        <v/>
      </c>
      <c r="E706" s="1592" t="str">
        <f>+IF(Footnotes!E69="","",Footnotes!E69)</f>
        <v/>
      </c>
      <c r="F706" s="1592" t="str">
        <f>+IF(Footnotes!F69="","",Footnotes!F69)</f>
        <v/>
      </c>
      <c r="G706" s="1592" t="str">
        <f>+IF(Footnotes!G69="","",Footnotes!G69)</f>
        <v/>
      </c>
      <c r="H706" s="1589" t="str">
        <f>+IF(Footnotes!H69="","",Footnotes!H69)</f>
        <v/>
      </c>
      <c r="I706" s="1493" t="str">
        <f>+IF(Footnotes!I69="","",Footnotes!I69)</f>
        <v/>
      </c>
      <c r="M706" s="1756" t="str">
        <f t="shared" si="35"/>
        <v>No</v>
      </c>
    </row>
    <row r="707" spans="3:13" hidden="1" x14ac:dyDescent="0.3">
      <c r="C707" s="1495" t="str">
        <f>+IF(Footnotes!C70="","",Footnotes!C70)</f>
        <v/>
      </c>
      <c r="D707" s="1495" t="str">
        <f>+IF(Footnotes!D70="","",Footnotes!D70)</f>
        <v/>
      </c>
      <c r="E707" s="1592" t="str">
        <f>+IF(Footnotes!E70="","",Footnotes!E70)</f>
        <v/>
      </c>
      <c r="F707" s="1592" t="str">
        <f>+IF(Footnotes!F70="","",Footnotes!F70)</f>
        <v/>
      </c>
      <c r="G707" s="1592" t="str">
        <f>+IF(Footnotes!G70="","",Footnotes!G70)</f>
        <v/>
      </c>
      <c r="H707" s="1589" t="str">
        <f>+IF(Footnotes!H70="","",Footnotes!H70)</f>
        <v/>
      </c>
      <c r="I707" s="1493" t="str">
        <f>+IF(Footnotes!I70="","",Footnotes!I70)</f>
        <v/>
      </c>
      <c r="M707" s="1756" t="str">
        <f t="shared" si="35"/>
        <v>No</v>
      </c>
    </row>
    <row r="708" spans="3:13" hidden="1" x14ac:dyDescent="0.3"/>
    <row r="709" spans="3:13" hidden="1" x14ac:dyDescent="0.3"/>
  </sheetData>
  <mergeCells count="101">
    <mergeCell ref="E285:F285"/>
    <mergeCell ref="C285:D286"/>
    <mergeCell ref="C288:D288"/>
    <mergeCell ref="C292:D292"/>
    <mergeCell ref="C296:D296"/>
    <mergeCell ref="G111:H111"/>
    <mergeCell ref="G338:H338"/>
    <mergeCell ref="C284:G284"/>
    <mergeCell ref="G141:H141"/>
    <mergeCell ref="E111:F111"/>
    <mergeCell ref="C141:D142"/>
    <mergeCell ref="E141:F141"/>
    <mergeCell ref="E252:F252"/>
    <mergeCell ref="G252:H252"/>
    <mergeCell ref="C252:D253"/>
    <mergeCell ref="E265:F265"/>
    <mergeCell ref="G265:H265"/>
    <mergeCell ref="C265:D266"/>
    <mergeCell ref="E309:F309"/>
    <mergeCell ref="C300:D300"/>
    <mergeCell ref="C304:D304"/>
    <mergeCell ref="C60:D60"/>
    <mergeCell ref="C70:D70"/>
    <mergeCell ref="C80:D80"/>
    <mergeCell ref="C90:D90"/>
    <mergeCell ref="C111:D112"/>
    <mergeCell ref="C103:H103"/>
    <mergeCell ref="I13:I14"/>
    <mergeCell ref="G50:H50"/>
    <mergeCell ref="E13:F13"/>
    <mergeCell ref="C13:D14"/>
    <mergeCell ref="C37:D37"/>
    <mergeCell ref="C38:D38"/>
    <mergeCell ref="C39:D39"/>
    <mergeCell ref="C40:D40"/>
    <mergeCell ref="C41:D41"/>
    <mergeCell ref="C50:D51"/>
    <mergeCell ref="E50:F50"/>
    <mergeCell ref="G13:H13"/>
    <mergeCell ref="C45:D45"/>
    <mergeCell ref="C100:D100"/>
    <mergeCell ref="I653:I654"/>
    <mergeCell ref="C653:C654"/>
    <mergeCell ref="E653:H653"/>
    <mergeCell ref="D653:D654"/>
    <mergeCell ref="C525:H525"/>
    <mergeCell ref="E567:F567"/>
    <mergeCell ref="G567:H567"/>
    <mergeCell ref="C567:C568"/>
    <mergeCell ref="D567:D568"/>
    <mergeCell ref="E527:F527"/>
    <mergeCell ref="G527:H527"/>
    <mergeCell ref="H652:I652"/>
    <mergeCell ref="C499:D499"/>
    <mergeCell ref="C344:D344"/>
    <mergeCell ref="C468:D469"/>
    <mergeCell ref="C377:D377"/>
    <mergeCell ref="C342:D342"/>
    <mergeCell ref="C343:D343"/>
    <mergeCell ref="C429:D429"/>
    <mergeCell ref="C436:D436"/>
    <mergeCell ref="C447:D447"/>
    <mergeCell ref="C448:D448"/>
    <mergeCell ref="C402:D402"/>
    <mergeCell ref="C418:D418"/>
    <mergeCell ref="C340:D340"/>
    <mergeCell ref="C341:D341"/>
    <mergeCell ref="C399:D399"/>
    <mergeCell ref="C309:D310"/>
    <mergeCell ref="C457:D457"/>
    <mergeCell ref="C355:D355"/>
    <mergeCell ref="C423:D423"/>
    <mergeCell ref="C398:D398"/>
    <mergeCell ref="C308:G308"/>
    <mergeCell ref="E338:F338"/>
    <mergeCell ref="C338:D339"/>
    <mergeCell ref="G309:H309"/>
    <mergeCell ref="C700:D700"/>
    <mergeCell ref="C615:D615"/>
    <mergeCell ref="C617:D618"/>
    <mergeCell ref="C595:D595"/>
    <mergeCell ref="C681:D681"/>
    <mergeCell ref="C678:D678"/>
    <mergeCell ref="C677:D677"/>
    <mergeCell ref="C675:D675"/>
    <mergeCell ref="G468:H468"/>
    <mergeCell ref="E468:F468"/>
    <mergeCell ref="C527:C528"/>
    <mergeCell ref="D527:D528"/>
    <mergeCell ref="E661:H661"/>
    <mergeCell ref="H660:I660"/>
    <mergeCell ref="I661:I662"/>
    <mergeCell ref="G617:H617"/>
    <mergeCell ref="E617:F617"/>
    <mergeCell ref="C647:D647"/>
    <mergeCell ref="C645:D645"/>
    <mergeCell ref="C634:D634"/>
    <mergeCell ref="C650:D650"/>
    <mergeCell ref="C648:D648"/>
    <mergeCell ref="C661:C662"/>
    <mergeCell ref="D661:D662"/>
  </mergeCells>
  <conditionalFormatting sqref="K488:L489">
    <cfRule type="duplicateValues" dxfId="133" priority="1"/>
  </conditionalFormatting>
  <pageMargins left="0.23622047244094491" right="0.23622047244094491" top="0.74803149606299213" bottom="0.74803149606299213" header="0.31496062992125984" footer="0.31496062992125984"/>
  <pageSetup paperSize="9" scale="59" fitToHeight="0" orientation="portrait" r:id="rId1"/>
  <rowBreaks count="1" manualBreakCount="1">
    <brk id="283" min="1" max="9"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urrentAssets">
    <pageSetUpPr fitToPage="1"/>
  </sheetPr>
  <dimension ref="C1:Q428"/>
  <sheetViews>
    <sheetView showGridLines="0" view="pageBreakPreview" zoomScale="80" zoomScaleNormal="100" zoomScaleSheetLayoutView="80" workbookViewId="0">
      <pane ySplit="9" topLeftCell="A10" activePane="bottomLeft" state="frozen"/>
      <selection pane="bottomLeft"/>
    </sheetView>
  </sheetViews>
  <sheetFormatPr defaultColWidth="9.140625" defaultRowHeight="16.5" x14ac:dyDescent="0.25"/>
  <cols>
    <col min="1" max="2" width="3.7109375" style="41" customWidth="1"/>
    <col min="3" max="3" width="72.42578125" style="41" bestFit="1" customWidth="1"/>
    <col min="4" max="7" width="19.140625" style="841" customWidth="1"/>
    <col min="8" max="8" width="18" style="841" bestFit="1" customWidth="1"/>
    <col min="9" max="9" width="19.140625" style="841" customWidth="1"/>
    <col min="10" max="10" width="5.7109375" style="486" customWidth="1"/>
    <col min="11" max="11" width="17.140625" style="41" hidden="1" customWidth="1"/>
    <col min="12" max="12" width="29.42578125" hidden="1" customWidth="1"/>
    <col min="13" max="13" width="4.5703125" style="1756" hidden="1" customWidth="1"/>
    <col min="14" max="14" width="9.140625" style="41" hidden="1" customWidth="1"/>
    <col min="15" max="15" width="3.42578125" style="41" hidden="1" customWidth="1"/>
    <col min="16" max="16" width="108.7109375" style="41" hidden="1" customWidth="1"/>
    <col min="17" max="17" width="9.140625" style="41" hidden="1" customWidth="1"/>
    <col min="18" max="22" width="9.140625" style="41" customWidth="1"/>
    <col min="23" max="16384" width="9.140625" style="41"/>
  </cols>
  <sheetData>
    <row r="1" spans="3:16" x14ac:dyDescent="0.25">
      <c r="M1" s="1757"/>
    </row>
    <row r="2" spans="3:16" x14ac:dyDescent="0.25">
      <c r="M2" s="1757"/>
    </row>
    <row r="3" spans="3:16" x14ac:dyDescent="0.25">
      <c r="M3" s="1757"/>
    </row>
    <row r="4" spans="3:16" x14ac:dyDescent="0.25">
      <c r="M4" s="1757"/>
    </row>
    <row r="5" spans="3:16" x14ac:dyDescent="0.25">
      <c r="M5" s="1757"/>
    </row>
    <row r="6" spans="3:16" x14ac:dyDescent="0.25">
      <c r="M6" s="1757"/>
    </row>
    <row r="7" spans="3:16" x14ac:dyDescent="0.25">
      <c r="M7" s="1757"/>
    </row>
    <row r="8" spans="3:16" s="42" customFormat="1" x14ac:dyDescent="0.25">
      <c r="C8" s="2853" t="str">
        <f>Company_Name</f>
        <v>Sample Company</v>
      </c>
      <c r="D8" s="2853"/>
      <c r="E8" s="1579"/>
      <c r="F8" s="1510"/>
      <c r="G8" s="1510"/>
      <c r="H8" s="1510"/>
      <c r="I8" s="1510"/>
      <c r="J8" s="487"/>
      <c r="K8" s="41"/>
      <c r="M8" s="1757"/>
    </row>
    <row r="9" spans="3:16" s="42" customFormat="1" x14ac:dyDescent="0.25">
      <c r="C9" s="17" t="s">
        <v>90</v>
      </c>
      <c r="D9" s="1209"/>
      <c r="E9" s="1579"/>
      <c r="F9" s="1510"/>
      <c r="G9" s="1510"/>
      <c r="H9" s="1510"/>
      <c r="I9" s="1510"/>
      <c r="J9" s="487"/>
      <c r="K9" s="42" t="s">
        <v>996</v>
      </c>
      <c r="M9" s="1755"/>
    </row>
    <row r="10" spans="3:16" s="42" customFormat="1" hidden="1" x14ac:dyDescent="0.25">
      <c r="C10" s="19"/>
      <c r="D10" s="1609"/>
      <c r="E10" s="1579"/>
      <c r="F10" s="1510"/>
      <c r="G10" s="1510"/>
      <c r="H10" s="1510"/>
      <c r="I10" s="1510"/>
      <c r="J10" s="487"/>
      <c r="K10" s="41"/>
      <c r="M10" s="1756" t="str">
        <f>+M11</f>
        <v>No</v>
      </c>
    </row>
    <row r="11" spans="3:16" s="42" customFormat="1" hidden="1" x14ac:dyDescent="0.3">
      <c r="C11" s="17" t="str">
        <f>+"Note "&amp;'Balance Sheet'!E50&amp;" : Non-current investments"</f>
        <v>Note 8 : Non-current investments</v>
      </c>
      <c r="D11" s="1620"/>
      <c r="E11" s="1657"/>
      <c r="F11" s="1657"/>
      <c r="G11" s="1371"/>
      <c r="H11" s="1510"/>
      <c r="I11" s="1510"/>
      <c r="J11" s="487"/>
      <c r="K11" s="41"/>
      <c r="M11" s="1756" t="str">
        <f>+M80</f>
        <v>No</v>
      </c>
    </row>
    <row r="12" spans="3:16" s="42" customFormat="1" hidden="1" x14ac:dyDescent="0.3">
      <c r="C12" s="145"/>
      <c r="D12" s="1620"/>
      <c r="E12" s="1657" t="str">
        <f>Rounding_factor_Text</f>
        <v>Amount in Rs '00.</v>
      </c>
      <c r="F12" s="1657"/>
      <c r="G12" s="1371"/>
      <c r="H12" s="1510"/>
      <c r="I12" s="1510"/>
      <c r="J12" s="487"/>
      <c r="K12" s="41"/>
      <c r="M12" s="1756" t="str">
        <f>+M11</f>
        <v>No</v>
      </c>
    </row>
    <row r="13" spans="3:16" s="42" customFormat="1" ht="30" hidden="1" x14ac:dyDescent="0.25">
      <c r="C13" s="46" t="s">
        <v>20</v>
      </c>
      <c r="D13" s="1372" t="str">
        <f>BSCY</f>
        <v>As At 31st March 2025</v>
      </c>
      <c r="E13" s="1372" t="str">
        <f>BSPY</f>
        <v>As At 31st March 2024</v>
      </c>
      <c r="F13" s="1664"/>
      <c r="G13" s="1664"/>
      <c r="H13" s="1664"/>
      <c r="I13" s="1664"/>
      <c r="J13" s="487"/>
      <c r="K13" s="41"/>
      <c r="M13" s="1756" t="str">
        <f>+M12</f>
        <v>No</v>
      </c>
    </row>
    <row r="14" spans="3:16" s="42" customFormat="1" hidden="1" x14ac:dyDescent="0.3">
      <c r="C14" s="238" t="s">
        <v>965</v>
      </c>
      <c r="D14" s="1621"/>
      <c r="E14" s="1621"/>
      <c r="F14" s="1579"/>
      <c r="G14" s="1579"/>
      <c r="H14" s="1579"/>
      <c r="I14" s="1579"/>
      <c r="J14" s="487"/>
      <c r="K14" s="41"/>
      <c r="M14" s="1756" t="str">
        <f>+M40</f>
        <v>No</v>
      </c>
    </row>
    <row r="15" spans="3:16" s="42" customFormat="1" hidden="1" x14ac:dyDescent="0.3">
      <c r="C15" s="632" t="str">
        <f>+O15&amp;P15</f>
        <v xml:space="preserve">A.Trade Investments </v>
      </c>
      <c r="D15" s="1622"/>
      <c r="E15" s="1622"/>
      <c r="F15" s="1586"/>
      <c r="G15" s="1586"/>
      <c r="H15" s="1586"/>
      <c r="I15" s="1586"/>
      <c r="J15" s="487"/>
      <c r="K15" s="41"/>
      <c r="M15" s="1756" t="str">
        <f>+M22</f>
        <v>No</v>
      </c>
      <c r="O15" s="42" t="s">
        <v>180</v>
      </c>
      <c r="P15" s="42" t="s">
        <v>1626</v>
      </c>
    </row>
    <row r="16" spans="3:16" s="42" customFormat="1" ht="33" hidden="1" x14ac:dyDescent="0.3">
      <c r="C16" s="633" t="str">
        <f t="shared" ref="C16:C21" si="0">+"("&amp;O16&amp;")"&amp;P16</f>
        <v>(a) Investment in equity instruments (give details separately for fully / partly paid up instruments)</v>
      </c>
      <c r="D16" s="1622"/>
      <c r="E16" s="1622"/>
      <c r="F16" s="1586"/>
      <c r="G16" s="1586"/>
      <c r="H16" s="1523"/>
      <c r="I16" s="1586"/>
      <c r="J16" s="487"/>
      <c r="K16" s="41"/>
      <c r="M16" s="1756" t="str">
        <f>+M22</f>
        <v>No</v>
      </c>
      <c r="O16" s="42" t="s">
        <v>1562</v>
      </c>
      <c r="P16" s="42" t="s">
        <v>1563</v>
      </c>
    </row>
    <row r="17" spans="3:16" s="42" customFormat="1" hidden="1" x14ac:dyDescent="0.3">
      <c r="C17" s="647" t="str">
        <f t="shared" si="0"/>
        <v>(i) of subsidiaries</v>
      </c>
      <c r="D17" s="1623">
        <f>+'Qualitative Disclosures'!E789</f>
        <v>0</v>
      </c>
      <c r="E17" s="1623">
        <f>+'Qualitative Disclosures'!F789</f>
        <v>0</v>
      </c>
      <c r="F17" s="1586"/>
      <c r="G17" s="1586"/>
      <c r="H17" s="1586"/>
      <c r="I17" s="1586"/>
      <c r="J17" s="487"/>
      <c r="K17" s="41"/>
      <c r="M17" s="1754" t="str">
        <f t="shared" ref="M17:M42" si="1">IF(AND(D17=0,E17=0),"No","Yes")</f>
        <v>No</v>
      </c>
      <c r="O17" s="42" t="s">
        <v>478</v>
      </c>
      <c r="P17" s="42" t="s">
        <v>1564</v>
      </c>
    </row>
    <row r="18" spans="3:16" s="42" customFormat="1" hidden="1" x14ac:dyDescent="0.3">
      <c r="C18" s="648" t="str">
        <f t="shared" si="0"/>
        <v>(i) of associates</v>
      </c>
      <c r="D18" s="1623">
        <f>+'Qualitative Disclosures'!E790</f>
        <v>0</v>
      </c>
      <c r="E18" s="1623">
        <f>+'Qualitative Disclosures'!F790</f>
        <v>0</v>
      </c>
      <c r="F18" s="1586"/>
      <c r="G18" s="1586"/>
      <c r="H18" s="1586"/>
      <c r="I18" s="1586"/>
      <c r="J18" s="487"/>
      <c r="K18" s="41"/>
      <c r="M18" s="1754" t="str">
        <f t="shared" si="1"/>
        <v>No</v>
      </c>
      <c r="O18" s="42" t="str">
        <f>+IF(M17="Yes",LOWER(ROMAN(_xlfn.ARABIC(O17)+1)),O17)</f>
        <v>i</v>
      </c>
      <c r="P18" s="42" t="s">
        <v>1565</v>
      </c>
    </row>
    <row r="19" spans="3:16" s="42" customFormat="1" hidden="1" x14ac:dyDescent="0.3">
      <c r="C19" s="634" t="str">
        <f t="shared" si="0"/>
        <v>(i) of joint ventures - jointly controlled entities</v>
      </c>
      <c r="D19" s="1623">
        <f>+'Qualitative Disclosures'!E791</f>
        <v>0</v>
      </c>
      <c r="E19" s="1623">
        <f>+'Qualitative Disclosures'!F791</f>
        <v>0</v>
      </c>
      <c r="F19" s="1586"/>
      <c r="G19" s="1586"/>
      <c r="H19" s="1586"/>
      <c r="I19" s="1586"/>
      <c r="J19" s="487"/>
      <c r="K19" s="41"/>
      <c r="M19" s="1754" t="str">
        <f t="shared" si="1"/>
        <v>No</v>
      </c>
      <c r="O19" s="42" t="str">
        <f>+IF(M18="Yes",LOWER(ROMAN(_xlfn.ARABIC(O18)+1)),O18)</f>
        <v>i</v>
      </c>
      <c r="P19" s="42" t="s">
        <v>1566</v>
      </c>
    </row>
    <row r="20" spans="3:16" s="42" customFormat="1" hidden="1" x14ac:dyDescent="0.3">
      <c r="C20" s="634" t="str">
        <f t="shared" si="0"/>
        <v>(i) of controlled special purpose entities</v>
      </c>
      <c r="D20" s="1623">
        <f>+'Qualitative Disclosures'!E792</f>
        <v>0</v>
      </c>
      <c r="E20" s="1623">
        <f>+'Qualitative Disclosures'!F792</f>
        <v>0</v>
      </c>
      <c r="F20" s="1586"/>
      <c r="G20" s="1371"/>
      <c r="H20" s="1586"/>
      <c r="I20" s="1586"/>
      <c r="J20" s="487"/>
      <c r="K20" s="41"/>
      <c r="M20" s="1754" t="str">
        <f t="shared" si="1"/>
        <v>No</v>
      </c>
      <c r="O20" s="42" t="str">
        <f>+IF(M19="Yes",LOWER(ROMAN(_xlfn.ARABIC(O19)+1)),O19)</f>
        <v>i</v>
      </c>
      <c r="P20" s="42" t="s">
        <v>1567</v>
      </c>
    </row>
    <row r="21" spans="3:16" s="42" customFormat="1" hidden="1" x14ac:dyDescent="0.3">
      <c r="C21" s="634" t="str">
        <f t="shared" si="0"/>
        <v>(i) of other entities (give details)</v>
      </c>
      <c r="D21" s="1623">
        <f>+'Qualitative Disclosures'!E793</f>
        <v>0</v>
      </c>
      <c r="E21" s="1623">
        <f>+'Qualitative Disclosures'!F793</f>
        <v>0</v>
      </c>
      <c r="F21" s="1586"/>
      <c r="G21" s="1371"/>
      <c r="H21" s="1586"/>
      <c r="I21" s="1586"/>
      <c r="J21" s="487"/>
      <c r="K21" s="41"/>
      <c r="M21" s="1754" t="str">
        <f t="shared" si="1"/>
        <v>No</v>
      </c>
      <c r="O21" s="42" t="str">
        <f>+IF(M20="Yes",LOWER(ROMAN(_xlfn.ARABIC(O20)+1)),O20)</f>
        <v>i</v>
      </c>
      <c r="P21" s="42" t="s">
        <v>1568</v>
      </c>
    </row>
    <row r="22" spans="3:16" s="42" customFormat="1" hidden="1" x14ac:dyDescent="0.3">
      <c r="C22" s="635"/>
      <c r="D22" s="1624">
        <f>+SUMIF('Master TB'!E:E,Assets!K22,'Master TB'!J:J)</f>
        <v>0</v>
      </c>
      <c r="E22" s="1624">
        <f>+SUMIF('Master TB'!$E:$E,Assets!K22,'Master TB'!$V:$V)</f>
        <v>0</v>
      </c>
      <c r="F22" s="1586"/>
      <c r="G22" s="1371"/>
      <c r="H22" s="1586"/>
      <c r="I22" s="1586"/>
      <c r="J22" s="487"/>
      <c r="K22" s="41" t="s">
        <v>1393</v>
      </c>
      <c r="L22" s="1740" t="str">
        <f>+IF(AND(SUM(D17:D21)=D22,SUM(E17:E21)=E22),"Correct Disclosures Given","Incorrect Disclosures Given")</f>
        <v>Correct Disclosures Given</v>
      </c>
      <c r="M22" s="1754" t="str">
        <f t="shared" si="1"/>
        <v>No</v>
      </c>
    </row>
    <row r="23" spans="3:16" s="42" customFormat="1" ht="33" hidden="1" x14ac:dyDescent="0.3">
      <c r="C23" s="633" t="str">
        <f t="shared" ref="C23:C74" si="2">+"("&amp;O23&amp;")"&amp;P23</f>
        <v>(a) Investment in preference shares (give details separately for fully / partly paid up shares)</v>
      </c>
      <c r="D23" s="1622"/>
      <c r="E23" s="1622"/>
      <c r="F23" s="1586"/>
      <c r="G23" s="1371"/>
      <c r="H23" s="1586"/>
      <c r="I23" s="1586"/>
      <c r="J23" s="487"/>
      <c r="K23" s="41"/>
      <c r="M23" s="1756" t="str">
        <f>+M29</f>
        <v>No</v>
      </c>
      <c r="O23" s="42" t="str">
        <f>+IF(M16="yes",CHAR(CODE(O16)+1),O16)</f>
        <v>a</v>
      </c>
      <c r="P23" s="42" t="s">
        <v>1569</v>
      </c>
    </row>
    <row r="24" spans="3:16" s="42" customFormat="1" hidden="1" x14ac:dyDescent="0.3">
      <c r="C24" s="634" t="str">
        <f t="shared" si="2"/>
        <v>(i) of subsidiaries</v>
      </c>
      <c r="D24" s="1623">
        <f>+'Qualitative Disclosures'!E796</f>
        <v>0</v>
      </c>
      <c r="E24" s="1623">
        <f>+'Qualitative Disclosures'!F796</f>
        <v>0</v>
      </c>
      <c r="F24" s="1586"/>
      <c r="G24" s="1371"/>
      <c r="H24" s="1586"/>
      <c r="I24" s="1586"/>
      <c r="J24" s="487"/>
      <c r="K24" s="41"/>
      <c r="M24" s="1754" t="str">
        <f t="shared" si="1"/>
        <v>No</v>
      </c>
      <c r="O24" s="42" t="s">
        <v>478</v>
      </c>
      <c r="P24" s="42" t="s">
        <v>1564</v>
      </c>
    </row>
    <row r="25" spans="3:16" s="42" customFormat="1" hidden="1" x14ac:dyDescent="0.3">
      <c r="C25" s="634" t="str">
        <f t="shared" si="2"/>
        <v>(i) of associates</v>
      </c>
      <c r="D25" s="1623">
        <f>+'Qualitative Disclosures'!E797</f>
        <v>0</v>
      </c>
      <c r="E25" s="1623">
        <f>+'Qualitative Disclosures'!F797</f>
        <v>0</v>
      </c>
      <c r="F25" s="1586"/>
      <c r="G25" s="1371"/>
      <c r="H25" s="1586"/>
      <c r="I25" s="1586"/>
      <c r="J25" s="487"/>
      <c r="K25" s="41"/>
      <c r="M25" s="1754" t="str">
        <f t="shared" si="1"/>
        <v>No</v>
      </c>
      <c r="O25" s="42" t="str">
        <f>+IF(M24="Yes",LOWER(ROMAN(_xlfn.ARABIC(O24)+1)),O24)</f>
        <v>i</v>
      </c>
      <c r="P25" s="42" t="s">
        <v>1565</v>
      </c>
    </row>
    <row r="26" spans="3:16" s="42" customFormat="1" hidden="1" x14ac:dyDescent="0.3">
      <c r="C26" s="634" t="str">
        <f t="shared" si="2"/>
        <v>(i) of joint ventures - jointly controlled entities</v>
      </c>
      <c r="D26" s="1623">
        <f>+'Qualitative Disclosures'!E798</f>
        <v>0</v>
      </c>
      <c r="E26" s="1623">
        <f>+'Qualitative Disclosures'!F798</f>
        <v>0</v>
      </c>
      <c r="F26" s="1586"/>
      <c r="G26" s="1371"/>
      <c r="H26" s="1586"/>
      <c r="I26" s="1586"/>
      <c r="J26" s="487"/>
      <c r="K26" s="41"/>
      <c r="M26" s="1754" t="str">
        <f t="shared" si="1"/>
        <v>No</v>
      </c>
      <c r="O26" s="42" t="str">
        <f>+IF(M25="Yes",LOWER(ROMAN(_xlfn.ARABIC(O25)+1)),O25)</f>
        <v>i</v>
      </c>
      <c r="P26" s="42" t="s">
        <v>1566</v>
      </c>
    </row>
    <row r="27" spans="3:16" s="42" customFormat="1" hidden="1" x14ac:dyDescent="0.3">
      <c r="C27" s="634" t="str">
        <f t="shared" si="2"/>
        <v>(i) of controlled special purpose entities</v>
      </c>
      <c r="D27" s="1623">
        <f>+'Qualitative Disclosures'!E799</f>
        <v>0</v>
      </c>
      <c r="E27" s="1623">
        <f>+'Qualitative Disclosures'!F799</f>
        <v>0</v>
      </c>
      <c r="F27" s="1586"/>
      <c r="G27" s="1371"/>
      <c r="H27" s="1586"/>
      <c r="I27" s="1586"/>
      <c r="J27" s="487"/>
      <c r="K27" s="41"/>
      <c r="M27" s="1754" t="str">
        <f t="shared" si="1"/>
        <v>No</v>
      </c>
      <c r="O27" s="42" t="str">
        <f>+IF(M26="Yes",LOWER(ROMAN(_xlfn.ARABIC(O26)+1)),O26)</f>
        <v>i</v>
      </c>
      <c r="P27" s="42" t="s">
        <v>1567</v>
      </c>
    </row>
    <row r="28" spans="3:16" s="42" customFormat="1" hidden="1" x14ac:dyDescent="0.3">
      <c r="C28" s="634" t="str">
        <f t="shared" si="2"/>
        <v>(i) of other entities (give details)</v>
      </c>
      <c r="D28" s="1625">
        <f>+'Qualitative Disclosures'!E800</f>
        <v>0</v>
      </c>
      <c r="E28" s="1625">
        <f>+'Qualitative Disclosures'!F800</f>
        <v>0</v>
      </c>
      <c r="F28" s="1586"/>
      <c r="G28" s="1371"/>
      <c r="H28" s="1586"/>
      <c r="I28" s="1586"/>
      <c r="J28" s="487"/>
      <c r="K28" s="41"/>
      <c r="M28" s="1754" t="str">
        <f t="shared" si="1"/>
        <v>No</v>
      </c>
      <c r="O28" s="42" t="str">
        <f>+IF(M27="Yes",LOWER(ROMAN(_xlfn.ARABIC(O27)+1)),O27)</f>
        <v>i</v>
      </c>
      <c r="P28" s="42" t="s">
        <v>1568</v>
      </c>
    </row>
    <row r="29" spans="3:16" s="42" customFormat="1" hidden="1" x14ac:dyDescent="0.3">
      <c r="C29" s="635"/>
      <c r="D29" s="1622">
        <f>+SUMIF('Master TB'!E:E,Assets!K29,'Master TB'!J:J)</f>
        <v>0</v>
      </c>
      <c r="E29" s="1622">
        <f>+SUMIF('Master TB'!$E:$E,Assets!K29,'Master TB'!$V:$V)</f>
        <v>0</v>
      </c>
      <c r="F29" s="1586"/>
      <c r="G29" s="1586"/>
      <c r="H29" s="1586"/>
      <c r="I29" s="1586"/>
      <c r="J29" s="487"/>
      <c r="K29" s="41" t="s">
        <v>1395</v>
      </c>
      <c r="L29" s="1740" t="str">
        <f>+IF(AND(SUM(D24:D28)=D29,SUM(E24:E28)=E29),"Correct Disclosures Given","Incorrect Disclosures Given")</f>
        <v>Correct Disclosures Given</v>
      </c>
      <c r="M29" s="1754" t="str">
        <f t="shared" si="1"/>
        <v>No</v>
      </c>
    </row>
    <row r="30" spans="3:16" s="42" customFormat="1" ht="33" hidden="1" x14ac:dyDescent="0.3">
      <c r="C30" s="633" t="str">
        <f t="shared" si="2"/>
        <v>(a)  Investment in debentures or bonds (give details separately for fully / partly paid up debentures / bonds)</v>
      </c>
      <c r="D30" s="1622"/>
      <c r="E30" s="1622"/>
      <c r="F30" s="1586"/>
      <c r="G30" s="1586"/>
      <c r="H30" s="1586"/>
      <c r="I30" s="1586"/>
      <c r="J30" s="487"/>
      <c r="K30" s="41"/>
      <c r="M30" s="1756" t="str">
        <f>+M36</f>
        <v>No</v>
      </c>
      <c r="O30" s="42" t="str">
        <f>+IF(M23="yes",CHAR(CODE(O23)+1),O23)</f>
        <v>a</v>
      </c>
      <c r="P30" s="42" t="s">
        <v>1570</v>
      </c>
    </row>
    <row r="31" spans="3:16" s="42" customFormat="1" hidden="1" x14ac:dyDescent="0.3">
      <c r="C31" s="634" t="str">
        <f t="shared" si="2"/>
        <v>(i) of subsidiaries</v>
      </c>
      <c r="D31" s="1623">
        <f>+'Qualitative Disclosures'!E803</f>
        <v>0</v>
      </c>
      <c r="E31" s="1623">
        <f>+'Qualitative Disclosures'!F803</f>
        <v>0</v>
      </c>
      <c r="F31" s="1586"/>
      <c r="G31" s="1586"/>
      <c r="H31" s="1586"/>
      <c r="I31" s="1586"/>
      <c r="J31" s="487"/>
      <c r="K31" s="41"/>
      <c r="M31" s="1754" t="str">
        <f t="shared" si="1"/>
        <v>No</v>
      </c>
      <c r="O31" s="42" t="s">
        <v>478</v>
      </c>
      <c r="P31" s="42" t="s">
        <v>1564</v>
      </c>
    </row>
    <row r="32" spans="3:16" s="42" customFormat="1" hidden="1" x14ac:dyDescent="0.3">
      <c r="C32" s="634" t="str">
        <f t="shared" si="2"/>
        <v>(i) of associates</v>
      </c>
      <c r="D32" s="1623">
        <f>+'Qualitative Disclosures'!E804</f>
        <v>0</v>
      </c>
      <c r="E32" s="1623">
        <f>+'Qualitative Disclosures'!F804</f>
        <v>0</v>
      </c>
      <c r="F32" s="1586"/>
      <c r="G32" s="1586"/>
      <c r="H32" s="1586"/>
      <c r="I32" s="1586"/>
      <c r="J32" s="487"/>
      <c r="K32" s="41"/>
      <c r="M32" s="1754" t="str">
        <f t="shared" si="1"/>
        <v>No</v>
      </c>
      <c r="O32" s="42" t="str">
        <f>+IF(M31="Yes",LOWER(ROMAN(_xlfn.ARABIC(O31)+1)),O31)</f>
        <v>i</v>
      </c>
      <c r="P32" s="42" t="s">
        <v>1565</v>
      </c>
    </row>
    <row r="33" spans="3:16" s="42" customFormat="1" hidden="1" x14ac:dyDescent="0.3">
      <c r="C33" s="634" t="str">
        <f t="shared" si="2"/>
        <v>(i) of joint ventures - jointly controlled entities</v>
      </c>
      <c r="D33" s="1623">
        <f>+'Qualitative Disclosures'!E805</f>
        <v>0</v>
      </c>
      <c r="E33" s="1623">
        <f>+'Qualitative Disclosures'!F805</f>
        <v>0</v>
      </c>
      <c r="F33" s="1586"/>
      <c r="G33" s="1586"/>
      <c r="H33" s="1586"/>
      <c r="I33" s="1586"/>
      <c r="J33" s="487"/>
      <c r="K33" s="41"/>
      <c r="M33" s="1754" t="str">
        <f t="shared" si="1"/>
        <v>No</v>
      </c>
      <c r="O33" s="42" t="str">
        <f>+IF(M32="Yes",LOWER(ROMAN(_xlfn.ARABIC(O32)+1)),O32)</f>
        <v>i</v>
      </c>
      <c r="P33" s="42" t="s">
        <v>1566</v>
      </c>
    </row>
    <row r="34" spans="3:16" s="42" customFormat="1" hidden="1" x14ac:dyDescent="0.3">
      <c r="C34" s="639" t="str">
        <f t="shared" si="2"/>
        <v>(i) of controlled special purpose entities</v>
      </c>
      <c r="D34" s="1623">
        <f>+'Qualitative Disclosures'!E806</f>
        <v>0</v>
      </c>
      <c r="E34" s="1623">
        <f>+'Qualitative Disclosures'!F806</f>
        <v>0</v>
      </c>
      <c r="F34" s="1586"/>
      <c r="G34" s="1586"/>
      <c r="H34" s="1586"/>
      <c r="I34" s="1586"/>
      <c r="J34" s="487"/>
      <c r="K34" s="41"/>
      <c r="M34" s="1754" t="str">
        <f t="shared" si="1"/>
        <v>No</v>
      </c>
      <c r="O34" s="42" t="str">
        <f>+IF(M33="Yes",LOWER(ROMAN(_xlfn.ARABIC(O33)+1)),O33)</f>
        <v>i</v>
      </c>
      <c r="P34" s="42" t="s">
        <v>1567</v>
      </c>
    </row>
    <row r="35" spans="3:16" s="42" customFormat="1" hidden="1" x14ac:dyDescent="0.3">
      <c r="C35" s="634" t="str">
        <f t="shared" si="2"/>
        <v>(i) of other entities (give details)</v>
      </c>
      <c r="D35" s="1623">
        <f>+'Qualitative Disclosures'!E807</f>
        <v>0</v>
      </c>
      <c r="E35" s="1623">
        <f>+'Qualitative Disclosures'!F807</f>
        <v>0</v>
      </c>
      <c r="F35" s="1586"/>
      <c r="G35" s="1586"/>
      <c r="H35" s="1586"/>
      <c r="I35" s="1586"/>
      <c r="J35" s="487"/>
      <c r="K35" s="41"/>
      <c r="M35" s="1754" t="str">
        <f t="shared" si="1"/>
        <v>No</v>
      </c>
      <c r="O35" s="42" t="str">
        <f>+IF(M34="Yes",LOWER(ROMAN(_xlfn.ARABIC(O34)+1)),O34)</f>
        <v>i</v>
      </c>
      <c r="P35" s="42" t="s">
        <v>1568</v>
      </c>
    </row>
    <row r="36" spans="3:16" s="42" customFormat="1" hidden="1" x14ac:dyDescent="0.3">
      <c r="C36" s="646"/>
      <c r="D36" s="1624">
        <f>+SUMIF('Master TB'!E:E,Assets!K36,'Master TB'!J:J)</f>
        <v>0</v>
      </c>
      <c r="E36" s="1624">
        <f>+SUMIF('Master TB'!$E:$E,Assets!K36,'Master TB'!$V:$V)</f>
        <v>0</v>
      </c>
      <c r="F36" s="1586"/>
      <c r="G36" s="1586"/>
      <c r="H36" s="1586"/>
      <c r="I36" s="1586"/>
      <c r="J36" s="487"/>
      <c r="K36" s="41" t="s">
        <v>1397</v>
      </c>
      <c r="L36" s="1740" t="str">
        <f>+IF(AND(SUM(D31:D35)=D36,SUM(E31:E35)=E36),"Correct Disclosures Given","Incorrect Disclosures Given")</f>
        <v>Correct Disclosures Given</v>
      </c>
      <c r="M36" s="1754" t="str">
        <f t="shared" si="1"/>
        <v>No</v>
      </c>
    </row>
    <row r="37" spans="3:16" s="42" customFormat="1" hidden="1" x14ac:dyDescent="0.3">
      <c r="C37" s="633" t="str">
        <f>+"("&amp;O37&amp;") "&amp;P37</f>
        <v>(a) Investment in partnership firms (Refer Note below)</v>
      </c>
      <c r="D37" s="1626">
        <f>+SUMIF('Master TB'!E:E,Assets!K37,'Master TB'!J:J)</f>
        <v>0</v>
      </c>
      <c r="E37" s="1626">
        <f>+SUMIF('Master TB'!$E:$E,Assets!K37,'Master TB'!$V:$V)</f>
        <v>0</v>
      </c>
      <c r="F37" s="1586"/>
      <c r="G37" s="1586"/>
      <c r="H37" s="1586"/>
      <c r="I37" s="1586"/>
      <c r="J37" s="487"/>
      <c r="K37" s="41" t="s">
        <v>1399</v>
      </c>
      <c r="M37" s="1754" t="str">
        <f t="shared" si="1"/>
        <v>No</v>
      </c>
      <c r="O37" s="42" t="str">
        <f>+IF(M30="yes",CHAR(CODE(O30)+1),O30)</f>
        <v>a</v>
      </c>
      <c r="P37" s="42" t="s">
        <v>562</v>
      </c>
    </row>
    <row r="38" spans="3:16" s="42" customFormat="1" hidden="1" x14ac:dyDescent="0.3">
      <c r="C38" s="646"/>
      <c r="D38" s="1622"/>
      <c r="E38" s="1622"/>
      <c r="F38" s="1586"/>
      <c r="G38" s="1586"/>
      <c r="H38" s="1586"/>
      <c r="I38" s="1586"/>
      <c r="J38" s="487"/>
      <c r="K38" s="41"/>
      <c r="M38" s="1756" t="str">
        <f>+M39</f>
        <v>No</v>
      </c>
    </row>
    <row r="39" spans="3:16" s="42" customFormat="1" hidden="1" x14ac:dyDescent="0.3">
      <c r="C39" s="633" t="str">
        <f t="shared" si="2"/>
        <v>(a) Other non-current investments (specify nature)</v>
      </c>
      <c r="D39" s="1622">
        <f>+SUMIF('Master TB'!E:E,Assets!K39,'Master TB'!J:J)</f>
        <v>0</v>
      </c>
      <c r="E39" s="1622">
        <f>+SUMIF('Master TB'!$E:$E,Assets!K39,'Master TB'!$V:$V)</f>
        <v>0</v>
      </c>
      <c r="F39" s="1586"/>
      <c r="G39" s="1586"/>
      <c r="H39" s="1586"/>
      <c r="I39" s="1586"/>
      <c r="J39" s="487"/>
      <c r="K39" s="41" t="s">
        <v>1401</v>
      </c>
      <c r="M39" s="1754" t="str">
        <f t="shared" si="1"/>
        <v>No</v>
      </c>
      <c r="O39" s="42" t="str">
        <f>+IF(M37="yes",CHAR(CODE(O37)+1),O37)</f>
        <v>a</v>
      </c>
      <c r="P39" s="42" t="s">
        <v>1571</v>
      </c>
    </row>
    <row r="40" spans="3:16" s="42" customFormat="1" hidden="1" x14ac:dyDescent="0.3">
      <c r="C40" s="637" t="s">
        <v>184</v>
      </c>
      <c r="D40" s="1627">
        <f>+D39+D37+D36+D29+D22</f>
        <v>0</v>
      </c>
      <c r="E40" s="1627">
        <f>+E39+E37+E36+E29+E22</f>
        <v>0</v>
      </c>
      <c r="F40" s="1586"/>
      <c r="G40" s="1586"/>
      <c r="H40" s="1586"/>
      <c r="I40" s="1586"/>
      <c r="J40" s="487"/>
      <c r="K40" s="41"/>
      <c r="M40" s="1754" t="str">
        <f t="shared" si="1"/>
        <v>No</v>
      </c>
      <c r="P40" s="42" t="s">
        <v>1150</v>
      </c>
    </row>
    <row r="41" spans="3:16" s="42" customFormat="1" hidden="1" x14ac:dyDescent="0.3">
      <c r="C41" s="632" t="str">
        <f>+O41&amp;P41</f>
        <v>B.Other investments</v>
      </c>
      <c r="D41" s="1622"/>
      <c r="E41" s="1622"/>
      <c r="F41" s="1586"/>
      <c r="G41" s="1586"/>
      <c r="H41" s="1586"/>
      <c r="I41" s="1586"/>
      <c r="J41" s="487"/>
      <c r="K41" s="41"/>
      <c r="M41" s="1756" t="str">
        <f>+M75</f>
        <v>No</v>
      </c>
      <c r="O41" s="42" t="s">
        <v>9</v>
      </c>
      <c r="P41" s="42" t="s">
        <v>1622</v>
      </c>
    </row>
    <row r="42" spans="3:16" s="42" customFormat="1" ht="33" hidden="1" x14ac:dyDescent="0.3">
      <c r="C42" s="638" t="str">
        <f t="shared" si="2"/>
        <v>(a) Investment property (specify nature), (net off accumulated depreciation and impairment, if any)</v>
      </c>
      <c r="D42" s="1628">
        <f>+SUMIF('Master TB'!E:E,Assets!K42,'Master TB'!J:J)</f>
        <v>0</v>
      </c>
      <c r="E42" s="1622">
        <f>+SUMIF('Master TB'!$E:$E,Assets!K42,'Master TB'!$V:$V)</f>
        <v>0</v>
      </c>
      <c r="F42" s="1371"/>
      <c r="G42" s="1371"/>
      <c r="H42" s="1586"/>
      <c r="I42" s="1586"/>
      <c r="J42" s="487"/>
      <c r="K42" s="41" t="s">
        <v>1403</v>
      </c>
      <c r="M42" s="1754" t="str">
        <f t="shared" si="1"/>
        <v>No</v>
      </c>
      <c r="O42" s="42" t="s">
        <v>1562</v>
      </c>
      <c r="P42" s="42" t="s">
        <v>1572</v>
      </c>
    </row>
    <row r="43" spans="3:16" s="42" customFormat="1" hidden="1" x14ac:dyDescent="0.3">
      <c r="C43" s="638"/>
      <c r="D43" s="1622"/>
      <c r="E43" s="1622"/>
      <c r="F43" s="1371"/>
      <c r="G43" s="1371"/>
      <c r="H43" s="1586"/>
      <c r="I43" s="1586"/>
      <c r="J43" s="487"/>
      <c r="K43" s="41"/>
      <c r="M43" s="1756" t="str">
        <f>+M44</f>
        <v>No</v>
      </c>
    </row>
    <row r="44" spans="3:16" s="42" customFormat="1" ht="33" hidden="1" x14ac:dyDescent="0.3">
      <c r="C44" s="633" t="str">
        <f>+"("&amp;O44&amp;") "&amp;P44</f>
        <v>(a) Investment in equity instruments (give details separately for fully / partly paid up instruments)</v>
      </c>
      <c r="D44" s="1622"/>
      <c r="E44" s="1622"/>
      <c r="F44" s="1371"/>
      <c r="G44" s="1371"/>
      <c r="H44" s="1586"/>
      <c r="I44" s="1586"/>
      <c r="J44" s="487"/>
      <c r="K44" s="41"/>
      <c r="M44" s="1756" t="str">
        <f>+M51</f>
        <v>No</v>
      </c>
      <c r="O44" s="42" t="str">
        <f>+IF(M42="yes",CHAR(CODE(O42)+1),O42)</f>
        <v>a</v>
      </c>
      <c r="P44" s="42" t="s">
        <v>560</v>
      </c>
    </row>
    <row r="45" spans="3:16" s="42" customFormat="1" hidden="1" x14ac:dyDescent="0.3">
      <c r="C45" s="634" t="str">
        <f t="shared" si="2"/>
        <v>(i) of subsidiaries</v>
      </c>
      <c r="D45" s="1623">
        <f>+'Qualitative Disclosures'!E817</f>
        <v>0</v>
      </c>
      <c r="E45" s="1623">
        <f>+'Qualitative Disclosures'!F817</f>
        <v>0</v>
      </c>
      <c r="F45" s="1371"/>
      <c r="G45" s="1371"/>
      <c r="H45" s="1586"/>
      <c r="I45" s="1586"/>
      <c r="J45" s="487"/>
      <c r="K45" s="41"/>
      <c r="M45" s="1754" t="str">
        <f t="shared" ref="M45:M51" si="3">IF(AND(D45=0,E45=0),"No","Yes")</f>
        <v>No</v>
      </c>
      <c r="O45" s="42" t="s">
        <v>478</v>
      </c>
      <c r="P45" s="42" t="s">
        <v>1564</v>
      </c>
    </row>
    <row r="46" spans="3:16" s="42" customFormat="1" hidden="1" x14ac:dyDescent="0.3">
      <c r="C46" s="634" t="str">
        <f t="shared" si="2"/>
        <v>(i) of associates</v>
      </c>
      <c r="D46" s="1623">
        <f>+'Qualitative Disclosures'!E818</f>
        <v>0</v>
      </c>
      <c r="E46" s="1623">
        <f>+'Qualitative Disclosures'!F818</f>
        <v>0</v>
      </c>
      <c r="F46" s="1371"/>
      <c r="G46" s="1371"/>
      <c r="H46" s="1586"/>
      <c r="I46" s="1586"/>
      <c r="J46" s="487"/>
      <c r="K46" s="41"/>
      <c r="M46" s="1754" t="str">
        <f t="shared" si="3"/>
        <v>No</v>
      </c>
      <c r="O46" s="42" t="str">
        <f>+IF(M45="Yes",LOWER(ROMAN(_xlfn.ARABIC(O45)+1)),O45)</f>
        <v>i</v>
      </c>
      <c r="P46" s="42" t="s">
        <v>1565</v>
      </c>
    </row>
    <row r="47" spans="3:16" s="42" customFormat="1" hidden="1" x14ac:dyDescent="0.3">
      <c r="C47" s="634" t="str">
        <f t="shared" si="2"/>
        <v>(i) of joint ventures - jointly controlled entities</v>
      </c>
      <c r="D47" s="1623">
        <f>+'Qualitative Disclosures'!E819</f>
        <v>0</v>
      </c>
      <c r="E47" s="1623">
        <f>+'Qualitative Disclosures'!F819</f>
        <v>0</v>
      </c>
      <c r="F47" s="1371"/>
      <c r="G47" s="1371"/>
      <c r="H47" s="1586"/>
      <c r="I47" s="1586"/>
      <c r="J47" s="487"/>
      <c r="K47" s="41"/>
      <c r="M47" s="1754" t="str">
        <f t="shared" si="3"/>
        <v>No</v>
      </c>
      <c r="O47" s="42" t="str">
        <f>+IF(M46="Yes",LOWER(ROMAN(_xlfn.ARABIC(O46)+1)),O46)</f>
        <v>i</v>
      </c>
      <c r="P47" s="42" t="s">
        <v>1566</v>
      </c>
    </row>
    <row r="48" spans="3:16" s="42" customFormat="1" hidden="1" x14ac:dyDescent="0.3">
      <c r="C48" s="634" t="str">
        <f t="shared" si="2"/>
        <v>(i) of controlled special purpose entities</v>
      </c>
      <c r="D48" s="1623">
        <f>+'Qualitative Disclosures'!E820</f>
        <v>0</v>
      </c>
      <c r="E48" s="1623">
        <f>+'Qualitative Disclosures'!F820</f>
        <v>0</v>
      </c>
      <c r="F48" s="1371"/>
      <c r="G48" s="1371"/>
      <c r="H48" s="1586"/>
      <c r="I48" s="1586"/>
      <c r="J48" s="487"/>
      <c r="K48" s="41"/>
      <c r="M48" s="1754" t="str">
        <f t="shared" si="3"/>
        <v>No</v>
      </c>
      <c r="O48" s="42" t="str">
        <f>+IF(M47="Yes",LOWER(ROMAN(_xlfn.ARABIC(O47)+1)),O47)</f>
        <v>i</v>
      </c>
      <c r="P48" s="42" t="s">
        <v>1567</v>
      </c>
    </row>
    <row r="49" spans="3:16" s="42" customFormat="1" hidden="1" x14ac:dyDescent="0.3">
      <c r="C49" s="639" t="str">
        <f t="shared" si="2"/>
        <v>(i) of other entities (give details) (Example: any other quoted shares)</v>
      </c>
      <c r="D49" s="1629">
        <f>+'Qualitative Disclosures'!E821</f>
        <v>0</v>
      </c>
      <c r="E49" s="1623">
        <f>+'Qualitative Disclosures'!F821</f>
        <v>0</v>
      </c>
      <c r="F49" s="1371"/>
      <c r="G49" s="1371"/>
      <c r="H49" s="1586"/>
      <c r="I49" s="1586"/>
      <c r="J49" s="487"/>
      <c r="K49" s="41"/>
      <c r="M49" s="1754" t="str">
        <f t="shared" si="3"/>
        <v>No</v>
      </c>
      <c r="O49" s="42" t="str">
        <f>+IF(M48="Yes",LOWER(ROMAN(_xlfn.ARABIC(O48)+1)),O48)</f>
        <v>i</v>
      </c>
      <c r="P49" s="42" t="s">
        <v>1573</v>
      </c>
    </row>
    <row r="50" spans="3:16" s="42" customFormat="1" hidden="1" x14ac:dyDescent="0.3">
      <c r="C50" s="639" t="str">
        <f t="shared" si="2"/>
        <v>(i) of other entities (give details) (Example: any other unquoted shares)</v>
      </c>
      <c r="D50" s="1629">
        <f>+'Qualitative Disclosures'!E822</f>
        <v>0</v>
      </c>
      <c r="E50" s="1623">
        <f>+'Qualitative Disclosures'!F822</f>
        <v>0</v>
      </c>
      <c r="F50" s="1371"/>
      <c r="G50" s="1371"/>
      <c r="H50" s="1586"/>
      <c r="I50" s="1586"/>
      <c r="J50" s="487"/>
      <c r="K50" s="41"/>
      <c r="M50" s="1754" t="str">
        <f t="shared" si="3"/>
        <v>No</v>
      </c>
      <c r="O50" s="42" t="str">
        <f>+IF(M49="Yes",LOWER(ROMAN(_xlfn.ARABIC(O49)+1)),O49)</f>
        <v>i</v>
      </c>
      <c r="P50" s="42" t="s">
        <v>1574</v>
      </c>
    </row>
    <row r="51" spans="3:16" s="42" customFormat="1" hidden="1" x14ac:dyDescent="0.3">
      <c r="C51" s="635"/>
      <c r="D51" s="1624">
        <f>+SUMIF('Master TB'!E:E,Assets!K51,'Master TB'!J:J)</f>
        <v>0</v>
      </c>
      <c r="E51" s="1624">
        <f>+SUMIF('Master TB'!$E:$E,Assets!K51,'Master TB'!$V:$V)</f>
        <v>0</v>
      </c>
      <c r="F51" s="1371"/>
      <c r="G51" s="1371"/>
      <c r="H51" s="1586"/>
      <c r="I51" s="1586"/>
      <c r="J51" s="487"/>
      <c r="K51" s="41" t="s">
        <v>1405</v>
      </c>
      <c r="L51" s="1740" t="str">
        <f>+IF(AND(SUM(D45:D50)=D51,SUM(E45:E50)=E51),"Correct Disclosures Given","Incorrect Disclosures Given")</f>
        <v>Correct Disclosures Given</v>
      </c>
      <c r="M51" s="1754" t="str">
        <f t="shared" si="3"/>
        <v>No</v>
      </c>
    </row>
    <row r="52" spans="3:16" s="42" customFormat="1" ht="33" hidden="1" x14ac:dyDescent="0.3">
      <c r="C52" s="633" t="str">
        <f t="shared" si="2"/>
        <v>(a)  Investment in preference shares (give details separately for fully / partly paid up shares)</v>
      </c>
      <c r="D52" s="1622"/>
      <c r="E52" s="1622"/>
      <c r="F52" s="1371"/>
      <c r="G52" s="1586"/>
      <c r="H52" s="1586"/>
      <c r="I52" s="1586"/>
      <c r="J52" s="487"/>
      <c r="K52" s="41"/>
      <c r="M52" s="1756" t="str">
        <f>+M58</f>
        <v>No</v>
      </c>
      <c r="O52" s="42" t="str">
        <f>+IF(M44="yes",CHAR(CODE(O44)+1),O44)</f>
        <v>a</v>
      </c>
      <c r="P52" s="42" t="s">
        <v>1575</v>
      </c>
    </row>
    <row r="53" spans="3:16" s="42" customFormat="1" hidden="1" x14ac:dyDescent="0.3">
      <c r="C53" s="634" t="str">
        <f t="shared" si="2"/>
        <v>(i) of subsidiaries</v>
      </c>
      <c r="D53" s="1623">
        <f>+'Qualitative Disclosures'!E825</f>
        <v>0</v>
      </c>
      <c r="E53" s="1623">
        <f>+'Qualitative Disclosures'!F825</f>
        <v>0</v>
      </c>
      <c r="F53" s="1371"/>
      <c r="G53" s="1586"/>
      <c r="H53" s="1586"/>
      <c r="I53" s="1586"/>
      <c r="J53" s="487"/>
      <c r="K53" s="41"/>
      <c r="M53" s="1754" t="str">
        <f t="shared" ref="M53:M58" si="4">IF(AND(D53=0,E53=0),"No","Yes")</f>
        <v>No</v>
      </c>
      <c r="O53" s="42" t="s">
        <v>478</v>
      </c>
      <c r="P53" s="42" t="s">
        <v>1564</v>
      </c>
    </row>
    <row r="54" spans="3:16" s="42" customFormat="1" hidden="1" x14ac:dyDescent="0.3">
      <c r="C54" s="634" t="str">
        <f t="shared" si="2"/>
        <v>(i) of associates</v>
      </c>
      <c r="D54" s="1623">
        <f>+'Qualitative Disclosures'!E826</f>
        <v>0</v>
      </c>
      <c r="E54" s="1623">
        <f>+'Qualitative Disclosures'!F826</f>
        <v>0</v>
      </c>
      <c r="F54" s="1371"/>
      <c r="G54" s="1586"/>
      <c r="H54" s="1586"/>
      <c r="I54" s="1586"/>
      <c r="J54" s="487"/>
      <c r="K54" s="41"/>
      <c r="M54" s="1754" t="str">
        <f t="shared" si="4"/>
        <v>No</v>
      </c>
      <c r="O54" s="42" t="str">
        <f>+IF(M53="Yes",LOWER(ROMAN(_xlfn.ARABIC(O53)+1)),O53)</f>
        <v>i</v>
      </c>
      <c r="P54" s="42" t="s">
        <v>1565</v>
      </c>
    </row>
    <row r="55" spans="3:16" s="42" customFormat="1" hidden="1" x14ac:dyDescent="0.3">
      <c r="C55" s="634" t="str">
        <f t="shared" si="2"/>
        <v>(i) of joint ventures - jointly controlled entities</v>
      </c>
      <c r="D55" s="1623">
        <f>+'Qualitative Disclosures'!E827</f>
        <v>0</v>
      </c>
      <c r="E55" s="1623">
        <f>+'Qualitative Disclosures'!F827</f>
        <v>0</v>
      </c>
      <c r="F55" s="1371"/>
      <c r="G55" s="1586"/>
      <c r="H55" s="1586"/>
      <c r="I55" s="1586"/>
      <c r="J55" s="487"/>
      <c r="K55" s="41"/>
      <c r="M55" s="1754" t="str">
        <f t="shared" si="4"/>
        <v>No</v>
      </c>
      <c r="O55" s="42" t="str">
        <f>+IF(M54="Yes",LOWER(ROMAN(_xlfn.ARABIC(O54)+1)),O54)</f>
        <v>i</v>
      </c>
      <c r="P55" s="42" t="s">
        <v>1566</v>
      </c>
    </row>
    <row r="56" spans="3:16" s="42" customFormat="1" hidden="1" x14ac:dyDescent="0.3">
      <c r="C56" s="634" t="str">
        <f t="shared" si="2"/>
        <v>(i) of controlled special purpose entities</v>
      </c>
      <c r="D56" s="1623">
        <f>+'Qualitative Disclosures'!E828</f>
        <v>0</v>
      </c>
      <c r="E56" s="1623">
        <f>+'Qualitative Disclosures'!F828</f>
        <v>0</v>
      </c>
      <c r="F56" s="1371"/>
      <c r="G56" s="1586"/>
      <c r="H56" s="1586"/>
      <c r="I56" s="1586"/>
      <c r="J56" s="487"/>
      <c r="K56" s="41"/>
      <c r="M56" s="1754" t="str">
        <f t="shared" si="4"/>
        <v>No</v>
      </c>
      <c r="O56" s="42" t="str">
        <f>+IF(M55="Yes",LOWER(ROMAN(_xlfn.ARABIC(O55)+1)),O55)</f>
        <v>i</v>
      </c>
      <c r="P56" s="42" t="s">
        <v>1567</v>
      </c>
    </row>
    <row r="57" spans="3:16" s="42" customFormat="1" hidden="1" x14ac:dyDescent="0.3">
      <c r="C57" s="634" t="str">
        <f t="shared" si="2"/>
        <v>(i) of other entities (give details)</v>
      </c>
      <c r="D57" s="1629">
        <f>+'Qualitative Disclosures'!E829</f>
        <v>0</v>
      </c>
      <c r="E57" s="1623">
        <f>+'Qualitative Disclosures'!F829</f>
        <v>0</v>
      </c>
      <c r="F57" s="1371"/>
      <c r="G57" s="1586"/>
      <c r="H57" s="1586"/>
      <c r="I57" s="1586"/>
      <c r="J57" s="487"/>
      <c r="K57" s="41"/>
      <c r="M57" s="1754" t="str">
        <f t="shared" si="4"/>
        <v>No</v>
      </c>
      <c r="O57" s="42" t="str">
        <f>+IF(M56="Yes",LOWER(ROMAN(_xlfn.ARABIC(O56)+1)),O56)</f>
        <v>i</v>
      </c>
      <c r="P57" s="42" t="s">
        <v>1568</v>
      </c>
    </row>
    <row r="58" spans="3:16" s="42" customFormat="1" hidden="1" x14ac:dyDescent="0.3">
      <c r="C58" s="646"/>
      <c r="D58" s="1624">
        <f>+SUMIF('Master TB'!E:E,Assets!K58,'Master TB'!J:J)</f>
        <v>0</v>
      </c>
      <c r="E58" s="1624">
        <f>+SUMIF('Master TB'!$E:$E,Assets!K58,'Master TB'!$V:$V)</f>
        <v>0</v>
      </c>
      <c r="F58" s="1371"/>
      <c r="G58" s="1586"/>
      <c r="H58" s="1586"/>
      <c r="I58" s="1586"/>
      <c r="J58" s="487"/>
      <c r="K58" s="41" t="s">
        <v>1407</v>
      </c>
      <c r="L58" s="1740" t="str">
        <f>+IF(AND(SUM(D53:D57)=D58,SUM(E53:E57)=E58),"Correct Disclosures Given","Incorrect Disclosures Given")</f>
        <v>Correct Disclosures Given</v>
      </c>
      <c r="M58" s="1754" t="str">
        <f t="shared" si="4"/>
        <v>No</v>
      </c>
    </row>
    <row r="59" spans="3:16" s="42" customFormat="1" hidden="1" x14ac:dyDescent="0.3">
      <c r="C59" s="640" t="str">
        <f t="shared" si="2"/>
        <v xml:space="preserve">(a)  Investment in government or trust securities </v>
      </c>
      <c r="D59" s="1622"/>
      <c r="E59" s="1622"/>
      <c r="F59" s="1371"/>
      <c r="G59" s="1586"/>
      <c r="H59" s="1586"/>
      <c r="I59" s="1586"/>
      <c r="J59" s="487"/>
      <c r="K59" s="41"/>
      <c r="M59" s="1756" t="str">
        <f>+M62</f>
        <v>No</v>
      </c>
      <c r="O59" s="42" t="str">
        <f>+IF(M52="yes",CHAR(CODE(O52)+1),O52)</f>
        <v>a</v>
      </c>
      <c r="P59" s="42" t="s">
        <v>1576</v>
      </c>
    </row>
    <row r="60" spans="3:16" s="42" customFormat="1" hidden="1" x14ac:dyDescent="0.3">
      <c r="C60" s="634" t="str">
        <f t="shared" si="2"/>
        <v>(i) government securities</v>
      </c>
      <c r="D60" s="1629">
        <f>+'Qualitative Disclosures'!E832</f>
        <v>0</v>
      </c>
      <c r="E60" s="1623">
        <f>+'Qualitative Disclosures'!F832</f>
        <v>0</v>
      </c>
      <c r="F60" s="1371"/>
      <c r="G60" s="1586"/>
      <c r="H60" s="1586"/>
      <c r="I60" s="1586"/>
      <c r="J60" s="487"/>
      <c r="K60" s="41"/>
      <c r="M60" s="1754" t="str">
        <f>IF(AND(D60=0,E60=0),"No","Yes")</f>
        <v>No</v>
      </c>
      <c r="O60" s="42" t="s">
        <v>478</v>
      </c>
      <c r="P60" s="42" t="s">
        <v>1577</v>
      </c>
    </row>
    <row r="61" spans="3:16" s="42" customFormat="1" hidden="1" x14ac:dyDescent="0.3">
      <c r="C61" s="634" t="str">
        <f t="shared" si="2"/>
        <v>(i) trust securities</v>
      </c>
      <c r="D61" s="1625">
        <f>+'Qualitative Disclosures'!E833</f>
        <v>0</v>
      </c>
      <c r="E61" s="1625">
        <f>+'Qualitative Disclosures'!F833</f>
        <v>0</v>
      </c>
      <c r="F61" s="1371"/>
      <c r="G61" s="1586"/>
      <c r="H61" s="1586"/>
      <c r="I61" s="1586"/>
      <c r="J61" s="487"/>
      <c r="K61" s="41"/>
      <c r="M61" s="1754" t="str">
        <f>IF(AND(D61=0,E61=0),"No","Yes")</f>
        <v>No</v>
      </c>
      <c r="O61" s="42" t="str">
        <f>+IF(M60="Yes",LOWER(ROMAN(_xlfn.ARABIC(O60)+1)),O60)</f>
        <v>i</v>
      </c>
      <c r="P61" s="42" t="s">
        <v>1578</v>
      </c>
    </row>
    <row r="62" spans="3:16" s="42" customFormat="1" hidden="1" x14ac:dyDescent="0.3">
      <c r="C62" s="635"/>
      <c r="D62" s="1622">
        <f>+SUMIF('Master TB'!E:E,Assets!K62,'Master TB'!J:J)</f>
        <v>0</v>
      </c>
      <c r="E62" s="1622">
        <f>+SUMIF('Master TB'!$E:$E,Assets!K62,'Master TB'!$V:$V)</f>
        <v>0</v>
      </c>
      <c r="F62" s="1371"/>
      <c r="G62" s="1586"/>
      <c r="H62" s="1586"/>
      <c r="I62" s="1586"/>
      <c r="J62" s="487"/>
      <c r="K62" s="41" t="s">
        <v>1409</v>
      </c>
      <c r="L62" s="1740" t="str">
        <f>+IF(AND(SUM(D60:D61)=D62,SUM(E60:E61)=E62),"Correct Disclosures Given","Incorrect Disclosures Given")</f>
        <v>Correct Disclosures Given</v>
      </c>
      <c r="M62" s="1754" t="str">
        <f>IF(AND(D62=0,E62=0),"No","Yes")</f>
        <v>No</v>
      </c>
    </row>
    <row r="63" spans="3:16" s="42" customFormat="1" ht="33" hidden="1" x14ac:dyDescent="0.3">
      <c r="C63" s="633" t="str">
        <f>+"("&amp;O63&amp;") "&amp;P63</f>
        <v>(a) Investment in debentures or bonds (give details separately for fully / partly paid up debentures / bonds)</v>
      </c>
      <c r="D63" s="1622"/>
      <c r="E63" s="1622"/>
      <c r="F63" s="1371"/>
      <c r="G63" s="1586"/>
      <c r="H63" s="1586"/>
      <c r="I63" s="1586"/>
      <c r="J63" s="487"/>
      <c r="K63" s="41"/>
      <c r="M63" s="1756" t="str">
        <f>+M69</f>
        <v>No</v>
      </c>
      <c r="O63" s="42" t="str">
        <f>+IF(M59="yes",CHAR(CODE(O59)+1),O59)</f>
        <v>a</v>
      </c>
      <c r="P63" s="42" t="s">
        <v>561</v>
      </c>
    </row>
    <row r="64" spans="3:16" s="42" customFormat="1" hidden="1" x14ac:dyDescent="0.3">
      <c r="C64" s="634" t="str">
        <f t="shared" si="2"/>
        <v>(i) of subsidiaries</v>
      </c>
      <c r="D64" s="1623">
        <f>+'Qualitative Disclosures'!E836</f>
        <v>0</v>
      </c>
      <c r="E64" s="1623">
        <f>+'Qualitative Disclosures'!F836</f>
        <v>0</v>
      </c>
      <c r="F64" s="1371"/>
      <c r="G64" s="1586"/>
      <c r="H64" s="1586"/>
      <c r="I64" s="1586"/>
      <c r="J64" s="487"/>
      <c r="K64" s="41"/>
      <c r="M64" s="1754" t="str">
        <f t="shared" ref="M64:M70" si="5">IF(AND(D64=0,E64=0),"No","Yes")</f>
        <v>No</v>
      </c>
      <c r="O64" s="42" t="s">
        <v>478</v>
      </c>
      <c r="P64" s="42" t="s">
        <v>1564</v>
      </c>
    </row>
    <row r="65" spans="3:16" s="42" customFormat="1" hidden="1" x14ac:dyDescent="0.3">
      <c r="C65" s="634" t="str">
        <f t="shared" si="2"/>
        <v>(i) of associates</v>
      </c>
      <c r="D65" s="1623">
        <f>+'Qualitative Disclosures'!E837</f>
        <v>0</v>
      </c>
      <c r="E65" s="1623">
        <f>+'Qualitative Disclosures'!F837</f>
        <v>0</v>
      </c>
      <c r="F65" s="1371"/>
      <c r="G65" s="1586"/>
      <c r="H65" s="1586"/>
      <c r="I65" s="1586"/>
      <c r="J65" s="487"/>
      <c r="K65" s="41"/>
      <c r="M65" s="1754" t="str">
        <f t="shared" si="5"/>
        <v>No</v>
      </c>
      <c r="O65" s="42" t="str">
        <f>+IF(M64="Yes",LOWER(ROMAN(_xlfn.ARABIC(O64)+1)),O64)</f>
        <v>i</v>
      </c>
      <c r="P65" s="42" t="s">
        <v>1565</v>
      </c>
    </row>
    <row r="66" spans="3:16" s="42" customFormat="1" hidden="1" x14ac:dyDescent="0.3">
      <c r="C66" s="634" t="str">
        <f t="shared" si="2"/>
        <v>(i) of joint ventures - jointly controlled entities</v>
      </c>
      <c r="D66" s="1623">
        <f>+'Qualitative Disclosures'!E838</f>
        <v>0</v>
      </c>
      <c r="E66" s="1623">
        <f>+'Qualitative Disclosures'!F838</f>
        <v>0</v>
      </c>
      <c r="F66" s="1371"/>
      <c r="G66" s="1586"/>
      <c r="H66" s="1586"/>
      <c r="I66" s="1586"/>
      <c r="J66" s="487"/>
      <c r="K66" s="41"/>
      <c r="M66" s="1754" t="str">
        <f t="shared" si="5"/>
        <v>No</v>
      </c>
      <c r="O66" s="42" t="str">
        <f>+IF(M65="Yes",LOWER(ROMAN(_xlfn.ARABIC(O65)+1)),O65)</f>
        <v>i</v>
      </c>
      <c r="P66" s="42" t="s">
        <v>1566</v>
      </c>
    </row>
    <row r="67" spans="3:16" s="42" customFormat="1" hidden="1" x14ac:dyDescent="0.3">
      <c r="C67" s="634" t="str">
        <f t="shared" si="2"/>
        <v>(i) of controlled special purpose entities</v>
      </c>
      <c r="D67" s="1623">
        <f>+'Qualitative Disclosures'!E839</f>
        <v>0</v>
      </c>
      <c r="E67" s="1623">
        <f>+'Qualitative Disclosures'!F839</f>
        <v>0</v>
      </c>
      <c r="F67" s="1371"/>
      <c r="G67" s="1586"/>
      <c r="H67" s="1586"/>
      <c r="I67" s="1586"/>
      <c r="J67" s="487"/>
      <c r="K67" s="41"/>
      <c r="M67" s="1754" t="str">
        <f t="shared" si="5"/>
        <v>No</v>
      </c>
      <c r="O67" s="42" t="str">
        <f>+IF(M66="Yes",LOWER(ROMAN(_xlfn.ARABIC(O66)+1)),O66)</f>
        <v>i</v>
      </c>
      <c r="P67" s="42" t="s">
        <v>1567</v>
      </c>
    </row>
    <row r="68" spans="3:16" s="42" customFormat="1" hidden="1" x14ac:dyDescent="0.3">
      <c r="C68" s="634" t="str">
        <f t="shared" si="2"/>
        <v>(i) of other entities (give details)</v>
      </c>
      <c r="D68" s="1629">
        <f>+'Qualitative Disclosures'!E840</f>
        <v>0</v>
      </c>
      <c r="E68" s="1623">
        <f>+'Qualitative Disclosures'!F840</f>
        <v>0</v>
      </c>
      <c r="F68" s="1371"/>
      <c r="G68" s="1586"/>
      <c r="H68" s="1586"/>
      <c r="I68" s="1586"/>
      <c r="J68" s="487"/>
      <c r="K68" s="41"/>
      <c r="M68" s="1754" t="str">
        <f t="shared" si="5"/>
        <v>No</v>
      </c>
      <c r="O68" s="42" t="str">
        <f>+IF(M67="Yes",LOWER(ROMAN(_xlfn.ARABIC(O67)+1)),O67)</f>
        <v>i</v>
      </c>
      <c r="P68" s="42" t="s">
        <v>1568</v>
      </c>
    </row>
    <row r="69" spans="3:16" s="42" customFormat="1" hidden="1" x14ac:dyDescent="0.3">
      <c r="C69" s="641"/>
      <c r="D69" s="1627">
        <f>+SUMIF('Master TB'!E:E,Assets!K69,'Master TB'!J:J)</f>
        <v>0</v>
      </c>
      <c r="E69" s="1627">
        <f>+SUMIF('Master TB'!$E:$E,Assets!K69,'Master TB'!$V:$V)</f>
        <v>0</v>
      </c>
      <c r="F69" s="1371"/>
      <c r="G69" s="1586"/>
      <c r="H69" s="1586"/>
      <c r="I69" s="1586"/>
      <c r="J69" s="487"/>
      <c r="K69" s="41" t="s">
        <v>1411</v>
      </c>
      <c r="L69" s="1740" t="str">
        <f>+IF(AND(SUM(D64:D68)=D69,SUM(E64:E68)=E69),"Correct Disclosures Given","Incorrect Disclosures Given")</f>
        <v>Correct Disclosures Given</v>
      </c>
      <c r="M69" s="1754" t="str">
        <f t="shared" si="5"/>
        <v>No</v>
      </c>
    </row>
    <row r="70" spans="3:16" s="42" customFormat="1" hidden="1" x14ac:dyDescent="0.3">
      <c r="C70" s="241" t="str">
        <f t="shared" si="2"/>
        <v>(a)  Investment in mutual funds (give details)</v>
      </c>
      <c r="D70" s="1621">
        <f>+SUMIF('Master TB'!E:E,Assets!K70,'Master TB'!J:J)</f>
        <v>0</v>
      </c>
      <c r="E70" s="1626">
        <f>+SUMIF('Master TB'!$E:$E,Assets!K70,'Master TB'!$V:$V)</f>
        <v>0</v>
      </c>
      <c r="F70" s="1371"/>
      <c r="G70" s="1586"/>
      <c r="H70" s="1586"/>
      <c r="I70" s="1586"/>
      <c r="J70" s="487"/>
      <c r="K70" s="41" t="s">
        <v>1413</v>
      </c>
      <c r="M70" s="1754" t="str">
        <f t="shared" si="5"/>
        <v>No</v>
      </c>
      <c r="O70" s="42" t="str">
        <f>+IF(M63="yes",CHAR(CODE(O63)+1),O63)</f>
        <v>a</v>
      </c>
      <c r="P70" s="42" t="s">
        <v>1579</v>
      </c>
    </row>
    <row r="71" spans="3:16" s="42" customFormat="1" hidden="1" x14ac:dyDescent="0.3">
      <c r="C71" s="642"/>
      <c r="D71" s="1624"/>
      <c r="E71" s="1622"/>
      <c r="F71" s="1371"/>
      <c r="G71" s="1586"/>
      <c r="H71" s="1586"/>
      <c r="I71" s="1586"/>
      <c r="J71" s="487"/>
      <c r="K71" s="41"/>
      <c r="M71" s="1756" t="str">
        <f>+M72</f>
        <v>No</v>
      </c>
    </row>
    <row r="72" spans="3:16" s="42" customFormat="1" hidden="1" x14ac:dyDescent="0.3">
      <c r="C72" s="241" t="str">
        <f t="shared" si="2"/>
        <v>(a) Investment in partnership firms (Refer Note below)</v>
      </c>
      <c r="D72" s="1621">
        <f>+SUMIF('Master TB'!E:E,Assets!K72,'Master TB'!J:J)</f>
        <v>0</v>
      </c>
      <c r="E72" s="1626">
        <f>+SUMIF('Master TB'!$E:$E,Assets!K72,'Master TB'!$V:$V)</f>
        <v>0</v>
      </c>
      <c r="F72" s="1371"/>
      <c r="G72" s="1586"/>
      <c r="H72" s="1586"/>
      <c r="I72" s="1586"/>
      <c r="J72" s="487"/>
      <c r="K72" s="41" t="s">
        <v>1415</v>
      </c>
      <c r="M72" s="1754" t="str">
        <f>IF(AND(D72=0,E72=0),"No","Yes")</f>
        <v>No</v>
      </c>
      <c r="O72" s="42" t="str">
        <f>+IF(M70="yes",CHAR(CODE(O70)+1),O70)</f>
        <v>a</v>
      </c>
      <c r="P72" s="42" t="s">
        <v>1580</v>
      </c>
    </row>
    <row r="73" spans="3:16" s="42" customFormat="1" hidden="1" x14ac:dyDescent="0.3">
      <c r="C73" s="241"/>
      <c r="D73" s="1624"/>
      <c r="E73" s="1622"/>
      <c r="F73" s="1371"/>
      <c r="G73" s="1586"/>
      <c r="H73" s="1586"/>
      <c r="I73" s="1586"/>
      <c r="J73" s="487"/>
      <c r="K73" s="41"/>
      <c r="M73" s="1756" t="str">
        <f>+M74</f>
        <v>No</v>
      </c>
    </row>
    <row r="74" spans="3:16" s="42" customFormat="1" hidden="1" x14ac:dyDescent="0.3">
      <c r="C74" s="241" t="str">
        <f t="shared" si="2"/>
        <v>(a) Other non-current investments (specify nature)</v>
      </c>
      <c r="D74" s="1630">
        <f>+SUMIF('Master TB'!E:E,Assets!K74,'Master TB'!J:J)</f>
        <v>0</v>
      </c>
      <c r="E74" s="1622">
        <f>+SUMIF('Master TB'!$E:$E,Assets!K74,'Master TB'!$V:$V)</f>
        <v>0</v>
      </c>
      <c r="F74" s="1371"/>
      <c r="G74" s="1586"/>
      <c r="H74" s="1586"/>
      <c r="I74" s="1586"/>
      <c r="J74" s="487"/>
      <c r="K74" s="41" t="s">
        <v>1417</v>
      </c>
      <c r="M74" s="1754" t="str">
        <f>IF(AND(D74=0,E74=0),"No","Yes")</f>
        <v>No</v>
      </c>
      <c r="O74" s="42" t="str">
        <f>+IF(M72="yes",CHAR(CODE(O72)+1),O72)</f>
        <v>a</v>
      </c>
      <c r="P74" s="42" t="s">
        <v>1571</v>
      </c>
    </row>
    <row r="75" spans="3:16" s="42" customFormat="1" hidden="1" x14ac:dyDescent="0.3">
      <c r="C75" s="643" t="s">
        <v>185</v>
      </c>
      <c r="D75" s="1624">
        <f>+D74+D72+D70+D69+D62+D58+D51+D42</f>
        <v>0</v>
      </c>
      <c r="E75" s="1624">
        <f>+E74+E72+E70+E69+E62+E58+E51+E42</f>
        <v>0</v>
      </c>
      <c r="F75" s="1371"/>
      <c r="G75" s="1371"/>
      <c r="H75" s="1371"/>
      <c r="I75" s="1371"/>
      <c r="J75" s="487"/>
      <c r="K75" s="41"/>
      <c r="M75" s="1754" t="str">
        <f>IF(AND(D75=0,E75=0),"No","Yes")</f>
        <v>No</v>
      </c>
      <c r="P75" s="42" t="s">
        <v>1150</v>
      </c>
    </row>
    <row r="76" spans="3:16" s="42" customFormat="1" hidden="1" x14ac:dyDescent="0.25">
      <c r="C76" s="644"/>
      <c r="D76" s="1178"/>
      <c r="E76" s="1177"/>
      <c r="F76" s="1664"/>
      <c r="G76" s="1664"/>
      <c r="H76" s="1664"/>
      <c r="I76" s="1664"/>
      <c r="J76" s="487"/>
      <c r="K76" s="41"/>
      <c r="M76" s="1756" t="str">
        <f>+M77</f>
        <v>No</v>
      </c>
    </row>
    <row r="77" spans="3:16" s="42" customFormat="1" hidden="1" x14ac:dyDescent="0.25">
      <c r="C77" s="644" t="s">
        <v>186</v>
      </c>
      <c r="D77" s="1631">
        <f>+D40+D75</f>
        <v>0</v>
      </c>
      <c r="E77" s="1631">
        <f>+E40+E75</f>
        <v>0</v>
      </c>
      <c r="F77" s="1180"/>
      <c r="G77" s="1180"/>
      <c r="H77" s="1180"/>
      <c r="I77" s="1180"/>
      <c r="J77" s="487"/>
      <c r="K77" s="41"/>
      <c r="M77" s="1754" t="str">
        <f>IF(AND(D77=0,E77=0),"No","Yes")</f>
        <v>No</v>
      </c>
      <c r="P77" s="42" t="s">
        <v>1150</v>
      </c>
    </row>
    <row r="78" spans="3:16" s="42" customFormat="1" hidden="1" x14ac:dyDescent="0.3">
      <c r="C78" s="127" t="s">
        <v>479</v>
      </c>
      <c r="D78" s="1621">
        <f>+SUMIF('Master TB'!E:E,Assets!K78,'Master TB'!J:J)</f>
        <v>0</v>
      </c>
      <c r="E78" s="1178">
        <f>+SUMIF('Master TB'!$E:$E,Assets!K78,'Master TB'!$V:$V)</f>
        <v>0</v>
      </c>
      <c r="F78" s="1180"/>
      <c r="G78" s="1180"/>
      <c r="H78" s="1180"/>
      <c r="I78" s="1180"/>
      <c r="J78" s="487"/>
      <c r="K78" s="325" t="s">
        <v>1419</v>
      </c>
      <c r="M78" s="1754" t="str">
        <f>IF(AND(D78=0,E78=0),"No","Yes")</f>
        <v>No</v>
      </c>
    </row>
    <row r="79" spans="3:16" s="42" customFormat="1" hidden="1" x14ac:dyDescent="0.3">
      <c r="C79" s="173"/>
      <c r="D79" s="1178"/>
      <c r="E79" s="1178"/>
      <c r="F79" s="1371"/>
      <c r="G79" s="1180"/>
      <c r="H79" s="1180"/>
      <c r="I79" s="1371"/>
      <c r="J79" s="487"/>
      <c r="K79" s="41"/>
      <c r="M79" s="1756" t="str">
        <f>+M78</f>
        <v>No</v>
      </c>
    </row>
    <row r="80" spans="3:16" s="42" customFormat="1" hidden="1" x14ac:dyDescent="0.3">
      <c r="C80" s="645" t="s">
        <v>35</v>
      </c>
      <c r="D80" s="1179">
        <f>+D77-D78</f>
        <v>0</v>
      </c>
      <c r="E80" s="1179">
        <f>+E77-E78</f>
        <v>0</v>
      </c>
      <c r="F80" s="1371"/>
      <c r="G80" s="1180"/>
      <c r="H80" s="1180"/>
      <c r="I80" s="1371"/>
      <c r="J80" s="487"/>
      <c r="K80" s="41"/>
      <c r="M80" s="1754" t="str">
        <f>IF(AND(D80=0,E80=0),"No","Yes")</f>
        <v>No</v>
      </c>
    </row>
    <row r="81" spans="3:13" s="42" customFormat="1" hidden="1" x14ac:dyDescent="0.3">
      <c r="C81" s="234"/>
      <c r="D81" s="1180"/>
      <c r="E81" s="1180"/>
      <c r="F81" s="1371"/>
      <c r="G81" s="1180"/>
      <c r="H81" s="1180"/>
      <c r="I81" s="1371"/>
      <c r="J81" s="487"/>
      <c r="K81" s="41"/>
      <c r="M81" s="1754" t="str">
        <f>+M82</f>
        <v>No</v>
      </c>
    </row>
    <row r="82" spans="3:13" s="42" customFormat="1" hidden="1" x14ac:dyDescent="0.3">
      <c r="C82" s="1495" t="str">
        <f>+IF(Footnotes!C73="","",Footnotes!C73)</f>
        <v/>
      </c>
      <c r="D82" s="1496" t="str">
        <f>+IF(Footnotes!D73="","",Footnotes!D73)</f>
        <v/>
      </c>
      <c r="E82" s="1496" t="str">
        <f>+IF(Footnotes!E73="","",Footnotes!E73)</f>
        <v/>
      </c>
      <c r="F82" s="1629" t="str">
        <f>+IF(Footnotes!F73="","",Footnotes!F73)</f>
        <v/>
      </c>
      <c r="G82" s="1496" t="str">
        <f>+IF(Footnotes!G73="","",Footnotes!G73)</f>
        <v/>
      </c>
      <c r="H82" s="1496" t="str">
        <f>+IF(Footnotes!H73="","",Footnotes!H73)</f>
        <v/>
      </c>
      <c r="I82" s="1629" t="str">
        <f>+IF(Footnotes!I73="","",Footnotes!I73)</f>
        <v/>
      </c>
      <c r="J82" s="487"/>
      <c r="K82" s="41"/>
      <c r="M82" s="1756" t="str">
        <f t="shared" ref="M82:M87" si="6">+IF(AND(C82="",D82="",E82="",F82="",G82="",H82="",I82=""),"No","Yes")</f>
        <v>No</v>
      </c>
    </row>
    <row r="83" spans="3:13" s="42" customFormat="1" hidden="1" x14ac:dyDescent="0.3">
      <c r="C83" s="1495" t="str">
        <f>+IF(Footnotes!C74="","",Footnotes!C74)</f>
        <v/>
      </c>
      <c r="D83" s="1496" t="str">
        <f>+IF(Footnotes!D74="","",Footnotes!D74)</f>
        <v/>
      </c>
      <c r="E83" s="1496" t="str">
        <f>+IF(Footnotes!E74="","",Footnotes!E74)</f>
        <v/>
      </c>
      <c r="F83" s="1629" t="str">
        <f>+IF(Footnotes!F74="","",Footnotes!F74)</f>
        <v/>
      </c>
      <c r="G83" s="1496" t="str">
        <f>+IF(Footnotes!G74="","",Footnotes!G74)</f>
        <v/>
      </c>
      <c r="H83" s="1496" t="str">
        <f>+IF(Footnotes!H74="","",Footnotes!H74)</f>
        <v/>
      </c>
      <c r="I83" s="1629" t="str">
        <f>+IF(Footnotes!I74="","",Footnotes!I74)</f>
        <v/>
      </c>
      <c r="J83" s="487"/>
      <c r="K83" s="41"/>
      <c r="M83" s="1756" t="str">
        <f t="shared" si="6"/>
        <v>No</v>
      </c>
    </row>
    <row r="84" spans="3:13" s="42" customFormat="1" hidden="1" x14ac:dyDescent="0.3">
      <c r="C84" s="1495" t="str">
        <f>+IF(Footnotes!C75="","",Footnotes!C75)</f>
        <v/>
      </c>
      <c r="D84" s="1496" t="str">
        <f>+IF(Footnotes!D75="","",Footnotes!D75)</f>
        <v/>
      </c>
      <c r="E84" s="1496" t="str">
        <f>+IF(Footnotes!E75="","",Footnotes!E75)</f>
        <v/>
      </c>
      <c r="F84" s="1629" t="str">
        <f>+IF(Footnotes!F75="","",Footnotes!F75)</f>
        <v/>
      </c>
      <c r="G84" s="1496" t="str">
        <f>+IF(Footnotes!G75="","",Footnotes!G75)</f>
        <v/>
      </c>
      <c r="H84" s="1496" t="str">
        <f>+IF(Footnotes!H75="","",Footnotes!H75)</f>
        <v/>
      </c>
      <c r="I84" s="1629" t="str">
        <f>+IF(Footnotes!I75="","",Footnotes!I75)</f>
        <v/>
      </c>
      <c r="J84" s="487"/>
      <c r="K84" s="41"/>
      <c r="M84" s="1756" t="str">
        <f t="shared" si="6"/>
        <v>No</v>
      </c>
    </row>
    <row r="85" spans="3:13" s="42" customFormat="1" hidden="1" x14ac:dyDescent="0.3">
      <c r="C85" s="1495" t="str">
        <f>+IF(Footnotes!C76="","",Footnotes!C76)</f>
        <v/>
      </c>
      <c r="D85" s="1496" t="str">
        <f>+IF(Footnotes!D76="","",Footnotes!D76)</f>
        <v/>
      </c>
      <c r="E85" s="1496" t="str">
        <f>+IF(Footnotes!E76="","",Footnotes!E76)</f>
        <v/>
      </c>
      <c r="F85" s="1629" t="str">
        <f>+IF(Footnotes!F76="","",Footnotes!F76)</f>
        <v/>
      </c>
      <c r="G85" s="1496" t="str">
        <f>+IF(Footnotes!G76="","",Footnotes!G76)</f>
        <v/>
      </c>
      <c r="H85" s="1496" t="str">
        <f>+IF(Footnotes!H76="","",Footnotes!H76)</f>
        <v/>
      </c>
      <c r="I85" s="1629" t="str">
        <f>+IF(Footnotes!I76="","",Footnotes!I76)</f>
        <v/>
      </c>
      <c r="J85" s="487"/>
      <c r="K85" s="41"/>
      <c r="M85" s="1756" t="str">
        <f t="shared" si="6"/>
        <v>No</v>
      </c>
    </row>
    <row r="86" spans="3:13" s="42" customFormat="1" hidden="1" x14ac:dyDescent="0.3">
      <c r="C86" s="1495" t="str">
        <f>+IF(Footnotes!C77="","",Footnotes!C77)</f>
        <v/>
      </c>
      <c r="D86" s="1496" t="str">
        <f>+IF(Footnotes!D77="","",Footnotes!D77)</f>
        <v/>
      </c>
      <c r="E86" s="1496" t="str">
        <f>+IF(Footnotes!E77="","",Footnotes!E77)</f>
        <v/>
      </c>
      <c r="F86" s="1629" t="str">
        <f>+IF(Footnotes!F77="","",Footnotes!F77)</f>
        <v/>
      </c>
      <c r="G86" s="1496" t="str">
        <f>+IF(Footnotes!G77="","",Footnotes!G77)</f>
        <v/>
      </c>
      <c r="H86" s="1496" t="str">
        <f>+IF(Footnotes!H77="","",Footnotes!H77)</f>
        <v/>
      </c>
      <c r="I86" s="1629" t="str">
        <f>+IF(Footnotes!I77="","",Footnotes!I77)</f>
        <v/>
      </c>
      <c r="J86" s="487"/>
      <c r="K86" s="41"/>
      <c r="M86" s="1756" t="str">
        <f t="shared" si="6"/>
        <v>No</v>
      </c>
    </row>
    <row r="87" spans="3:13" s="42" customFormat="1" hidden="1" x14ac:dyDescent="0.25">
      <c r="C87" s="1493" t="str">
        <f>+IF(Footnotes!C78="","",Footnotes!C78)</f>
        <v/>
      </c>
      <c r="D87" s="1593" t="str">
        <f>+IF(Footnotes!D78="","",Footnotes!D78)</f>
        <v/>
      </c>
      <c r="E87" s="1593" t="str">
        <f>+IF(Footnotes!E78="","",Footnotes!E78)</f>
        <v/>
      </c>
      <c r="F87" s="1593" t="str">
        <f>+IF(Footnotes!F78="","",Footnotes!F78)</f>
        <v/>
      </c>
      <c r="G87" s="1536" t="str">
        <f>+IF(Footnotes!G78="","",Footnotes!G78)</f>
        <v/>
      </c>
      <c r="H87" s="1536" t="str">
        <f>+IF(Footnotes!H78="","",Footnotes!H78)</f>
        <v/>
      </c>
      <c r="I87" s="1536" t="str">
        <f>+IF(Footnotes!I78="","",Footnotes!I78)</f>
        <v/>
      </c>
      <c r="J87" s="487"/>
      <c r="K87" s="41"/>
      <c r="M87" s="1756" t="str">
        <f t="shared" si="6"/>
        <v>No</v>
      </c>
    </row>
    <row r="88" spans="3:13" s="42" customFormat="1" hidden="1" x14ac:dyDescent="0.25">
      <c r="C88" s="81"/>
      <c r="D88" s="1209"/>
      <c r="E88" s="1209"/>
      <c r="F88" s="1209"/>
      <c r="G88" s="841"/>
      <c r="H88" s="841"/>
      <c r="I88" s="841"/>
      <c r="J88" s="487"/>
      <c r="K88" s="41"/>
      <c r="M88" s="1754" t="str">
        <f>+M89</f>
        <v>Yes</v>
      </c>
    </row>
    <row r="89" spans="3:13" s="42" customFormat="1" hidden="1" x14ac:dyDescent="0.25">
      <c r="C89" s="17" t="str">
        <f>+"Note "&amp;IF('Balance Sheet'!I25="Yes",'Balance Sheet'!E25,'Balance Sheet'!E51&amp;" : Deferred tax (liabilities) / assets")</f>
        <v>Note 23 : Deferred tax (liabilities) / assets</v>
      </c>
      <c r="D89" s="1209"/>
      <c r="E89" s="1209"/>
      <c r="F89" s="1209"/>
      <c r="G89" s="841"/>
      <c r="H89" s="841"/>
      <c r="I89" s="841"/>
      <c r="J89" s="487"/>
      <c r="K89" s="41"/>
      <c r="M89" s="1756" t="str">
        <f>+IF('Balance Sheet'!$I$51="No","No",M90)</f>
        <v>Yes</v>
      </c>
    </row>
    <row r="90" spans="3:13" s="42" customFormat="1" hidden="1" x14ac:dyDescent="0.25">
      <c r="C90" s="81"/>
      <c r="D90" s="1209"/>
      <c r="E90" s="1673" t="str">
        <f>+Liabilities!F676</f>
        <v>Amount in Rs '00.</v>
      </c>
      <c r="F90" s="1209"/>
      <c r="G90" s="841"/>
      <c r="H90" s="841"/>
      <c r="I90" s="841"/>
      <c r="J90" s="487"/>
      <c r="K90" s="41"/>
      <c r="M90" s="1756" t="str">
        <f>++IF('Balance Sheet'!$I$51="No","No",M91)</f>
        <v>Yes</v>
      </c>
    </row>
    <row r="91" spans="3:13" s="42" customFormat="1" ht="30" hidden="1" x14ac:dyDescent="0.25">
      <c r="C91" s="2480" t="s">
        <v>20</v>
      </c>
      <c r="D91" s="2405" t="str">
        <f>BSCY</f>
        <v>As At 31st March 2025</v>
      </c>
      <c r="E91" s="2405" t="str">
        <f>BSPY</f>
        <v>As At 31st March 2024</v>
      </c>
      <c r="F91" s="841"/>
      <c r="G91" s="841"/>
      <c r="H91" s="841"/>
      <c r="I91" s="487"/>
      <c r="J91" s="41"/>
      <c r="L91" s="3"/>
      <c r="M91" s="1756" t="str">
        <f>++IF('Balance Sheet'!$I$51="No","No",IF(COUNTIF(M92:M110,"Yes")&gt;0,"Yes","No"))</f>
        <v>Yes</v>
      </c>
    </row>
    <row r="92" spans="3:13" s="42" customFormat="1" hidden="1" x14ac:dyDescent="0.25">
      <c r="C92" s="212" t="s">
        <v>613</v>
      </c>
      <c r="D92" s="1644">
        <f>+'Qualitative Disclosures for AS'!D565</f>
        <v>0</v>
      </c>
      <c r="E92" s="831">
        <f>+'Qualitative Disclosures for AS'!E565</f>
        <v>0</v>
      </c>
      <c r="F92" s="841"/>
      <c r="G92" s="841"/>
      <c r="H92" s="841"/>
      <c r="I92" s="487"/>
      <c r="J92" s="41"/>
      <c r="L92" s="3"/>
      <c r="M92" s="1756" t="str">
        <f>+IF('Balance Sheet'!$I$51="No","No",IF(AND(E92=0,D92=0),"No","Yes"))</f>
        <v>No</v>
      </c>
    </row>
    <row r="93" spans="3:13" s="42" customFormat="1" hidden="1" x14ac:dyDescent="0.25">
      <c r="C93" s="286" t="s">
        <v>389</v>
      </c>
      <c r="D93" s="2357">
        <f>+'Qualitative Disclosures for AS'!D566</f>
        <v>0</v>
      </c>
      <c r="E93" s="831">
        <f>+'Qualitative Disclosures for AS'!E566</f>
        <v>0</v>
      </c>
      <c r="F93" s="841"/>
      <c r="G93" s="841"/>
      <c r="H93" s="841"/>
      <c r="I93" s="487"/>
      <c r="J93" s="41"/>
      <c r="L93" s="3"/>
      <c r="M93" s="1756" t="str">
        <f>+IF('Balance Sheet'!$I$51="No","No",IF(AND(E93=0,D93=0),"No","Yes"))</f>
        <v>No</v>
      </c>
    </row>
    <row r="94" spans="3:13" s="42" customFormat="1" hidden="1" x14ac:dyDescent="0.25">
      <c r="C94" s="286" t="s">
        <v>390</v>
      </c>
      <c r="D94" s="2357">
        <f>+'Qualitative Disclosures for AS'!D567</f>
        <v>0</v>
      </c>
      <c r="E94" s="831">
        <f>+'Qualitative Disclosures for AS'!E567</f>
        <v>0</v>
      </c>
      <c r="F94" s="841"/>
      <c r="G94" s="841"/>
      <c r="H94" s="841"/>
      <c r="I94" s="487"/>
      <c r="J94" s="41"/>
      <c r="L94" s="3"/>
      <c r="M94" s="1756" t="str">
        <f>+IF('Balance Sheet'!$I$51="No","No",IF(AND(E94=0,D94=0),"No","Yes"))</f>
        <v>No</v>
      </c>
    </row>
    <row r="95" spans="3:13" s="42" customFormat="1" ht="33" hidden="1" x14ac:dyDescent="0.25">
      <c r="C95" s="287" t="s">
        <v>476</v>
      </c>
      <c r="D95" s="2357">
        <f>+'Qualitative Disclosures for AS'!D568</f>
        <v>0</v>
      </c>
      <c r="E95" s="831">
        <f>+'Qualitative Disclosures for AS'!E568</f>
        <v>0</v>
      </c>
      <c r="F95" s="841"/>
      <c r="G95" s="841"/>
      <c r="H95" s="841"/>
      <c r="I95" s="487"/>
      <c r="J95" s="41"/>
      <c r="L95" s="3"/>
      <c r="M95" s="1756" t="str">
        <f>+IF('Balance Sheet'!$I$51="No","No",IF(AND(E95=0,D95=0),"No","Yes"))</f>
        <v>No</v>
      </c>
    </row>
    <row r="96" spans="3:13" s="42" customFormat="1" hidden="1" x14ac:dyDescent="0.25">
      <c r="C96" s="286" t="s">
        <v>170</v>
      </c>
      <c r="D96" s="2357">
        <f>+'Qualitative Disclosures for AS'!D569</f>
        <v>0</v>
      </c>
      <c r="E96" s="831">
        <f>+'Qualitative Disclosures for AS'!E569</f>
        <v>0</v>
      </c>
      <c r="F96" s="841"/>
      <c r="G96" s="841"/>
      <c r="H96" s="841"/>
      <c r="I96" s="487"/>
      <c r="J96" s="41"/>
      <c r="L96" s="3"/>
      <c r="M96" s="1756" t="str">
        <f>+IF('Balance Sheet'!$I$51="No","No",IF(AND(E96=0,D96=0),"No","Yes"))</f>
        <v>No</v>
      </c>
    </row>
    <row r="97" spans="3:13" s="42" customFormat="1" hidden="1" x14ac:dyDescent="0.25">
      <c r="C97" s="141" t="s">
        <v>613</v>
      </c>
      <c r="D97" s="1643">
        <f>+'Qualitative Disclosures for AS'!D570</f>
        <v>0</v>
      </c>
      <c r="E97" s="1199">
        <f>+'Qualitative Disclosures for AS'!E570</f>
        <v>0</v>
      </c>
      <c r="F97" s="841"/>
      <c r="G97" s="841"/>
      <c r="H97" s="841"/>
      <c r="I97" s="487"/>
      <c r="J97" s="41"/>
      <c r="L97" s="3"/>
      <c r="M97" s="1756" t="str">
        <f>+IF('Balance Sheet'!$I$51="No","No",IF(AND(E97=0,D97=0),"No","Yes"))</f>
        <v>No</v>
      </c>
    </row>
    <row r="98" spans="3:13" s="42" customFormat="1" hidden="1" x14ac:dyDescent="0.25">
      <c r="C98" s="141"/>
      <c r="D98" s="1644">
        <f>+'Qualitative Disclosures for AS'!D571</f>
        <v>0</v>
      </c>
      <c r="E98" s="831">
        <f>+'Qualitative Disclosures for AS'!E571</f>
        <v>0</v>
      </c>
      <c r="F98" s="841"/>
      <c r="G98" s="841"/>
      <c r="H98" s="841"/>
      <c r="I98" s="487"/>
      <c r="J98" s="41"/>
      <c r="L98" s="3"/>
      <c r="M98" s="1756" t="str">
        <f>+IF('Balance Sheet'!$I$51="No","No",IF(AND(E98=0,D98=0),"No","Yes"))</f>
        <v>No</v>
      </c>
    </row>
    <row r="99" spans="3:13" s="42" customFormat="1" hidden="1" x14ac:dyDescent="0.25">
      <c r="C99" s="212" t="s">
        <v>391</v>
      </c>
      <c r="D99" s="1644">
        <f>+'Qualitative Disclosures for AS'!D572</f>
        <v>0</v>
      </c>
      <c r="E99" s="831">
        <f>+'Qualitative Disclosures for AS'!E572</f>
        <v>0</v>
      </c>
      <c r="F99" s="841"/>
      <c r="G99" s="841"/>
      <c r="H99" s="841"/>
      <c r="I99" s="487"/>
      <c r="J99" s="41"/>
      <c r="L99" s="3"/>
      <c r="M99" s="1756" t="str">
        <f>+IF('Balance Sheet'!$I$51="No","No",IF(AND(E99=0,D99=0),"No","Yes"))</f>
        <v>No</v>
      </c>
    </row>
    <row r="100" spans="3:13" s="42" customFormat="1" ht="33" hidden="1" x14ac:dyDescent="0.25">
      <c r="C100" s="287" t="s">
        <v>392</v>
      </c>
      <c r="D100" s="2357">
        <f>+'Qualitative Disclosures for AS'!D573</f>
        <v>626.45417120000002</v>
      </c>
      <c r="E100" s="831">
        <f>+'Qualitative Disclosures for AS'!E573</f>
        <v>0</v>
      </c>
      <c r="F100" s="841"/>
      <c r="G100" s="841"/>
      <c r="H100" s="841"/>
      <c r="I100" s="487"/>
      <c r="J100" s="41"/>
      <c r="L100" s="3"/>
      <c r="M100" s="1756" t="str">
        <f>+IF('Balance Sheet'!$I$51="No","No",IF(AND(E100=0,D100=0),"No","Yes"))</f>
        <v>Yes</v>
      </c>
    </row>
    <row r="101" spans="3:13" s="42" customFormat="1" hidden="1" x14ac:dyDescent="0.25">
      <c r="C101" s="286" t="s">
        <v>393</v>
      </c>
      <c r="D101" s="2357">
        <f>+'Qualitative Disclosures for AS'!D574</f>
        <v>0</v>
      </c>
      <c r="E101" s="831">
        <f>+'Qualitative Disclosures for AS'!E574</f>
        <v>0</v>
      </c>
      <c r="F101" s="841"/>
      <c r="G101" s="841"/>
      <c r="H101" s="841"/>
      <c r="I101" s="487"/>
      <c r="J101" s="41"/>
      <c r="L101" s="3"/>
      <c r="M101" s="1756" t="str">
        <f>+IF('Balance Sheet'!$I$51="No","No",IF(AND(E101=0,D101=0),"No","Yes"))</f>
        <v>No</v>
      </c>
    </row>
    <row r="102" spans="3:13" s="42" customFormat="1" ht="33" hidden="1" x14ac:dyDescent="0.25">
      <c r="C102" s="287" t="s">
        <v>465</v>
      </c>
      <c r="D102" s="2357">
        <f>+'Qualitative Disclosures for AS'!D575</f>
        <v>0</v>
      </c>
      <c r="E102" s="831">
        <f>+'Qualitative Disclosures for AS'!E575</f>
        <v>0</v>
      </c>
      <c r="F102" s="841"/>
      <c r="G102" s="841"/>
      <c r="H102" s="841"/>
      <c r="I102" s="487"/>
      <c r="J102" s="41"/>
      <c r="L102" s="3"/>
      <c r="M102" s="1756" t="str">
        <f>+IF('Balance Sheet'!$I$51="No","No",IF(AND(E102=0,D102=0),"No","Yes"))</f>
        <v>No</v>
      </c>
    </row>
    <row r="103" spans="3:13" s="42" customFormat="1" hidden="1" x14ac:dyDescent="0.25">
      <c r="C103" s="287" t="s">
        <v>389</v>
      </c>
      <c r="D103" s="2357">
        <f>+'Qualitative Disclosures for AS'!D576</f>
        <v>244.61124630800001</v>
      </c>
      <c r="E103" s="831">
        <f>+'Qualitative Disclosures for AS'!E576</f>
        <v>359.41</v>
      </c>
      <c r="F103" s="841"/>
      <c r="G103" s="841"/>
      <c r="H103" s="841"/>
      <c r="I103" s="487"/>
      <c r="J103" s="41"/>
      <c r="L103" s="3"/>
      <c r="M103" s="1756" t="str">
        <f>+IF('Balance Sheet'!$I$51="No","No",IF(AND(E103=0,D103=0),"No","Yes"))</f>
        <v>Yes</v>
      </c>
    </row>
    <row r="104" spans="3:13" s="42" customFormat="1" hidden="1" x14ac:dyDescent="0.25">
      <c r="C104" s="286" t="s">
        <v>394</v>
      </c>
      <c r="D104" s="2357">
        <f>+'Qualitative Disclosures for AS'!D577</f>
        <v>0</v>
      </c>
      <c r="E104" s="831">
        <f>+'Qualitative Disclosures for AS'!E577</f>
        <v>0</v>
      </c>
      <c r="F104" s="841"/>
      <c r="G104" s="841"/>
      <c r="H104" s="841"/>
      <c r="I104" s="487"/>
      <c r="J104" s="41"/>
      <c r="L104" s="3"/>
      <c r="M104" s="1756" t="str">
        <f>+IF('Balance Sheet'!$I$51="No","No",IF(AND(E104=0,D104=0),"No","Yes"))</f>
        <v>No</v>
      </c>
    </row>
    <row r="105" spans="3:13" s="42" customFormat="1" hidden="1" x14ac:dyDescent="0.25">
      <c r="C105" s="286" t="s">
        <v>395</v>
      </c>
      <c r="D105" s="2357">
        <f>+'Qualitative Disclosures for AS'!D578</f>
        <v>0</v>
      </c>
      <c r="E105" s="831">
        <f>+'Qualitative Disclosures for AS'!E578</f>
        <v>0</v>
      </c>
      <c r="F105" s="841"/>
      <c r="G105" s="841"/>
      <c r="H105" s="841"/>
      <c r="I105" s="487"/>
      <c r="J105" s="41"/>
      <c r="L105" s="3"/>
      <c r="M105" s="1756" t="str">
        <f>+IF('Balance Sheet'!$I$51="No","No",IF(AND(E105=0,D105=0),"No","Yes"))</f>
        <v>No</v>
      </c>
    </row>
    <row r="106" spans="3:13" s="42" customFormat="1" ht="33" hidden="1" x14ac:dyDescent="0.25">
      <c r="C106" s="287" t="s">
        <v>476</v>
      </c>
      <c r="D106" s="2357">
        <f>+'Qualitative Disclosures for AS'!D580</f>
        <v>740.77372054400007</v>
      </c>
      <c r="E106" s="831">
        <f>+'Qualitative Disclosures for AS'!E579</f>
        <v>0</v>
      </c>
      <c r="F106" s="841"/>
      <c r="G106" s="841"/>
      <c r="H106" s="841"/>
      <c r="I106" s="487"/>
      <c r="J106" s="41"/>
      <c r="L106" s="3"/>
      <c r="M106" s="1756" t="str">
        <f>+IF('Balance Sheet'!$I$51="No","No",IF(AND(E106=0,D106=0),"No","Yes"))</f>
        <v>Yes</v>
      </c>
    </row>
    <row r="107" spans="3:13" s="42" customFormat="1" hidden="1" x14ac:dyDescent="0.25">
      <c r="C107" s="286" t="s">
        <v>170</v>
      </c>
      <c r="D107" s="2357" t="e">
        <f>+'Qualitative Disclosures for AS'!#REF!</f>
        <v>#REF!</v>
      </c>
      <c r="E107" s="831">
        <f>+'Qualitative Disclosures for AS'!E580</f>
        <v>0</v>
      </c>
      <c r="F107" s="841"/>
      <c r="G107" s="841"/>
      <c r="H107" s="841"/>
      <c r="I107" s="487"/>
      <c r="J107" s="41"/>
      <c r="L107" s="3"/>
      <c r="M107" s="1756" t="e">
        <f>+IF('Balance Sheet'!$I$51="No","No",IF(AND(E107=0,D107=0),"No","Yes"))</f>
        <v>#REF!</v>
      </c>
    </row>
    <row r="108" spans="3:13" s="42" customFormat="1" hidden="1" x14ac:dyDescent="0.25">
      <c r="C108" s="141" t="s">
        <v>391</v>
      </c>
      <c r="D108" s="1643">
        <f>+'Qualitative Disclosures for AS'!D581</f>
        <v>1611.8391380520002</v>
      </c>
      <c r="E108" s="1199">
        <f>+'Qualitative Disclosures for AS'!E581</f>
        <v>359.41</v>
      </c>
      <c r="F108" s="841"/>
      <c r="G108" s="841"/>
      <c r="H108" s="841"/>
      <c r="I108" s="487"/>
      <c r="J108" s="41"/>
      <c r="L108" s="3"/>
      <c r="M108" s="1756" t="str">
        <f>+IF('Balance Sheet'!$I$51="No","No",IF(AND(E108=0,D108=0),"No","Yes"))</f>
        <v>Yes</v>
      </c>
    </row>
    <row r="109" spans="3:13" s="42" customFormat="1" hidden="1" x14ac:dyDescent="0.25">
      <c r="C109" s="141"/>
      <c r="D109" s="1644">
        <f>+'Qualitative Disclosures for AS'!D582</f>
        <v>0</v>
      </c>
      <c r="E109" s="831">
        <f>+'Qualitative Disclosures for AS'!E582</f>
        <v>0</v>
      </c>
      <c r="F109" s="841"/>
      <c r="G109" s="841"/>
      <c r="H109" s="841"/>
      <c r="I109" s="487"/>
      <c r="J109" s="41"/>
      <c r="L109" s="3"/>
      <c r="M109" s="1756" t="str">
        <f>+IF('Balance Sheet'!$I$51="No","No",IF(AND(E109=0,D109=0),"No","Yes"))</f>
        <v>No</v>
      </c>
    </row>
    <row r="110" spans="3:13" s="42" customFormat="1" hidden="1" x14ac:dyDescent="0.25">
      <c r="C110" s="2481" t="s">
        <v>614</v>
      </c>
      <c r="D110" s="2482">
        <f>+'Qualitative Disclosures for AS'!D583</f>
        <v>0</v>
      </c>
      <c r="E110" s="2482">
        <f>+'Qualitative Disclosures for AS'!E583</f>
        <v>0</v>
      </c>
      <c r="F110" s="841"/>
      <c r="G110" s="841"/>
      <c r="H110" s="841"/>
      <c r="I110" s="487"/>
      <c r="J110" s="41"/>
      <c r="L110" s="3"/>
      <c r="M110" s="1756" t="str">
        <f>+IF('Balance Sheet'!$I$51="No","No",IF(AND(E110=0,D110=0),"No","Yes"))</f>
        <v>No</v>
      </c>
    </row>
    <row r="111" spans="3:13" s="42" customFormat="1" hidden="1" x14ac:dyDescent="0.25">
      <c r="C111" s="81"/>
      <c r="D111" s="1209"/>
      <c r="E111" s="1209"/>
      <c r="F111" s="1209"/>
      <c r="G111" s="841"/>
      <c r="H111" s="841"/>
      <c r="I111" s="841"/>
      <c r="J111" s="487"/>
      <c r="K111" s="41"/>
      <c r="M111" s="1756" t="str">
        <f>+M112</f>
        <v>No</v>
      </c>
    </row>
    <row r="112" spans="3:13" s="42" customFormat="1" hidden="1" x14ac:dyDescent="0.25">
      <c r="C112" s="1493" t="str">
        <f>+IF(Footnotes!C81="","",Footnotes!C81)</f>
        <v/>
      </c>
      <c r="D112" s="1493" t="str">
        <f>+IF(Footnotes!D81="","",Footnotes!D81)</f>
        <v/>
      </c>
      <c r="E112" s="1589" t="str">
        <f>+IF(Footnotes!E81="","",Footnotes!E81)</f>
        <v/>
      </c>
      <c r="F112" s="1589" t="str">
        <f>+IF(Footnotes!F81="","",Footnotes!F81)</f>
        <v/>
      </c>
      <c r="G112" s="1589" t="str">
        <f>+IF(Footnotes!G81="","",Footnotes!G81)</f>
        <v/>
      </c>
      <c r="H112" s="1589" t="str">
        <f>+IF(Footnotes!H81="","",Footnotes!H81)</f>
        <v/>
      </c>
      <c r="I112" s="1493" t="str">
        <f>+IF(Footnotes!I81="","",Footnotes!I81)</f>
        <v/>
      </c>
      <c r="J112" s="487"/>
      <c r="K112" s="41"/>
      <c r="M112" s="1756" t="str">
        <f t="shared" ref="M112:M117" si="7">+IF(AND(C112="",D112="",E112="",F112="",G112="",H112="",I112=""),"No","Yes")</f>
        <v>No</v>
      </c>
    </row>
    <row r="113" spans="3:16" s="42" customFormat="1" hidden="1" x14ac:dyDescent="0.25">
      <c r="C113" s="1493" t="str">
        <f>+IF(Footnotes!C82="","",Footnotes!C82)</f>
        <v/>
      </c>
      <c r="D113" s="1493" t="str">
        <f>+IF(Footnotes!D82="","",Footnotes!D82)</f>
        <v/>
      </c>
      <c r="E113" s="1589" t="str">
        <f>+IF(Footnotes!E82="","",Footnotes!E82)</f>
        <v/>
      </c>
      <c r="F113" s="1589" t="str">
        <f>+IF(Footnotes!F82="","",Footnotes!F82)</f>
        <v/>
      </c>
      <c r="G113" s="1589" t="str">
        <f>+IF(Footnotes!G82="","",Footnotes!G82)</f>
        <v/>
      </c>
      <c r="H113" s="1589" t="str">
        <f>+IF(Footnotes!H82="","",Footnotes!H82)</f>
        <v/>
      </c>
      <c r="I113" s="1493" t="str">
        <f>+IF(Footnotes!I82="","",Footnotes!I82)</f>
        <v/>
      </c>
      <c r="J113" s="487"/>
      <c r="K113" s="41"/>
      <c r="M113" s="1756" t="str">
        <f t="shared" si="7"/>
        <v>No</v>
      </c>
    </row>
    <row r="114" spans="3:16" s="42" customFormat="1" hidden="1" x14ac:dyDescent="0.25">
      <c r="C114" s="1493" t="str">
        <f>+IF(Footnotes!C83="","",Footnotes!C83)</f>
        <v/>
      </c>
      <c r="D114" s="1493" t="str">
        <f>+IF(Footnotes!D83="","",Footnotes!D83)</f>
        <v/>
      </c>
      <c r="E114" s="1589" t="str">
        <f>+IF(Footnotes!E83="","",Footnotes!E83)</f>
        <v/>
      </c>
      <c r="F114" s="1589" t="str">
        <f>+IF(Footnotes!F83="","",Footnotes!F83)</f>
        <v/>
      </c>
      <c r="G114" s="1589" t="str">
        <f>+IF(Footnotes!G83="","",Footnotes!G83)</f>
        <v/>
      </c>
      <c r="H114" s="1589" t="str">
        <f>+IF(Footnotes!H83="","",Footnotes!H83)</f>
        <v/>
      </c>
      <c r="I114" s="1493" t="str">
        <f>+IF(Footnotes!I83="","",Footnotes!I83)</f>
        <v/>
      </c>
      <c r="J114" s="487"/>
      <c r="K114" s="41"/>
      <c r="M114" s="1756" t="str">
        <f t="shared" si="7"/>
        <v>No</v>
      </c>
    </row>
    <row r="115" spans="3:16" s="42" customFormat="1" hidden="1" x14ac:dyDescent="0.25">
      <c r="C115" s="1493" t="str">
        <f>+IF(Footnotes!C84="","",Footnotes!C84)</f>
        <v/>
      </c>
      <c r="D115" s="1493" t="str">
        <f>+IF(Footnotes!D84="","",Footnotes!D84)</f>
        <v/>
      </c>
      <c r="E115" s="1589" t="str">
        <f>+IF(Footnotes!E84="","",Footnotes!E84)</f>
        <v/>
      </c>
      <c r="F115" s="1589" t="str">
        <f>+IF(Footnotes!F84="","",Footnotes!F84)</f>
        <v/>
      </c>
      <c r="G115" s="1589" t="str">
        <f>+IF(Footnotes!G84="","",Footnotes!G84)</f>
        <v/>
      </c>
      <c r="H115" s="1589" t="str">
        <f>+IF(Footnotes!H84="","",Footnotes!H84)</f>
        <v/>
      </c>
      <c r="I115" s="1493" t="str">
        <f>+IF(Footnotes!I84="","",Footnotes!I84)</f>
        <v/>
      </c>
      <c r="J115" s="487"/>
      <c r="K115" s="41"/>
      <c r="M115" s="1756" t="str">
        <f t="shared" si="7"/>
        <v>No</v>
      </c>
    </row>
    <row r="116" spans="3:16" s="42" customFormat="1" hidden="1" x14ac:dyDescent="0.25">
      <c r="C116" s="1493" t="str">
        <f>+IF(Footnotes!C85="","",Footnotes!C85)</f>
        <v/>
      </c>
      <c r="D116" s="1493" t="str">
        <f>+IF(Footnotes!D85="","",Footnotes!D85)</f>
        <v/>
      </c>
      <c r="E116" s="1589" t="str">
        <f>+IF(Footnotes!E85="","",Footnotes!E85)</f>
        <v/>
      </c>
      <c r="F116" s="1589" t="str">
        <f>+IF(Footnotes!F85="","",Footnotes!F85)</f>
        <v/>
      </c>
      <c r="G116" s="1589" t="str">
        <f>+IF(Footnotes!G85="","",Footnotes!G85)</f>
        <v/>
      </c>
      <c r="H116" s="1589" t="str">
        <f>+IF(Footnotes!H85="","",Footnotes!H85)</f>
        <v/>
      </c>
      <c r="I116" s="1493" t="str">
        <f>+IF(Footnotes!I85="","",Footnotes!I85)</f>
        <v/>
      </c>
      <c r="J116" s="487"/>
      <c r="K116" s="41"/>
      <c r="M116" s="1756" t="str">
        <f t="shared" si="7"/>
        <v>No</v>
      </c>
    </row>
    <row r="117" spans="3:16" s="42" customFormat="1" hidden="1" x14ac:dyDescent="0.25">
      <c r="C117" s="1493" t="str">
        <f>+IF(Footnotes!C86="","",Footnotes!C86)</f>
        <v/>
      </c>
      <c r="D117" s="1493" t="str">
        <f>+IF(Footnotes!D86="","",Footnotes!D86)</f>
        <v/>
      </c>
      <c r="E117" s="1589" t="str">
        <f>+IF(Footnotes!E86="","",Footnotes!E86)</f>
        <v/>
      </c>
      <c r="F117" s="1589" t="str">
        <f>+IF(Footnotes!F86="","",Footnotes!F86)</f>
        <v/>
      </c>
      <c r="G117" s="1589" t="str">
        <f>+IF(Footnotes!G86="","",Footnotes!G86)</f>
        <v/>
      </c>
      <c r="H117" s="1589" t="str">
        <f>+IF(Footnotes!H86="","",Footnotes!H86)</f>
        <v/>
      </c>
      <c r="I117" s="1493" t="str">
        <f>+IF(Footnotes!I86="","",Footnotes!I86)</f>
        <v/>
      </c>
      <c r="J117" s="487"/>
      <c r="K117" s="41"/>
      <c r="M117" s="1756" t="str">
        <f t="shared" si="7"/>
        <v>No</v>
      </c>
    </row>
    <row r="118" spans="3:16" s="42" customFormat="1" hidden="1" x14ac:dyDescent="0.25">
      <c r="C118" s="81"/>
      <c r="D118" s="1209"/>
      <c r="E118" s="1209"/>
      <c r="F118" s="1209"/>
      <c r="G118" s="841"/>
      <c r="H118" s="841"/>
      <c r="I118" s="841"/>
      <c r="J118" s="487"/>
      <c r="K118" s="41"/>
      <c r="M118" s="1754" t="str">
        <f ca="1">+M119</f>
        <v>Yes</v>
      </c>
    </row>
    <row r="119" spans="3:16" s="42" customFormat="1" x14ac:dyDescent="0.25">
      <c r="C119" s="2745" t="str">
        <f>+"Note "&amp;'Balance Sheet'!E52&amp;": Loans and advances"</f>
        <v>Note 9: Loans and advances</v>
      </c>
      <c r="D119" s="2745"/>
      <c r="E119" s="1394"/>
      <c r="F119" s="2863" t="s">
        <v>847</v>
      </c>
      <c r="G119" s="2863"/>
      <c r="H119" s="841"/>
      <c r="I119" s="841"/>
      <c r="J119" s="487"/>
      <c r="K119" s="41"/>
      <c r="M119" s="1756" t="str">
        <f ca="1">+M169</f>
        <v>Yes</v>
      </c>
    </row>
    <row r="120" spans="3:16" s="42" customFormat="1" x14ac:dyDescent="0.25">
      <c r="C120" s="2854" t="s">
        <v>20</v>
      </c>
      <c r="D120" s="2765" t="str">
        <f>+BSCY</f>
        <v>As At 31st March 2025</v>
      </c>
      <c r="E120" s="2766"/>
      <c r="F120" s="2765" t="str">
        <f>+BSPY</f>
        <v>As At 31st March 2024</v>
      </c>
      <c r="G120" s="2766"/>
      <c r="H120" s="841"/>
      <c r="I120" s="841"/>
      <c r="J120" s="487"/>
      <c r="K120" s="41"/>
      <c r="M120" s="1756" t="str">
        <f ca="1">+M119</f>
        <v>Yes</v>
      </c>
    </row>
    <row r="121" spans="3:16" s="42" customFormat="1" x14ac:dyDescent="0.25">
      <c r="C121" s="2855"/>
      <c r="D121" s="1948" t="s">
        <v>825</v>
      </c>
      <c r="E121" s="1949" t="s">
        <v>826</v>
      </c>
      <c r="F121" s="1948" t="s">
        <v>825</v>
      </c>
      <c r="G121" s="1950" t="s">
        <v>826</v>
      </c>
      <c r="H121" s="841"/>
      <c r="I121" s="841"/>
      <c r="J121" s="487"/>
      <c r="K121" s="41"/>
      <c r="M121" s="1756" t="str">
        <f ca="1">+M120</f>
        <v>Yes</v>
      </c>
    </row>
    <row r="122" spans="3:16" s="42" customFormat="1" hidden="1" x14ac:dyDescent="0.25">
      <c r="C122" s="681" t="str">
        <f>+"("&amp;O122&amp;")"&amp;P122</f>
        <v>(a) Capital advances</v>
      </c>
      <c r="D122" s="1632"/>
      <c r="E122" s="1181"/>
      <c r="F122" s="1205"/>
      <c r="G122" s="1389"/>
      <c r="H122" s="841"/>
      <c r="I122" s="841"/>
      <c r="J122" s="487"/>
      <c r="K122" s="41"/>
      <c r="M122" s="1756" t="str">
        <f>+M128</f>
        <v>No</v>
      </c>
      <c r="O122" s="42" t="s">
        <v>1562</v>
      </c>
      <c r="P122" s="42" t="s">
        <v>1649</v>
      </c>
    </row>
    <row r="123" spans="3:16" s="42" customFormat="1" hidden="1" x14ac:dyDescent="0.25">
      <c r="C123" s="600" t="s">
        <v>187</v>
      </c>
      <c r="D123" s="1184">
        <f>+SUMIF('Master TB'!E:E,Assets!K123,'Master TB'!J:J)</f>
        <v>0</v>
      </c>
      <c r="E123" s="1182">
        <v>0</v>
      </c>
      <c r="F123" s="1205">
        <f>+SUMIF('Master TB'!$E:$E,Assets!K123,'Master TB'!$V:$V)</f>
        <v>0</v>
      </c>
      <c r="G123" s="1389">
        <v>0</v>
      </c>
      <c r="H123" s="841"/>
      <c r="I123" s="841"/>
      <c r="J123" s="487"/>
      <c r="K123" s="41" t="s">
        <v>1421</v>
      </c>
      <c r="M123" s="1754" t="str">
        <f>IF(SUM(D123:G123)=0,"No","Yes")</f>
        <v>No</v>
      </c>
    </row>
    <row r="124" spans="3:16" s="42" customFormat="1" hidden="1" x14ac:dyDescent="0.25">
      <c r="C124" s="600" t="s">
        <v>188</v>
      </c>
      <c r="D124" s="1633">
        <f>+SUMIF('Master TB'!E:E,Assets!K124,'Master TB'!J:J)</f>
        <v>0</v>
      </c>
      <c r="E124" s="1182">
        <v>0</v>
      </c>
      <c r="F124" s="1205">
        <f>+SUMIF('Master TB'!$E:$E,Assets!K124,'Master TB'!$V:$V)</f>
        <v>0</v>
      </c>
      <c r="G124" s="1389">
        <v>0</v>
      </c>
      <c r="H124" s="841"/>
      <c r="I124" s="841"/>
      <c r="J124" s="487"/>
      <c r="K124" s="41" t="s">
        <v>1423</v>
      </c>
      <c r="M124" s="1754" t="str">
        <f>IF(SUM(D124:G124)=0,"No","Yes")</f>
        <v>No</v>
      </c>
    </row>
    <row r="125" spans="3:16" s="42" customFormat="1" hidden="1" x14ac:dyDescent="0.25">
      <c r="C125" s="600" t="s">
        <v>189</v>
      </c>
      <c r="D125" s="1634">
        <f>+SUMIF('Master TB'!E:E,Assets!K125,'Master TB'!J:J)</f>
        <v>0</v>
      </c>
      <c r="E125" s="1183">
        <v>0</v>
      </c>
      <c r="F125" s="1665">
        <f>+SUMIF('Master TB'!$E:$E,Assets!K125,'Master TB'!$V:$V)</f>
        <v>0</v>
      </c>
      <c r="G125" s="1665">
        <v>0</v>
      </c>
      <c r="H125" s="841"/>
      <c r="I125" s="841"/>
      <c r="J125" s="487"/>
      <c r="K125" s="41" t="s">
        <v>1425</v>
      </c>
      <c r="M125" s="1754" t="str">
        <f>IF(SUM(D125:G125)=0,"No","Yes")</f>
        <v>No</v>
      </c>
    </row>
    <row r="126" spans="3:16" s="42" customFormat="1" hidden="1" x14ac:dyDescent="0.25">
      <c r="C126" s="600"/>
      <c r="D126" s="1184">
        <f>SUM(D123:D125)</f>
        <v>0</v>
      </c>
      <c r="E126" s="1184">
        <f>SUM(E123:E125)</f>
        <v>0</v>
      </c>
      <c r="F126" s="1184">
        <f>SUM(F123:F125)</f>
        <v>0</v>
      </c>
      <c r="G126" s="1184">
        <f>SUM(G123:G125)</f>
        <v>0</v>
      </c>
      <c r="H126" s="841"/>
      <c r="I126" s="841"/>
      <c r="J126" s="487"/>
      <c r="K126" s="41"/>
      <c r="M126" s="1754" t="str">
        <f>+M127</f>
        <v>No</v>
      </c>
    </row>
    <row r="127" spans="3:16" s="42" customFormat="1" hidden="1" x14ac:dyDescent="0.25">
      <c r="C127" s="600" t="s">
        <v>190</v>
      </c>
      <c r="D127" s="1635">
        <f>+SUMIF('Master TB'!E:E,Assets!K127,'Master TB'!J:J)</f>
        <v>0</v>
      </c>
      <c r="E127" s="829">
        <v>0</v>
      </c>
      <c r="F127" s="1665">
        <f>+SUMIF('Master TB'!$E:$E,Assets!K127,'Master TB'!$V:$V)</f>
        <v>0</v>
      </c>
      <c r="G127" s="1577">
        <v>0</v>
      </c>
      <c r="H127" s="841"/>
      <c r="I127" s="841"/>
      <c r="J127" s="487"/>
      <c r="K127" s="41" t="s">
        <v>1427</v>
      </c>
      <c r="M127" s="1754" t="str">
        <f>IF(SUM(D127:G127)=0,"No","Yes")</f>
        <v>No</v>
      </c>
    </row>
    <row r="128" spans="3:16" s="42" customFormat="1" hidden="1" x14ac:dyDescent="0.25">
      <c r="C128" s="72"/>
      <c r="D128" s="1185">
        <f>+D126-D127</f>
        <v>0</v>
      </c>
      <c r="E128" s="1185">
        <f>+E126-E127</f>
        <v>0</v>
      </c>
      <c r="F128" s="1185">
        <f>+F126-F127</f>
        <v>0</v>
      </c>
      <c r="G128" s="1185">
        <f>+G126-G127</f>
        <v>0</v>
      </c>
      <c r="H128" s="841"/>
      <c r="I128" s="841"/>
      <c r="J128" s="487"/>
      <c r="K128" s="41"/>
      <c r="M128" s="1754" t="str">
        <f>IF(SUM(D128:G128)=0,"No","Yes")</f>
        <v>No</v>
      </c>
    </row>
    <row r="129" spans="3:16" s="42" customFormat="1" hidden="1" x14ac:dyDescent="0.25">
      <c r="C129" s="656" t="str">
        <f>+"("&amp;O129&amp;")"&amp;P129</f>
        <v xml:space="preserve">(a) Loans and advances to related parties </v>
      </c>
      <c r="D129" s="1636"/>
      <c r="E129" s="1181"/>
      <c r="F129" s="1205"/>
      <c r="G129" s="1389"/>
      <c r="H129" s="841"/>
      <c r="I129" s="841"/>
      <c r="J129" s="487"/>
      <c r="K129" s="41"/>
      <c r="M129" s="1754" t="str">
        <f>+M135</f>
        <v>No</v>
      </c>
      <c r="O129" s="42" t="str">
        <f>+IF(M122="yes",CHAR(CODE(O122)+1),O122)</f>
        <v>a</v>
      </c>
      <c r="P129" s="42" t="s">
        <v>1627</v>
      </c>
    </row>
    <row r="130" spans="3:16" s="42" customFormat="1" hidden="1" x14ac:dyDescent="0.25">
      <c r="C130" s="600" t="s">
        <v>187</v>
      </c>
      <c r="D130" s="1636">
        <f>+SUMIF('Master TB'!E:E,Assets!K130,'Master TB'!J:J)</f>
        <v>0</v>
      </c>
      <c r="E130" s="1181">
        <f>+SUMIF('Master TB'!E:E,Assets!L130,'Master TB'!J:J)</f>
        <v>0</v>
      </c>
      <c r="F130" s="1205">
        <f>+SUMIF('Master TB'!$E:$E,Assets!K130,'Master TB'!$V:$V)</f>
        <v>0</v>
      </c>
      <c r="G130" s="1389">
        <f>+SUMIF('Master TB'!$E:$E,Assets!L130,'Master TB'!$V:$V)</f>
        <v>0</v>
      </c>
      <c r="H130" s="841"/>
      <c r="I130" s="841"/>
      <c r="J130" s="487"/>
      <c r="K130" s="41" t="s">
        <v>1429</v>
      </c>
      <c r="L130" s="325" t="s">
        <v>1658</v>
      </c>
      <c r="M130" s="1754" t="str">
        <f>IF(SUM(D130:G130)=0,"No","Yes")</f>
        <v>No</v>
      </c>
    </row>
    <row r="131" spans="3:16" s="42" customFormat="1" hidden="1" x14ac:dyDescent="0.25">
      <c r="C131" s="600" t="s">
        <v>188</v>
      </c>
      <c r="D131" s="1633">
        <f>+SUMIF('Master TB'!E:E,Assets!K131,'Master TB'!J:J)</f>
        <v>0</v>
      </c>
      <c r="E131" s="1186">
        <f>+SUMIF('Master TB'!E:E,Assets!L131,'Master TB'!J:J)</f>
        <v>0</v>
      </c>
      <c r="F131" s="1205">
        <f>+SUMIF('Master TB'!$E:$E,Assets!K131,'Master TB'!$V:$V)</f>
        <v>0</v>
      </c>
      <c r="G131" s="1389">
        <f>+SUMIF('Master TB'!$E:$E,Assets!L131,'Master TB'!$V:$V)</f>
        <v>0</v>
      </c>
      <c r="H131" s="841"/>
      <c r="I131" s="841"/>
      <c r="J131" s="487"/>
      <c r="K131" s="41" t="s">
        <v>1431</v>
      </c>
      <c r="L131" s="325" t="s">
        <v>1659</v>
      </c>
      <c r="M131" s="1754" t="str">
        <f>IF(SUM(D131:G131)=0,"No","Yes")</f>
        <v>No</v>
      </c>
    </row>
    <row r="132" spans="3:16" s="42" customFormat="1" hidden="1" x14ac:dyDescent="0.25">
      <c r="C132" s="600" t="s">
        <v>189</v>
      </c>
      <c r="D132" s="1637">
        <f>+SUMIF('Master TB'!E:E,Assets!K132,'Master TB'!J:J)</f>
        <v>0</v>
      </c>
      <c r="E132" s="1187">
        <f>+SUMIF('Master TB'!E:E,Assets!L132,'Master TB'!J:J)</f>
        <v>0</v>
      </c>
      <c r="F132" s="1206">
        <f>+SUMIF('Master TB'!$E:$E,Assets!K132,'Master TB'!$V:$V)</f>
        <v>0</v>
      </c>
      <c r="G132" s="1665">
        <f>+SUMIF('Master TB'!$E:$E,Assets!L132,'Master TB'!$V:$V)</f>
        <v>0</v>
      </c>
      <c r="H132" s="841"/>
      <c r="I132" s="841"/>
      <c r="J132" s="487"/>
      <c r="K132" s="41" t="s">
        <v>1433</v>
      </c>
      <c r="L132" s="325" t="s">
        <v>1660</v>
      </c>
      <c r="M132" s="1754" t="str">
        <f>IF(SUM(D132:G132)=0,"No","Yes")</f>
        <v>No</v>
      </c>
    </row>
    <row r="133" spans="3:16" s="42" customFormat="1" hidden="1" x14ac:dyDescent="0.25">
      <c r="C133" s="600"/>
      <c r="D133" s="1184">
        <f>SUM(D130:D132)</f>
        <v>0</v>
      </c>
      <c r="E133" s="1184">
        <f>SUM(E130:E132)</f>
        <v>0</v>
      </c>
      <c r="F133" s="1184">
        <f>SUM(F130:F132)</f>
        <v>0</v>
      </c>
      <c r="G133" s="1184">
        <f>SUM(G130:G132)</f>
        <v>0</v>
      </c>
      <c r="H133" s="841"/>
      <c r="I133" s="841"/>
      <c r="J133" s="487"/>
      <c r="K133" s="41"/>
      <c r="M133" s="1754" t="str">
        <f>+M134</f>
        <v>No</v>
      </c>
    </row>
    <row r="134" spans="3:16" s="42" customFormat="1" hidden="1" x14ac:dyDescent="0.3">
      <c r="C134" s="682" t="s">
        <v>191</v>
      </c>
      <c r="D134" s="1635">
        <f>+SUMIF('Master TB'!E:E,Assets!K134,'Master TB'!J:J)</f>
        <v>0</v>
      </c>
      <c r="E134" s="1187">
        <f>+SUMIF('Master TB'!E:E,Assets!L134,'Master TB'!J:J)</f>
        <v>0</v>
      </c>
      <c r="F134" s="1606">
        <f>+SUMIF('Master TB'!$E:$E,Assets!K134,'Master TB'!$V:$V)</f>
        <v>0</v>
      </c>
      <c r="G134" s="1577">
        <f>+SUMIF('Master TB'!$E:$E,Assets!L134,'Master TB'!$V:$V)</f>
        <v>0</v>
      </c>
      <c r="H134" s="841"/>
      <c r="I134" s="841"/>
      <c r="J134" s="487"/>
      <c r="K134" s="41" t="s">
        <v>1434</v>
      </c>
      <c r="L134" s="325" t="s">
        <v>1661</v>
      </c>
      <c r="M134" s="1754" t="str">
        <f>IF(SUM(D134:G134)=0,"No","Yes")</f>
        <v>No</v>
      </c>
    </row>
    <row r="135" spans="3:16" s="42" customFormat="1" hidden="1" x14ac:dyDescent="0.25">
      <c r="C135" s="72"/>
      <c r="D135" s="1185">
        <f>+D133-D134</f>
        <v>0</v>
      </c>
      <c r="E135" s="1185">
        <f>+E133-E134</f>
        <v>0</v>
      </c>
      <c r="F135" s="1185">
        <f>+F133-F134</f>
        <v>0</v>
      </c>
      <c r="G135" s="1185">
        <f>+G133-G134</f>
        <v>0</v>
      </c>
      <c r="H135" s="841"/>
      <c r="I135" s="841"/>
      <c r="J135" s="487"/>
      <c r="K135" s="41"/>
      <c r="M135" s="1754" t="str">
        <f>IF(SUM(D135:G135)=0,"No","Yes")</f>
        <v>No</v>
      </c>
    </row>
    <row r="136" spans="3:16" s="42" customFormat="1" hidden="1" x14ac:dyDescent="0.25">
      <c r="C136" s="681" t="str">
        <f>+"("&amp;O136&amp;")"&amp;P136</f>
        <v xml:space="preserve">(a) Loans and advances to employees </v>
      </c>
      <c r="D136" s="1636"/>
      <c r="E136" s="1181"/>
      <c r="F136" s="1205"/>
      <c r="G136" s="1389"/>
      <c r="H136" s="841"/>
      <c r="I136" s="841"/>
      <c r="J136" s="487"/>
      <c r="K136" s="41"/>
      <c r="M136" s="1754" t="str">
        <f>+M142</f>
        <v>No</v>
      </c>
      <c r="O136" s="42" t="str">
        <f>+IF(M129="yes",CHAR(CODE(O129)+1),O129)</f>
        <v>a</v>
      </c>
      <c r="P136" s="42" t="s">
        <v>1581</v>
      </c>
    </row>
    <row r="137" spans="3:16" s="42" customFormat="1" hidden="1" x14ac:dyDescent="0.25">
      <c r="C137" s="600" t="s">
        <v>187</v>
      </c>
      <c r="D137" s="1636">
        <f>+SUMIF('Master TB'!E:E,Assets!K137,'Master TB'!J:J)</f>
        <v>0</v>
      </c>
      <c r="E137" s="1181">
        <f>+SUMIF('Master TB'!E:E,Assets!L137,'Master TB'!J:J)</f>
        <v>0</v>
      </c>
      <c r="F137" s="1205">
        <f>+SUMIF('Master TB'!$E:$E,Assets!K137,'Master TB'!$V:$V)</f>
        <v>0</v>
      </c>
      <c r="G137" s="1389">
        <f>+SUMIF('Master TB'!$E:$E,Assets!L137,'Master TB'!$V:$V)</f>
        <v>0</v>
      </c>
      <c r="H137" s="841"/>
      <c r="I137" s="841"/>
      <c r="J137" s="487"/>
      <c r="K137" s="41" t="s">
        <v>1436</v>
      </c>
      <c r="L137" s="42" t="s">
        <v>2027</v>
      </c>
      <c r="M137" s="1754" t="str">
        <f>IF(SUM(D137:G137)=0,"No","Yes")</f>
        <v>No</v>
      </c>
    </row>
    <row r="138" spans="3:16" s="42" customFormat="1" hidden="1" x14ac:dyDescent="0.25">
      <c r="C138" s="600" t="s">
        <v>188</v>
      </c>
      <c r="D138" s="1633">
        <f>+SUMIF('Master TB'!E:E,Assets!K138,'Master TB'!J:J)</f>
        <v>0</v>
      </c>
      <c r="E138" s="1186">
        <f>+SUMIF('Master TB'!E:E,Assets!L138,'Master TB'!J:J)</f>
        <v>0</v>
      </c>
      <c r="F138" s="1205">
        <f>+SUMIF('Master TB'!$E:$E,Assets!K138,'Master TB'!$V:$V)</f>
        <v>0</v>
      </c>
      <c r="G138" s="1389">
        <f>+SUMIF('Master TB'!$E:$E,Assets!L138,'Master TB'!$V:$V)</f>
        <v>0</v>
      </c>
      <c r="H138" s="841"/>
      <c r="I138" s="841"/>
      <c r="J138" s="487"/>
      <c r="K138" s="41" t="s">
        <v>1438</v>
      </c>
      <c r="L138" s="42" t="s">
        <v>2028</v>
      </c>
      <c r="M138" s="1754" t="str">
        <f>IF(SUM(D138:G138)=0,"No","Yes")</f>
        <v>No</v>
      </c>
    </row>
    <row r="139" spans="3:16" s="42" customFormat="1" hidden="1" x14ac:dyDescent="0.25">
      <c r="C139" s="600" t="s">
        <v>189</v>
      </c>
      <c r="D139" s="1637">
        <f>+SUMIF('Master TB'!E:E,Assets!K139,'Master TB'!J:J)</f>
        <v>0</v>
      </c>
      <c r="E139" s="1187">
        <f>+SUMIF('Master TB'!E:E,Assets!L139,'Master TB'!J:J)</f>
        <v>0</v>
      </c>
      <c r="F139" s="1206">
        <f>+SUMIF('Master TB'!$E:$E,Assets!K139,'Master TB'!$V:$V)</f>
        <v>0</v>
      </c>
      <c r="G139" s="1665">
        <f>+SUMIF('Master TB'!$E:$E,Assets!L139,'Master TB'!$V:$V)</f>
        <v>0</v>
      </c>
      <c r="H139" s="841"/>
      <c r="I139" s="841"/>
      <c r="J139" s="487"/>
      <c r="K139" s="41" t="s">
        <v>1440</v>
      </c>
      <c r="L139" s="42" t="s">
        <v>2029</v>
      </c>
      <c r="M139" s="1754" t="str">
        <f>IF(SUM(D139:G139)=0,"No","Yes")</f>
        <v>No</v>
      </c>
    </row>
    <row r="140" spans="3:16" s="42" customFormat="1" hidden="1" x14ac:dyDescent="0.25">
      <c r="C140" s="600"/>
      <c r="D140" s="1184">
        <f>SUM(D137:D139)</f>
        <v>0</v>
      </c>
      <c r="E140" s="1184">
        <f>SUM(E137:E139)</f>
        <v>0</v>
      </c>
      <c r="F140" s="1184">
        <f>SUM(F137:F139)</f>
        <v>0</v>
      </c>
      <c r="G140" s="1184">
        <f>SUM(G137:G139)</f>
        <v>0</v>
      </c>
      <c r="H140" s="841"/>
      <c r="I140" s="841"/>
      <c r="J140" s="487"/>
      <c r="K140" s="41"/>
      <c r="M140" s="1754" t="str">
        <f>+M141</f>
        <v>No</v>
      </c>
    </row>
    <row r="141" spans="3:16" s="42" customFormat="1" hidden="1" x14ac:dyDescent="0.25">
      <c r="C141" s="600" t="s">
        <v>191</v>
      </c>
      <c r="D141" s="1638">
        <f>+SUMIF('Master TB'!E:E,Assets!K141,'Master TB'!J:J)</f>
        <v>0</v>
      </c>
      <c r="E141" s="1188">
        <f>+SUMIF('Master TB'!E:E,Assets!L141,'Master TB'!J:J)</f>
        <v>0</v>
      </c>
      <c r="F141" s="1207">
        <f>+SUMIF('Master TB'!$E:$E,Assets!K141,'Master TB'!$V:$V)</f>
        <v>0</v>
      </c>
      <c r="G141" s="1612">
        <f>+SUMIF('Master TB'!$E:$E,Assets!L141,'Master TB'!$V:$V)</f>
        <v>0</v>
      </c>
      <c r="H141" s="841"/>
      <c r="I141" s="841"/>
      <c r="J141" s="487"/>
      <c r="K141" s="41" t="s">
        <v>1441</v>
      </c>
      <c r="L141" s="42" t="s">
        <v>2030</v>
      </c>
      <c r="M141" s="1754" t="str">
        <f>IF(SUM(D141:G141)=0,"No","Yes")</f>
        <v>No</v>
      </c>
    </row>
    <row r="142" spans="3:16" s="42" customFormat="1" hidden="1" x14ac:dyDescent="0.25">
      <c r="C142" s="72"/>
      <c r="D142" s="1185">
        <f>+D140-D141</f>
        <v>0</v>
      </c>
      <c r="E142" s="1185">
        <f>+E140-E141</f>
        <v>0</v>
      </c>
      <c r="F142" s="1185">
        <f>+F140-F141</f>
        <v>0</v>
      </c>
      <c r="G142" s="1185">
        <f>+G140-G141</f>
        <v>0</v>
      </c>
      <c r="H142" s="841"/>
      <c r="I142" s="841"/>
      <c r="J142" s="487"/>
      <c r="K142" s="41"/>
      <c r="M142" s="1754" t="str">
        <f>IF(SUM(D142:G142)=0,"No","Yes")</f>
        <v>No</v>
      </c>
    </row>
    <row r="143" spans="3:16" s="42" customFormat="1" x14ac:dyDescent="0.25">
      <c r="C143" s="72"/>
      <c r="D143" s="1191"/>
      <c r="E143" s="1189"/>
      <c r="F143" s="1208"/>
      <c r="G143" s="1195"/>
      <c r="H143" s="841"/>
      <c r="I143" s="841"/>
      <c r="J143" s="487"/>
      <c r="K143" s="41"/>
      <c r="M143" s="1754" t="str">
        <f>+M144</f>
        <v>Yes</v>
      </c>
    </row>
    <row r="144" spans="3:16" s="42" customFormat="1" x14ac:dyDescent="0.25">
      <c r="C144" s="656" t="str">
        <f>+"("&amp;O144&amp;")"&amp;P144</f>
        <v>(a) Prepaid expenses</v>
      </c>
      <c r="D144" s="1633">
        <f>+SUMIF('Master TB'!E:E,Assets!K144,'Master TB'!J:J)</f>
        <v>0</v>
      </c>
      <c r="E144" s="1186">
        <f>+SUMIF('Master TB'!E:E,Assets!L144,'Master TB'!J:J)</f>
        <v>24788.784699999997</v>
      </c>
      <c r="F144" s="1205">
        <f>+SUMIF('Master TB'!$E:$E,Assets!K144,'Master TB'!$V:$V)</f>
        <v>0</v>
      </c>
      <c r="G144" s="831">
        <f>+SUMIF('Master TB'!$E:$E,Assets!L144,'Master TB'!$V:$V)</f>
        <v>5644.7608</v>
      </c>
      <c r="H144" s="841"/>
      <c r="I144" s="841"/>
      <c r="J144" s="487"/>
      <c r="K144" s="41" t="s">
        <v>1442</v>
      </c>
      <c r="L144" s="42" t="s">
        <v>2031</v>
      </c>
      <c r="M144" s="1754" t="str">
        <f>IF(SUM(D144:G144)=0,"No","Yes")</f>
        <v>Yes</v>
      </c>
      <c r="O144" s="42" t="str">
        <f>+IF(M136="yes",CHAR(CODE(O136)+1),O136)</f>
        <v>a</v>
      </c>
      <c r="P144" s="42" t="s">
        <v>1650</v>
      </c>
    </row>
    <row r="145" spans="3:16" s="42" customFormat="1" x14ac:dyDescent="0.25">
      <c r="C145" s="72"/>
      <c r="D145" s="1191"/>
      <c r="E145" s="1189"/>
      <c r="F145" s="1208"/>
      <c r="G145" s="1195"/>
      <c r="H145" s="841"/>
      <c r="I145" s="841"/>
      <c r="J145" s="487"/>
      <c r="K145" s="41"/>
      <c r="M145" s="1754" t="str">
        <f>+M146</f>
        <v>Yes</v>
      </c>
    </row>
    <row r="146" spans="3:16" s="42" customFormat="1" x14ac:dyDescent="0.25">
      <c r="C146" s="656" t="str">
        <f>+"("&amp;O146&amp;")"&amp;P146</f>
        <v>(b) Advance income tax</v>
      </c>
      <c r="D146" s="1633">
        <f>+SUMIF('Master TB'!E:E,Assets!K146,'Master TB'!J:J)</f>
        <v>0</v>
      </c>
      <c r="E146" s="1186">
        <f>+SUMIF('Master TB'!E:E,Assets!L146,'Master TB'!J:J)</f>
        <v>77000</v>
      </c>
      <c r="F146" s="1205">
        <f>+SUMIF('Master TB'!$E:$E,Assets!K146,'Master TB'!$V:$V)</f>
        <v>0</v>
      </c>
      <c r="G146" s="1195">
        <f>+SUMIF('Master TB'!$E:$E,Assets!L146,'Master TB'!$V:$V)</f>
        <v>0</v>
      </c>
      <c r="H146" s="841"/>
      <c r="I146" s="841"/>
      <c r="J146" s="487"/>
      <c r="K146" s="41" t="s">
        <v>1443</v>
      </c>
      <c r="L146" s="42" t="s">
        <v>2032</v>
      </c>
      <c r="M146" s="1754" t="str">
        <f>IF(SUM(D146:G146)=0,"No","Yes")</f>
        <v>Yes</v>
      </c>
      <c r="O146" s="42" t="str">
        <f>+IF(M144="yes",CHAR(CODE(O144)+1),O144)</f>
        <v>b</v>
      </c>
      <c r="P146" s="42" t="s">
        <v>1651</v>
      </c>
    </row>
    <row r="147" spans="3:16" s="42" customFormat="1" hidden="1" x14ac:dyDescent="0.25">
      <c r="C147" s="72"/>
      <c r="D147" s="1191"/>
      <c r="E147" s="1189"/>
      <c r="F147" s="1208"/>
      <c r="G147" s="1195"/>
      <c r="H147" s="841"/>
      <c r="I147" s="841"/>
      <c r="J147" s="487"/>
      <c r="K147" s="41"/>
      <c r="M147" s="1754" t="str">
        <f>+M148</f>
        <v>No</v>
      </c>
    </row>
    <row r="148" spans="3:16" s="42" customFormat="1" hidden="1" x14ac:dyDescent="0.25">
      <c r="C148" s="656" t="str">
        <f>+"("&amp;O148&amp;")"&amp;P148</f>
        <v>(c) MAT credit entitlement</v>
      </c>
      <c r="D148" s="1191">
        <f>+SUMIF('Master TB'!E:E,Assets!K148,'Master TB'!J:J)</f>
        <v>0</v>
      </c>
      <c r="E148" s="1189">
        <f>+SUMIF('Master TB'!E:E,Assets!L148,'Master TB'!J:J)</f>
        <v>0</v>
      </c>
      <c r="F148" s="1208">
        <f>+SUMIF('Master TB'!$E:$E,Assets!K148,'Master TB'!$V:$V)</f>
        <v>0</v>
      </c>
      <c r="G148" s="1195">
        <f>+SUMIF('Master TB'!$E:$E,Assets!L148,'Master TB'!$V:$V)</f>
        <v>0</v>
      </c>
      <c r="H148" s="841"/>
      <c r="I148" s="841"/>
      <c r="J148" s="487"/>
      <c r="K148" s="41" t="s">
        <v>1444</v>
      </c>
      <c r="L148" s="42" t="s">
        <v>2033</v>
      </c>
      <c r="M148" s="1754" t="str">
        <f>IF(SUM(D148:G148)=0,"No","Yes")</f>
        <v>No</v>
      </c>
      <c r="O148" s="42" t="str">
        <f>+IF(M146="yes",CHAR(CODE(O146)+1),O146)</f>
        <v>c</v>
      </c>
      <c r="P148" s="42" t="s">
        <v>1652</v>
      </c>
    </row>
    <row r="149" spans="3:16" s="42" customFormat="1" x14ac:dyDescent="0.25">
      <c r="C149" s="72"/>
      <c r="D149" s="1191"/>
      <c r="E149" s="1189"/>
      <c r="F149" s="1208"/>
      <c r="G149" s="1195"/>
      <c r="H149" s="841"/>
      <c r="I149" s="841"/>
      <c r="J149" s="487"/>
      <c r="K149" s="41"/>
      <c r="M149" s="1754" t="str">
        <f>+M150</f>
        <v>Yes</v>
      </c>
    </row>
    <row r="150" spans="3:16" s="42" customFormat="1" x14ac:dyDescent="0.25">
      <c r="C150" s="681" t="str">
        <f>+"("&amp;O150&amp;")"&amp;P150</f>
        <v xml:space="preserve">(c) Balances with government authorities </v>
      </c>
      <c r="D150" s="1633"/>
      <c r="E150" s="1186"/>
      <c r="F150" s="1205"/>
      <c r="G150" s="1195"/>
      <c r="H150" s="841"/>
      <c r="I150" s="841"/>
      <c r="J150" s="487"/>
      <c r="K150" s="41"/>
      <c r="M150" s="1754" t="str">
        <f>+M151</f>
        <v>Yes</v>
      </c>
      <c r="O150" s="42" t="str">
        <f>+IF(M148="yes",CHAR(CODE(O148)+1),O148)</f>
        <v>c</v>
      </c>
      <c r="P150" s="42" t="s">
        <v>1582</v>
      </c>
    </row>
    <row r="151" spans="3:16" s="42" customFormat="1" x14ac:dyDescent="0.25">
      <c r="C151" s="600" t="s">
        <v>188</v>
      </c>
      <c r="D151" s="1191">
        <f>+SUMIF('Master TB'!E:E,Assets!K151,'Master TB'!J:J)</f>
        <v>0</v>
      </c>
      <c r="E151" s="1189">
        <f>+SUMIF('Master TB'!E:E,Assets!L151,'Master TB'!J:J)</f>
        <v>73904.885500000004</v>
      </c>
      <c r="F151" s="1208">
        <f>+SUMIF('Master TB'!$E:$E,Assets!K151,'Master TB'!$V:$V)</f>
        <v>0</v>
      </c>
      <c r="G151" s="1195">
        <f>+SUMIF('Master TB'!$E:$E,Assets!L151,'Master TB'!$V:$V)</f>
        <v>13274.326200000001</v>
      </c>
      <c r="H151" s="841"/>
      <c r="I151" s="841"/>
      <c r="J151" s="487"/>
      <c r="K151" s="41" t="s">
        <v>1445</v>
      </c>
      <c r="L151" s="42" t="s">
        <v>2034</v>
      </c>
      <c r="M151" s="1754" t="str">
        <f>IF(SUM(D151:G151)=0,"No","Yes")</f>
        <v>Yes</v>
      </c>
    </row>
    <row r="152" spans="3:16" s="42" customFormat="1" hidden="1" x14ac:dyDescent="0.25">
      <c r="C152" s="72"/>
      <c r="D152" s="1191"/>
      <c r="E152" s="1189"/>
      <c r="F152" s="1208"/>
      <c r="G152" s="1195"/>
      <c r="H152" s="841"/>
      <c r="I152" s="841"/>
      <c r="J152" s="487"/>
      <c r="K152" s="41"/>
      <c r="M152" s="1754" t="str">
        <f>+M153</f>
        <v>No</v>
      </c>
    </row>
    <row r="153" spans="3:16" s="42" customFormat="1" hidden="1" x14ac:dyDescent="0.25">
      <c r="C153" s="241" t="str">
        <f>+"("&amp;O153&amp;")"&amp;P153</f>
        <v xml:space="preserve">(d) Inter-corporate deposits </v>
      </c>
      <c r="D153" s="1191"/>
      <c r="E153" s="1189"/>
      <c r="F153" s="1208"/>
      <c r="G153" s="1195"/>
      <c r="H153" s="841"/>
      <c r="I153" s="841"/>
      <c r="J153" s="487"/>
      <c r="K153" s="41"/>
      <c r="M153" s="1754" t="str">
        <f>+M159</f>
        <v>No</v>
      </c>
      <c r="O153" s="42" t="str">
        <f>+IF(M150="yes",CHAR(CODE(O150)+1),O150)</f>
        <v>d</v>
      </c>
      <c r="P153" s="42" t="s">
        <v>1583</v>
      </c>
    </row>
    <row r="154" spans="3:16" s="42" customFormat="1" hidden="1" x14ac:dyDescent="0.25">
      <c r="C154" s="601" t="s">
        <v>187</v>
      </c>
      <c r="D154" s="1191">
        <f>+SUMIF('Master TB'!E:E,Assets!K154,'Master TB'!J:J)</f>
        <v>0</v>
      </c>
      <c r="E154" s="1189">
        <f>+SUMIF('Master TB'!E:E,Assets!L154,'Master TB'!J:J)</f>
        <v>0</v>
      </c>
      <c r="F154" s="1208">
        <f>+SUMIF('Master TB'!$E:$E,Assets!K154,'Master TB'!$V:$V)</f>
        <v>0</v>
      </c>
      <c r="G154" s="1195">
        <f ca="1">+SUMIF('Master TB'!G:G,Assets!L154,'Master TB'!L:L)</f>
        <v>0</v>
      </c>
      <c r="H154" s="841"/>
      <c r="I154" s="841"/>
      <c r="J154" s="487"/>
      <c r="K154" s="41" t="s">
        <v>1447</v>
      </c>
      <c r="L154" s="42" t="s">
        <v>2035</v>
      </c>
      <c r="M154" s="1754" t="str">
        <f ca="1">IF(SUM(D154:G154)=0,"No","Yes")</f>
        <v>No</v>
      </c>
    </row>
    <row r="155" spans="3:16" s="42" customFormat="1" hidden="1" x14ac:dyDescent="0.25">
      <c r="C155" s="601" t="s">
        <v>188</v>
      </c>
      <c r="D155" s="1633">
        <f>+SUMIF('Master TB'!E:E,Assets!K155,'Master TB'!J:J)</f>
        <v>0</v>
      </c>
      <c r="E155" s="1186">
        <f>+SUMIF('Master TB'!E:E,Assets!L155,'Master TB'!J:J)</f>
        <v>0</v>
      </c>
      <c r="F155" s="1208">
        <f>+SUMIF('Master TB'!$E:$E,Assets!K155,'Master TB'!$V:$V)</f>
        <v>0</v>
      </c>
      <c r="G155" s="1195">
        <f ca="1">+SUMIF('Master TB'!G:G,Assets!L155,'Master TB'!L:L)</f>
        <v>0</v>
      </c>
      <c r="H155" s="841"/>
      <c r="I155" s="841"/>
      <c r="J155" s="487"/>
      <c r="K155" s="41" t="s">
        <v>1449</v>
      </c>
      <c r="L155" s="42" t="s">
        <v>2036</v>
      </c>
      <c r="M155" s="1754" t="str">
        <f ca="1">IF(SUM(D155:G155)=0,"No","Yes")</f>
        <v>No</v>
      </c>
    </row>
    <row r="156" spans="3:16" s="42" customFormat="1" hidden="1" x14ac:dyDescent="0.25">
      <c r="C156" s="601" t="s">
        <v>189</v>
      </c>
      <c r="D156" s="1639">
        <f>+SUMIF('Master TB'!E:E,Assets!K156,'Master TB'!J:J)</f>
        <v>0</v>
      </c>
      <c r="E156" s="1190">
        <f>+SUMIF('Master TB'!E:E,Assets!L156,'Master TB'!J:J)</f>
        <v>0</v>
      </c>
      <c r="F156" s="1666">
        <f>+SUMIF('Master TB'!$E:$E,Assets!K156,'Master TB'!$V:$V)</f>
        <v>0</v>
      </c>
      <c r="G156" s="1197">
        <f ca="1">+SUMIF('Master TB'!G:G,Assets!L156,'Master TB'!L:L)</f>
        <v>0</v>
      </c>
      <c r="H156" s="841"/>
      <c r="I156" s="841"/>
      <c r="J156" s="487"/>
      <c r="K156" s="41" t="s">
        <v>1451</v>
      </c>
      <c r="L156" s="42" t="s">
        <v>2037</v>
      </c>
      <c r="M156" s="1754" t="str">
        <f ca="1">IF(SUM(D156:G156)=0,"No","Yes")</f>
        <v>No</v>
      </c>
    </row>
    <row r="157" spans="3:16" s="42" customFormat="1" hidden="1" x14ac:dyDescent="0.25">
      <c r="C157" s="37"/>
      <c r="D157" s="1184">
        <f>SUM(D154:D156)</f>
        <v>0</v>
      </c>
      <c r="E157" s="1184">
        <f>SUM(E154:E156)</f>
        <v>0</v>
      </c>
      <c r="F157" s="1184">
        <f>SUM(F154:F156)</f>
        <v>0</v>
      </c>
      <c r="G157" s="1184">
        <f ca="1">SUM(G154:G156)</f>
        <v>0</v>
      </c>
      <c r="H157" s="841"/>
      <c r="I157" s="841"/>
      <c r="J157" s="487"/>
      <c r="K157" s="41"/>
      <c r="M157" s="1754" t="str">
        <f>IF(AND(D157=0,E157=0),"No","Yes")</f>
        <v>No</v>
      </c>
    </row>
    <row r="158" spans="3:16" s="42" customFormat="1" hidden="1" x14ac:dyDescent="0.25">
      <c r="C158" s="601" t="s">
        <v>469</v>
      </c>
      <c r="D158" s="1638">
        <f>+SUMIF('Master TB'!E:E,Assets!K158,'Master TB'!J:J)</f>
        <v>0</v>
      </c>
      <c r="E158" s="1188">
        <f>+SUMIF('Master TB'!E:E,Assets!L158,'Master TB'!J:J)</f>
        <v>0</v>
      </c>
      <c r="F158" s="1207">
        <f>+SUMIF('Master TB'!$E:$E,Assets!K158,'Master TB'!$V:$V)</f>
        <v>0</v>
      </c>
      <c r="G158" s="1612">
        <f ca="1">+SUMIF('Master TB'!G:G,Assets!L158,'Master TB'!L:L)</f>
        <v>0</v>
      </c>
      <c r="H158" s="841"/>
      <c r="I158" s="841"/>
      <c r="J158" s="487"/>
      <c r="K158" s="41" t="s">
        <v>1452</v>
      </c>
      <c r="L158" s="42" t="s">
        <v>2038</v>
      </c>
      <c r="M158" s="1754" t="str">
        <f ca="1">IF(SUM(D158:G158)=0,"No","Yes")</f>
        <v>No</v>
      </c>
    </row>
    <row r="159" spans="3:16" s="42" customFormat="1" hidden="1" x14ac:dyDescent="0.25">
      <c r="C159" s="72"/>
      <c r="D159" s="1191">
        <f>+D157-D158</f>
        <v>0</v>
      </c>
      <c r="E159" s="1191">
        <f>+E157-E158</f>
        <v>0</v>
      </c>
      <c r="F159" s="1191">
        <f>+F157-F158</f>
        <v>0</v>
      </c>
      <c r="G159" s="1191">
        <f ca="1">+G157-G158</f>
        <v>0</v>
      </c>
      <c r="H159" s="841"/>
      <c r="I159" s="841"/>
      <c r="J159" s="487"/>
      <c r="K159" s="41"/>
      <c r="M159" s="1754" t="str">
        <f>IF(AND(D159=0,E159=0),"No","Yes")</f>
        <v>No</v>
      </c>
    </row>
    <row r="160" spans="3:16" s="42" customFormat="1" x14ac:dyDescent="0.25">
      <c r="C160" s="116"/>
      <c r="D160" s="1191"/>
      <c r="E160" s="2693"/>
      <c r="F160" s="2694"/>
      <c r="G160" s="1191"/>
      <c r="H160" s="841"/>
      <c r="I160" s="841"/>
      <c r="J160" s="487"/>
      <c r="K160" s="41"/>
      <c r="M160" s="1754"/>
    </row>
    <row r="161" spans="3:16" s="42" customFormat="1" x14ac:dyDescent="0.25">
      <c r="C161" s="241" t="str">
        <f>+"("&amp;O161&amp;")"&amp;P161</f>
        <v xml:space="preserve">(d) Other loans and advances </v>
      </c>
      <c r="D161" s="1640"/>
      <c r="E161" s="1192"/>
      <c r="F161" s="1667"/>
      <c r="G161" s="1672"/>
      <c r="H161" s="841"/>
      <c r="I161" s="841"/>
      <c r="J161" s="487"/>
      <c r="K161" s="41"/>
      <c r="M161" s="1754" t="str">
        <f>+M167</f>
        <v>Yes</v>
      </c>
      <c r="O161" s="42" t="str">
        <f>+IF(M153="yes",CHAR(CODE(O153)+1),O153)</f>
        <v>d</v>
      </c>
      <c r="P161" s="42" t="s">
        <v>2003</v>
      </c>
    </row>
    <row r="162" spans="3:16" s="42" customFormat="1" x14ac:dyDescent="0.25">
      <c r="C162" s="600" t="s">
        <v>188</v>
      </c>
      <c r="D162" s="1636"/>
      <c r="E162" s="1181"/>
      <c r="F162" s="1205"/>
      <c r="G162" s="1389"/>
      <c r="H162" s="841"/>
      <c r="I162" s="841"/>
      <c r="J162" s="487"/>
      <c r="K162" s="41" t="s">
        <v>1454</v>
      </c>
      <c r="L162" s="42" t="s">
        <v>2039</v>
      </c>
      <c r="M162" s="1754" t="str">
        <f t="shared" ref="M162:M167" si="8">IF(SUM(D162:G162)=0,"No","Yes")</f>
        <v>No</v>
      </c>
    </row>
    <row r="163" spans="3:16" s="42" customFormat="1" hidden="1" x14ac:dyDescent="0.25">
      <c r="C163" s="600" t="s">
        <v>188</v>
      </c>
      <c r="D163" s="1633">
        <f>+SUMIF('Master TB'!E:E,Assets!K163,'Master TB'!J:J)</f>
        <v>0</v>
      </c>
      <c r="E163" s="1186">
        <f>+SUMIF('Master TB'!E:E,Assets!L163,'Master TB'!J:J)</f>
        <v>0</v>
      </c>
      <c r="F163" s="1205">
        <f>+SUMIF('Master TB'!$E:$E,Assets!K163,'Master TB'!$V:$V)</f>
        <v>0</v>
      </c>
      <c r="G163" s="1389">
        <f>+SUMIF('Master TB'!$E:$E,Assets!L163,'Master TB'!$V:$V)</f>
        <v>0</v>
      </c>
      <c r="H163" s="841"/>
      <c r="I163" s="841"/>
      <c r="J163" s="487"/>
      <c r="K163" s="41" t="s">
        <v>1456</v>
      </c>
      <c r="L163" s="42" t="s">
        <v>2040</v>
      </c>
      <c r="M163" s="1754" t="str">
        <f t="shared" si="8"/>
        <v>No</v>
      </c>
    </row>
    <row r="164" spans="3:16" s="42" customFormat="1" hidden="1" x14ac:dyDescent="0.25">
      <c r="C164" s="600" t="s">
        <v>189</v>
      </c>
      <c r="D164" s="1637">
        <f>+SUMIF('Master TB'!E:E,Assets!K164,'Master TB'!J:J)</f>
        <v>0</v>
      </c>
      <c r="E164" s="1187">
        <f>+SUMIF('Master TB'!E:E,Assets!L164,'Master TB'!J:J)</f>
        <v>0</v>
      </c>
      <c r="F164" s="1206">
        <f>+SUMIF('Master TB'!$E:$E,Assets!K164,'Master TB'!$V:$V)</f>
        <v>0</v>
      </c>
      <c r="G164" s="1665">
        <f>+SUMIF('Master TB'!$E:$E,Assets!L164,'Master TB'!$V:$V)</f>
        <v>0</v>
      </c>
      <c r="H164" s="841"/>
      <c r="I164" s="841"/>
      <c r="J164" s="487"/>
      <c r="K164" s="41" t="s">
        <v>1458</v>
      </c>
      <c r="L164" s="42" t="s">
        <v>2041</v>
      </c>
      <c r="M164" s="1754" t="str">
        <f t="shared" si="8"/>
        <v>No</v>
      </c>
    </row>
    <row r="165" spans="3:16" s="42" customFormat="1" x14ac:dyDescent="0.25">
      <c r="C165" s="600"/>
      <c r="D165" s="1184">
        <f>SUM(D162:D164)</f>
        <v>0</v>
      </c>
      <c r="E165" s="1184">
        <f>+SUMIF('Master TB'!E:E,Assets!L162,'Master TB'!J:J)+1</f>
        <v>577.23429999999996</v>
      </c>
      <c r="F165" s="1184">
        <f>SUM(F162:F164)</f>
        <v>0</v>
      </c>
      <c r="G165" s="1184">
        <f>+SUMIF('Master TB'!$E:$E,Assets!L162,'Master TB'!$V:$V)+3</f>
        <v>294.25099999999998</v>
      </c>
      <c r="H165" s="841"/>
      <c r="I165" s="841"/>
      <c r="J165" s="487"/>
      <c r="K165" s="41"/>
      <c r="M165" s="1754" t="str">
        <f t="shared" si="8"/>
        <v>Yes</v>
      </c>
    </row>
    <row r="166" spans="3:16" s="42" customFormat="1" hidden="1" x14ac:dyDescent="0.25">
      <c r="C166" s="600" t="s">
        <v>516</v>
      </c>
      <c r="D166" s="1635">
        <f>+SUMIF('Master TB'!E:E,Assets!K166,'Master TB'!J:J)</f>
        <v>0</v>
      </c>
      <c r="E166" s="829">
        <f>+SUMIF('Master TB'!E:E,Assets!L166,'Master TB'!J:J)</f>
        <v>0</v>
      </c>
      <c r="F166" s="1606">
        <f>+SUMIF('Master TB'!$E:$E,Assets!K166,'Master TB'!$V:$V)</f>
        <v>0</v>
      </c>
      <c r="G166" s="1577">
        <f>+SUMIF('Master TB'!$E:$E,Assets!L166,'Master TB'!$V:$V)</f>
        <v>0</v>
      </c>
      <c r="H166" s="841"/>
      <c r="I166" s="841"/>
      <c r="J166" s="487"/>
      <c r="K166" s="41" t="s">
        <v>1459</v>
      </c>
      <c r="L166" s="325" t="s">
        <v>2042</v>
      </c>
      <c r="M166" s="1754" t="str">
        <f t="shared" si="8"/>
        <v>No</v>
      </c>
    </row>
    <row r="167" spans="3:16" s="42" customFormat="1" x14ac:dyDescent="0.25">
      <c r="C167" s="72"/>
      <c r="D167" s="1185">
        <f>+D165-D166</f>
        <v>0</v>
      </c>
      <c r="E167" s="1185">
        <f>+E165-E166</f>
        <v>577.23429999999996</v>
      </c>
      <c r="F167" s="1185">
        <f>+F165-F166</f>
        <v>0</v>
      </c>
      <c r="G167" s="1185">
        <f>+G165-G166</f>
        <v>294.25099999999998</v>
      </c>
      <c r="H167" s="841"/>
      <c r="I167" s="841"/>
      <c r="J167" s="487"/>
      <c r="K167" s="41"/>
      <c r="M167" s="1754" t="str">
        <f t="shared" si="8"/>
        <v>Yes</v>
      </c>
    </row>
    <row r="168" spans="3:16" s="42" customFormat="1" x14ac:dyDescent="0.25">
      <c r="C168" s="72"/>
      <c r="D168" s="1640"/>
      <c r="E168" s="1192"/>
      <c r="F168" s="1667"/>
      <c r="G168" s="1672"/>
      <c r="H168" s="841"/>
      <c r="I168" s="841"/>
      <c r="J168" s="487"/>
      <c r="K168" s="41"/>
      <c r="M168" s="1754" t="str">
        <f ca="1">+M169</f>
        <v>Yes</v>
      </c>
    </row>
    <row r="169" spans="3:16" s="42" customFormat="1" x14ac:dyDescent="0.25">
      <c r="C169" s="1955" t="s">
        <v>35</v>
      </c>
      <c r="D169" s="1956">
        <f>+D167+D159+D151+D148+D146+D144+D142+D135+D128</f>
        <v>0</v>
      </c>
      <c r="E169" s="1956">
        <f>+E167+E159+E151+E148+E146+E144+E142+E135+E128</f>
        <v>176270.90449999998</v>
      </c>
      <c r="F169" s="1956">
        <f>+F167+F159+F151+F148+F146+F144+F142+F135+F128</f>
        <v>0</v>
      </c>
      <c r="G169" s="1956">
        <f ca="1">+G167+G159+G151+G148+G146+G144+G142+G135+G128</f>
        <v>19213.338000000003</v>
      </c>
      <c r="H169" s="841"/>
      <c r="I169" s="841"/>
      <c r="J169" s="487"/>
      <c r="K169" s="41"/>
      <c r="M169" s="1754" t="str">
        <f ca="1">IF(SUM(D169:G169)=0,"No","Yes")</f>
        <v>Yes</v>
      </c>
    </row>
    <row r="170" spans="3:16" s="42" customFormat="1" x14ac:dyDescent="0.25">
      <c r="C170" s="234"/>
      <c r="D170" s="1193"/>
      <c r="E170" s="1193"/>
      <c r="F170" s="1193"/>
      <c r="G170" s="1193"/>
      <c r="H170" s="841"/>
      <c r="I170" s="841"/>
      <c r="J170" s="487"/>
      <c r="K170" s="41"/>
      <c r="M170" s="1754" t="str">
        <f ca="1">+M169</f>
        <v>Yes</v>
      </c>
    </row>
    <row r="171" spans="3:16" s="42" customFormat="1" hidden="1" x14ac:dyDescent="0.25">
      <c r="C171" s="1495" t="str">
        <f>+IF(Footnotes!C89="","",Footnotes!C89)</f>
        <v/>
      </c>
      <c r="D171" s="1497" t="str">
        <f>+IF(Footnotes!D89="","",Footnotes!D89)</f>
        <v/>
      </c>
      <c r="E171" s="1497" t="str">
        <f>+IF(Footnotes!E89="","",Footnotes!E89)</f>
        <v/>
      </c>
      <c r="F171" s="1497" t="str">
        <f>+IF(Footnotes!F89="","",Footnotes!F89)</f>
        <v/>
      </c>
      <c r="G171" s="1497" t="str">
        <f>+IF(Footnotes!G89="","",Footnotes!G89)</f>
        <v/>
      </c>
      <c r="H171" s="1536" t="str">
        <f>+IF(Footnotes!H89="","",Footnotes!H89)</f>
        <v/>
      </c>
      <c r="I171" s="1536" t="str">
        <f>+IF(Footnotes!I89="","",Footnotes!I89)</f>
        <v/>
      </c>
      <c r="J171" s="487"/>
      <c r="K171" s="41"/>
      <c r="M171" s="1756" t="str">
        <f t="shared" ref="M171:M176" si="9">+IF(AND(C171="",D171="",E171="",F171="",G171="",H171="",I171=""),"No","Yes")</f>
        <v>No</v>
      </c>
    </row>
    <row r="172" spans="3:16" s="42" customFormat="1" hidden="1" x14ac:dyDescent="0.25">
      <c r="C172" s="1495" t="str">
        <f>+IF(Footnotes!C90="","",Footnotes!C90)</f>
        <v/>
      </c>
      <c r="D172" s="1497" t="str">
        <f>+IF(Footnotes!D90="","",Footnotes!D90)</f>
        <v/>
      </c>
      <c r="E172" s="1497" t="str">
        <f>+IF(Footnotes!E90="","",Footnotes!E90)</f>
        <v/>
      </c>
      <c r="F172" s="1497" t="str">
        <f>+IF(Footnotes!F90="","",Footnotes!F90)</f>
        <v/>
      </c>
      <c r="G172" s="1497" t="str">
        <f>+IF(Footnotes!G90="","",Footnotes!G90)</f>
        <v/>
      </c>
      <c r="H172" s="1536" t="str">
        <f>+IF(Footnotes!H90="","",Footnotes!H90)</f>
        <v/>
      </c>
      <c r="I172" s="1536" t="str">
        <f>+IF(Footnotes!I90="","",Footnotes!I90)</f>
        <v/>
      </c>
      <c r="J172" s="487"/>
      <c r="K172" s="41"/>
      <c r="M172" s="1756" t="str">
        <f t="shared" si="9"/>
        <v>No</v>
      </c>
    </row>
    <row r="173" spans="3:16" s="42" customFormat="1" hidden="1" x14ac:dyDescent="0.25">
      <c r="C173" s="1495" t="str">
        <f>+IF(Footnotes!C91="","",Footnotes!C91)</f>
        <v/>
      </c>
      <c r="D173" s="1497" t="str">
        <f>+IF(Footnotes!D91="","",Footnotes!D91)</f>
        <v/>
      </c>
      <c r="E173" s="1497" t="str">
        <f>+IF(Footnotes!E91="","",Footnotes!E91)</f>
        <v/>
      </c>
      <c r="F173" s="1497" t="str">
        <f>+IF(Footnotes!F91="","",Footnotes!F91)</f>
        <v/>
      </c>
      <c r="G173" s="1497" t="str">
        <f>+IF(Footnotes!G91="","",Footnotes!G91)</f>
        <v/>
      </c>
      <c r="H173" s="1536" t="str">
        <f>+IF(Footnotes!H91="","",Footnotes!H91)</f>
        <v/>
      </c>
      <c r="I173" s="1536" t="str">
        <f>+IF(Footnotes!I91="","",Footnotes!I91)</f>
        <v/>
      </c>
      <c r="J173" s="487"/>
      <c r="K173" s="41"/>
      <c r="M173" s="1756" t="str">
        <f t="shared" si="9"/>
        <v>No</v>
      </c>
    </row>
    <row r="174" spans="3:16" s="42" customFormat="1" hidden="1" x14ac:dyDescent="0.25">
      <c r="C174" s="1495" t="str">
        <f>+IF(Footnotes!C92="","",Footnotes!C92)</f>
        <v/>
      </c>
      <c r="D174" s="1497" t="str">
        <f>+IF(Footnotes!D92="","",Footnotes!D92)</f>
        <v/>
      </c>
      <c r="E174" s="1497" t="str">
        <f>+IF(Footnotes!E92="","",Footnotes!E92)</f>
        <v/>
      </c>
      <c r="F174" s="1497" t="str">
        <f>+IF(Footnotes!F92="","",Footnotes!F92)</f>
        <v/>
      </c>
      <c r="G174" s="1497" t="str">
        <f>+IF(Footnotes!G92="","",Footnotes!G92)</f>
        <v/>
      </c>
      <c r="H174" s="1536" t="str">
        <f>+IF(Footnotes!H92="","",Footnotes!H92)</f>
        <v/>
      </c>
      <c r="I174" s="1536" t="str">
        <f>+IF(Footnotes!I92="","",Footnotes!I92)</f>
        <v/>
      </c>
      <c r="J174" s="487"/>
      <c r="K174" s="41"/>
      <c r="M174" s="1756" t="str">
        <f t="shared" si="9"/>
        <v>No</v>
      </c>
    </row>
    <row r="175" spans="3:16" s="42" customFormat="1" hidden="1" x14ac:dyDescent="0.25">
      <c r="C175" s="1495" t="str">
        <f>+IF(Footnotes!C93="","",Footnotes!C93)</f>
        <v/>
      </c>
      <c r="D175" s="1497" t="str">
        <f>+IF(Footnotes!D93="","",Footnotes!D93)</f>
        <v/>
      </c>
      <c r="E175" s="1497" t="str">
        <f>+IF(Footnotes!E93="","",Footnotes!E93)</f>
        <v/>
      </c>
      <c r="F175" s="1497" t="str">
        <f>+IF(Footnotes!F93="","",Footnotes!F93)</f>
        <v/>
      </c>
      <c r="G175" s="1497" t="str">
        <f>+IF(Footnotes!G93="","",Footnotes!G93)</f>
        <v/>
      </c>
      <c r="H175" s="1536" t="str">
        <f>+IF(Footnotes!H93="","",Footnotes!H93)</f>
        <v/>
      </c>
      <c r="I175" s="1536" t="str">
        <f>+IF(Footnotes!I93="","",Footnotes!I93)</f>
        <v/>
      </c>
      <c r="J175" s="487"/>
      <c r="K175" s="41"/>
      <c r="M175" s="1756" t="str">
        <f t="shared" si="9"/>
        <v>No</v>
      </c>
    </row>
    <row r="176" spans="3:16" s="42" customFormat="1" hidden="1" x14ac:dyDescent="0.25">
      <c r="C176" s="1495" t="str">
        <f>+IF(Footnotes!C94="","",Footnotes!C94)</f>
        <v/>
      </c>
      <c r="D176" s="1497" t="str">
        <f>+IF(Footnotes!D94="","",Footnotes!D94)</f>
        <v/>
      </c>
      <c r="E176" s="1497" t="str">
        <f>+IF(Footnotes!E94="","",Footnotes!E94)</f>
        <v/>
      </c>
      <c r="F176" s="1497" t="str">
        <f>+IF(Footnotes!F94="","",Footnotes!F94)</f>
        <v/>
      </c>
      <c r="G176" s="1497" t="str">
        <f>+IF(Footnotes!G94="","",Footnotes!G94)</f>
        <v/>
      </c>
      <c r="H176" s="1536" t="str">
        <f>+IF(Footnotes!H94="","",Footnotes!H94)</f>
        <v/>
      </c>
      <c r="I176" s="1536" t="str">
        <f>+IF(Footnotes!I94="","",Footnotes!I94)</f>
        <v/>
      </c>
      <c r="J176" s="487"/>
      <c r="K176" s="41"/>
      <c r="M176" s="1756" t="str">
        <f t="shared" si="9"/>
        <v>No</v>
      </c>
    </row>
    <row r="177" spans="3:16" s="42" customFormat="1" hidden="1" x14ac:dyDescent="0.25">
      <c r="C177" s="81"/>
      <c r="D177" s="1209"/>
      <c r="E177" s="1209"/>
      <c r="F177" s="1209"/>
      <c r="G177" s="841"/>
      <c r="H177" s="841"/>
      <c r="I177" s="841"/>
      <c r="J177" s="487"/>
      <c r="K177" s="41"/>
      <c r="M177" s="1756" t="str">
        <f>+M178</f>
        <v>Yes</v>
      </c>
    </row>
    <row r="178" spans="3:16" s="42" customFormat="1" x14ac:dyDescent="0.25">
      <c r="C178" s="2745" t="str">
        <f>+"Note "&amp;'Balance Sheet'!E53&amp;": Other non-current assets"</f>
        <v>Note 10: Other non-current assets</v>
      </c>
      <c r="D178" s="2745"/>
      <c r="E178" s="1579"/>
      <c r="F178" s="1579"/>
      <c r="G178" s="1673"/>
      <c r="H178" s="1673"/>
      <c r="I178" s="1673"/>
      <c r="J178" s="487"/>
      <c r="K178" s="41"/>
      <c r="M178" s="1756" t="str">
        <f>+M205</f>
        <v>Yes</v>
      </c>
    </row>
    <row r="179" spans="3:16" s="42" customFormat="1" x14ac:dyDescent="0.25">
      <c r="C179" s="20"/>
      <c r="D179" s="2864" t="s">
        <v>847</v>
      </c>
      <c r="E179" s="2864"/>
      <c r="F179" s="1579"/>
      <c r="G179" s="1673"/>
      <c r="H179" s="1673"/>
      <c r="I179" s="1673"/>
      <c r="J179" s="487"/>
      <c r="K179" s="41"/>
      <c r="M179" s="1756" t="str">
        <f>+M178</f>
        <v>Yes</v>
      </c>
    </row>
    <row r="180" spans="3:16" s="42" customFormat="1" ht="30" x14ac:dyDescent="0.25">
      <c r="C180" s="1929" t="s">
        <v>20</v>
      </c>
      <c r="D180" s="1951" t="str">
        <f>+BSCY</f>
        <v>As At 31st March 2025</v>
      </c>
      <c r="E180" s="1951" t="str">
        <f>+BSPY</f>
        <v>As At 31st March 2024</v>
      </c>
      <c r="F180" s="1579"/>
      <c r="G180" s="1608"/>
      <c r="H180" s="1608"/>
      <c r="I180" s="1608"/>
      <c r="J180" s="487"/>
      <c r="K180" s="41"/>
      <c r="M180" s="1756" t="str">
        <f>+M178</f>
        <v>Yes</v>
      </c>
    </row>
    <row r="181" spans="3:16" s="42" customFormat="1" hidden="1" x14ac:dyDescent="0.25">
      <c r="C181" s="72"/>
      <c r="D181" s="1195"/>
      <c r="E181" s="1195"/>
      <c r="F181" s="1579"/>
      <c r="G181" s="1523"/>
      <c r="H181" s="1523"/>
      <c r="I181" s="1523"/>
      <c r="J181" s="487"/>
      <c r="K181" s="41"/>
      <c r="M181" s="1756" t="str">
        <f>+M182</f>
        <v>No</v>
      </c>
    </row>
    <row r="182" spans="3:16" s="42" customFormat="1" ht="33" hidden="1" x14ac:dyDescent="0.25">
      <c r="C182" s="656" t="str">
        <f>+"("&amp;O182&amp;")"&amp;P182</f>
        <v>(a) Long term Trade Receivables (including trade receivables on deferred credit terms)*;</v>
      </c>
      <c r="D182" s="1195"/>
      <c r="E182" s="1195"/>
      <c r="F182" s="1579"/>
      <c r="G182" s="1523"/>
      <c r="H182" s="1523"/>
      <c r="I182" s="1523"/>
      <c r="J182" s="487"/>
      <c r="K182" s="41"/>
      <c r="M182" s="1756" t="str">
        <f>IF(AND(M183="No",M184="No",M185="No"),"No","Yes")</f>
        <v>No</v>
      </c>
      <c r="O182" s="42" t="s">
        <v>1562</v>
      </c>
      <c r="P182" s="42" t="s">
        <v>1584</v>
      </c>
    </row>
    <row r="183" spans="3:16" s="42" customFormat="1" hidden="1" x14ac:dyDescent="0.25">
      <c r="C183" s="600" t="s">
        <v>187</v>
      </c>
      <c r="D183" s="1195">
        <f>+SUMIF('Master TB'!E:E,Assets!K183,'Master TB'!J:J)</f>
        <v>0</v>
      </c>
      <c r="E183" s="1195">
        <f>+SUMIF('Master TB'!$E:$E,Assets!K183,'Master TB'!$V:$V)</f>
        <v>0</v>
      </c>
      <c r="F183" s="1579"/>
      <c r="G183" s="1674"/>
      <c r="H183" s="1523"/>
      <c r="I183" s="1523"/>
      <c r="J183" s="487"/>
      <c r="K183" s="41" t="s">
        <v>1461</v>
      </c>
      <c r="M183" s="1754" t="str">
        <f>IF(AND(D183=0,E183=0),"No","Yes")</f>
        <v>No</v>
      </c>
    </row>
    <row r="184" spans="3:16" s="42" customFormat="1" hidden="1" x14ac:dyDescent="0.25">
      <c r="C184" s="600" t="s">
        <v>188</v>
      </c>
      <c r="D184" s="1195">
        <f>+SUMIF('Master TB'!E:E,Assets!K184,'Master TB'!J:J)</f>
        <v>0</v>
      </c>
      <c r="E184" s="1195">
        <f>+SUMIF('Master TB'!$E:$E,Assets!K184,'Master TB'!$V:$V)</f>
        <v>0</v>
      </c>
      <c r="F184" s="1579"/>
      <c r="G184" s="1674"/>
      <c r="H184" s="1523"/>
      <c r="I184" s="1523"/>
      <c r="J184" s="487"/>
      <c r="K184" s="41" t="s">
        <v>1463</v>
      </c>
      <c r="M184" s="1754" t="str">
        <f t="shared" ref="M184:M205" si="10">IF(AND(D184=0,E184=0),"No","Yes")</f>
        <v>No</v>
      </c>
    </row>
    <row r="185" spans="3:16" s="42" customFormat="1" hidden="1" x14ac:dyDescent="0.25">
      <c r="C185" s="600" t="s">
        <v>189</v>
      </c>
      <c r="D185" s="1195">
        <f>+SUMIF('Master TB'!E:E,Assets!K185,'Master TB'!J:J)</f>
        <v>0</v>
      </c>
      <c r="E185" s="1195">
        <f>+SUMIF('Master TB'!$E:$E,Assets!K185,'Master TB'!$V:$V)</f>
        <v>0</v>
      </c>
      <c r="F185" s="1579"/>
      <c r="G185" s="1674"/>
      <c r="H185" s="1523"/>
      <c r="I185" s="1523"/>
      <c r="J185" s="487"/>
      <c r="K185" s="41" t="s">
        <v>1465</v>
      </c>
      <c r="M185" s="1754" t="str">
        <f t="shared" si="10"/>
        <v>No</v>
      </c>
    </row>
    <row r="186" spans="3:16" s="42" customFormat="1" hidden="1" x14ac:dyDescent="0.25">
      <c r="C186" s="72"/>
      <c r="D186" s="1195"/>
      <c r="E186" s="1195"/>
      <c r="F186" s="1579"/>
      <c r="G186" s="1674"/>
      <c r="H186" s="1523"/>
      <c r="I186" s="1523"/>
      <c r="J186" s="487"/>
      <c r="K186" s="41"/>
      <c r="M186" s="1754" t="str">
        <f>+M187</f>
        <v>Yes</v>
      </c>
    </row>
    <row r="187" spans="3:16" s="42" customFormat="1" x14ac:dyDescent="0.25">
      <c r="C187" s="241" t="str">
        <f>+"("&amp;O187&amp;")"&amp;P187</f>
        <v>(a) Security Deposits</v>
      </c>
      <c r="D187" s="1195"/>
      <c r="E187" s="1195"/>
      <c r="F187" s="1579"/>
      <c r="G187" s="1674"/>
      <c r="H187" s="1523"/>
      <c r="I187" s="1579"/>
      <c r="J187" s="487"/>
      <c r="K187" s="41"/>
      <c r="M187" s="1756" t="str">
        <f>IF(AND(M188="No",M189="No",M190="No"),"No","Yes")</f>
        <v>Yes</v>
      </c>
      <c r="O187" s="42" t="str">
        <f>+IF(M182="yes",CHAR(CODE(O182)+1),O182)</f>
        <v>a</v>
      </c>
      <c r="P187" s="42" t="s">
        <v>1585</v>
      </c>
    </row>
    <row r="188" spans="3:16" s="42" customFormat="1" x14ac:dyDescent="0.25">
      <c r="C188" s="600" t="s">
        <v>188</v>
      </c>
      <c r="D188" s="1195">
        <f>+SUMIF('Master TB'!E:E,Assets!K188,'Master TB'!J:J)</f>
        <v>18086</v>
      </c>
      <c r="E188" s="1195">
        <f>+SUMIF('Master TB'!$E:$E,Assets!K188,'Master TB'!$V:$V)</f>
        <v>16640</v>
      </c>
      <c r="F188" s="1668"/>
      <c r="G188" s="1674"/>
      <c r="H188" s="1523"/>
      <c r="I188" s="1579"/>
      <c r="J188" s="487"/>
      <c r="K188" s="41" t="s">
        <v>1467</v>
      </c>
      <c r="M188" s="1754" t="str">
        <f t="shared" si="10"/>
        <v>Yes</v>
      </c>
    </row>
    <row r="189" spans="3:16" s="42" customFormat="1" hidden="1" x14ac:dyDescent="0.25">
      <c r="C189" s="600" t="s">
        <v>188</v>
      </c>
      <c r="D189" s="1195">
        <f>+SUMIF('Master TB'!E:E,Assets!K189,'Master TB'!J:J)</f>
        <v>0</v>
      </c>
      <c r="E189" s="1195">
        <f>+SUMIF('Master TB'!$E:$E,Assets!K189,'Master TB'!$V:$V)</f>
        <v>0</v>
      </c>
      <c r="F189" s="1579"/>
      <c r="G189" s="1674"/>
      <c r="H189" s="1523"/>
      <c r="I189" s="1579"/>
      <c r="J189" s="487"/>
      <c r="K189" s="41" t="s">
        <v>1469</v>
      </c>
      <c r="M189" s="1754" t="str">
        <f t="shared" si="10"/>
        <v>No</v>
      </c>
    </row>
    <row r="190" spans="3:16" s="42" customFormat="1" hidden="1" x14ac:dyDescent="0.25">
      <c r="C190" s="600" t="s">
        <v>189</v>
      </c>
      <c r="D190" s="1195">
        <f>+SUMIF('Master TB'!E:E,Assets!K190,'Master TB'!J:J)</f>
        <v>0</v>
      </c>
      <c r="E190" s="1195">
        <f>+SUMIF('Master TB'!$E:$E,Assets!K190,'Master TB'!$V:$V)</f>
        <v>0</v>
      </c>
      <c r="F190" s="1579"/>
      <c r="G190" s="1674"/>
      <c r="H190" s="1523"/>
      <c r="I190" s="1579"/>
      <c r="J190" s="487"/>
      <c r="K190" s="41" t="s">
        <v>1471</v>
      </c>
      <c r="M190" s="1754" t="str">
        <f t="shared" si="10"/>
        <v>No</v>
      </c>
    </row>
    <row r="191" spans="3:16" s="42" customFormat="1" hidden="1" x14ac:dyDescent="0.25">
      <c r="C191" s="72"/>
      <c r="D191" s="1195"/>
      <c r="E191" s="1195"/>
      <c r="F191" s="1579"/>
      <c r="G191" s="1674"/>
      <c r="H191" s="1523"/>
      <c r="I191" s="1579"/>
      <c r="J191" s="487"/>
      <c r="K191" s="41"/>
      <c r="M191" s="1754" t="str">
        <f>+M192</f>
        <v>No</v>
      </c>
    </row>
    <row r="192" spans="3:16" s="42" customFormat="1" hidden="1" x14ac:dyDescent="0.25">
      <c r="C192" s="241" t="str">
        <f>+"("&amp;O192&amp;")"&amp;P192</f>
        <v>(b) Unamortised expenses</v>
      </c>
      <c r="D192" s="1195"/>
      <c r="E192" s="1195"/>
      <c r="F192" s="1579"/>
      <c r="G192" s="1674"/>
      <c r="H192" s="1523"/>
      <c r="I192" s="1579"/>
      <c r="J192" s="487"/>
      <c r="K192" s="41"/>
      <c r="M192" s="1756" t="str">
        <f>IF(AND(M193="No",M194="No"),"No","Yes")</f>
        <v>No</v>
      </c>
      <c r="O192" s="42" t="str">
        <f>+IF(M187="yes",CHAR(CODE(O187)+1),O187)</f>
        <v>b</v>
      </c>
      <c r="P192" s="42" t="s">
        <v>1586</v>
      </c>
    </row>
    <row r="193" spans="3:16" s="42" customFormat="1" hidden="1" x14ac:dyDescent="0.25">
      <c r="C193" s="649" t="str">
        <f>+"("&amp;O193&amp;")"&amp;P193</f>
        <v>(i) Ancillary borrowing costs</v>
      </c>
      <c r="D193" s="1195">
        <f>+SUMIF('Master TB'!E:E,Assets!K193,'Master TB'!J:J)</f>
        <v>0</v>
      </c>
      <c r="E193" s="1195">
        <f>+SUMIF('Master TB'!$E:$E,Assets!K193,'Master TB'!$V:$V)</f>
        <v>0</v>
      </c>
      <c r="F193" s="1579"/>
      <c r="G193" s="1674"/>
      <c r="H193" s="1523"/>
      <c r="I193" s="1579"/>
      <c r="J193" s="487"/>
      <c r="K193" s="41" t="s">
        <v>1473</v>
      </c>
      <c r="M193" s="1754" t="str">
        <f t="shared" si="10"/>
        <v>No</v>
      </c>
      <c r="O193" s="42" t="s">
        <v>478</v>
      </c>
      <c r="P193" s="42" t="s">
        <v>1587</v>
      </c>
    </row>
    <row r="194" spans="3:16" s="42" customFormat="1" hidden="1" x14ac:dyDescent="0.25">
      <c r="C194" s="655" t="str">
        <f>+"("&amp;O194&amp;")"&amp;P194</f>
        <v>(i) Discount on shares (where applicable)</v>
      </c>
      <c r="D194" s="1195">
        <f>+SUMIF('Master TB'!E:E,Assets!K194,'Master TB'!J:J)</f>
        <v>0</v>
      </c>
      <c r="E194" s="1195">
        <f>+SUMIF('Master TB'!$E:$E,Assets!K194,'Master TB'!$V:$V)</f>
        <v>0</v>
      </c>
      <c r="F194" s="1579"/>
      <c r="G194" s="1674"/>
      <c r="H194" s="1523"/>
      <c r="I194" s="1579"/>
      <c r="J194" s="487"/>
      <c r="K194" s="41" t="s">
        <v>1475</v>
      </c>
      <c r="M194" s="1754" t="str">
        <f t="shared" si="10"/>
        <v>No</v>
      </c>
      <c r="O194" s="42" t="str">
        <f>+IF(M193="Yes",LOWER(ROMAN(_xlfn.ARABIC(O193)+1)),O193)</f>
        <v>i</v>
      </c>
      <c r="P194" s="42" t="s">
        <v>1588</v>
      </c>
    </row>
    <row r="195" spans="3:16" s="42" customFormat="1" hidden="1" x14ac:dyDescent="0.25">
      <c r="C195" s="72"/>
      <c r="D195" s="1195"/>
      <c r="E195" s="1195"/>
      <c r="F195" s="1579"/>
      <c r="G195" s="1674"/>
      <c r="H195" s="1523"/>
      <c r="I195" s="1579"/>
      <c r="J195" s="487"/>
      <c r="K195" s="41"/>
      <c r="M195" s="1754" t="str">
        <f>+M196</f>
        <v>No</v>
      </c>
    </row>
    <row r="196" spans="3:16" s="42" customFormat="1" hidden="1" x14ac:dyDescent="0.25">
      <c r="C196" s="241" t="str">
        <f>+"("&amp;O196&amp;")"&amp;P196</f>
        <v xml:space="preserve">(b) Accruals </v>
      </c>
      <c r="D196" s="1195"/>
      <c r="E196" s="1195"/>
      <c r="F196" s="1579"/>
      <c r="G196" s="1674"/>
      <c r="H196" s="1523"/>
      <c r="I196" s="1579"/>
      <c r="J196" s="487"/>
      <c r="K196" s="41"/>
      <c r="M196" s="1756" t="str">
        <f>IF(AND(M197="No",M198="No"),"No","Yes")</f>
        <v>No</v>
      </c>
      <c r="O196" s="42" t="str">
        <f>+IF(M192="yes",CHAR(CODE(O192)+1),O192)</f>
        <v>b</v>
      </c>
      <c r="P196" s="42" t="s">
        <v>1589</v>
      </c>
    </row>
    <row r="197" spans="3:16" s="42" customFormat="1" hidden="1" x14ac:dyDescent="0.25">
      <c r="C197" s="649" t="str">
        <f>+"("&amp;O197&amp;")"&amp;P197</f>
        <v>(i) Interest accrued on deposits</v>
      </c>
      <c r="D197" s="1195">
        <f>+SUMIF('Master TB'!E:E,Assets!K197,'Master TB'!J:J)</f>
        <v>0</v>
      </c>
      <c r="E197" s="1195">
        <f>+SUMIF('Master TB'!$E:$E,Assets!K197,'Master TB'!$V:$V)</f>
        <v>0</v>
      </c>
      <c r="F197" s="1579"/>
      <c r="G197" s="1523"/>
      <c r="H197" s="1523"/>
      <c r="I197" s="1579"/>
      <c r="J197" s="487"/>
      <c r="K197" s="41" t="s">
        <v>1477</v>
      </c>
      <c r="M197" s="1754" t="str">
        <f t="shared" si="10"/>
        <v>No</v>
      </c>
      <c r="O197" s="42" t="s">
        <v>478</v>
      </c>
      <c r="P197" s="42" t="s">
        <v>1590</v>
      </c>
    </row>
    <row r="198" spans="3:16" s="42" customFormat="1" hidden="1" x14ac:dyDescent="0.25">
      <c r="C198" s="649" t="str">
        <f>+"("&amp;O198&amp;")"&amp;P198</f>
        <v>(i) Interest accrued on investments</v>
      </c>
      <c r="D198" s="1195">
        <f>+SUMIF('Master TB'!E:E,Assets!K198,'Master TB'!J:J)</f>
        <v>0</v>
      </c>
      <c r="E198" s="1195">
        <f>+SUMIF('Master TB'!$E:$E,Assets!K198,'Master TB'!$V:$V)</f>
        <v>0</v>
      </c>
      <c r="F198" s="1579"/>
      <c r="G198" s="1523"/>
      <c r="H198" s="1523"/>
      <c r="I198" s="1579"/>
      <c r="J198" s="487"/>
      <c r="K198" s="41" t="s">
        <v>1479</v>
      </c>
      <c r="M198" s="1754" t="str">
        <f t="shared" si="10"/>
        <v>No</v>
      </c>
      <c r="O198" s="42" t="str">
        <f>+IF(M197="Yes",LOWER(ROMAN(_xlfn.ARABIC(O197)+1)),O197)</f>
        <v>i</v>
      </c>
      <c r="P198" s="42" t="s">
        <v>1591</v>
      </c>
    </row>
    <row r="199" spans="3:16" s="42" customFormat="1" hidden="1" x14ac:dyDescent="0.25">
      <c r="C199" s="602"/>
      <c r="D199" s="1195"/>
      <c r="E199" s="1195"/>
      <c r="F199" s="1579"/>
      <c r="G199" s="1523"/>
      <c r="H199" s="1523"/>
      <c r="I199" s="1579"/>
      <c r="J199" s="487"/>
      <c r="K199" s="41"/>
      <c r="M199" s="1754" t="str">
        <f>+M200</f>
        <v>No</v>
      </c>
    </row>
    <row r="200" spans="3:16" s="42" customFormat="1" hidden="1" x14ac:dyDescent="0.25">
      <c r="C200" s="37" t="str">
        <f>+"("&amp;O200&amp;")"&amp;P200</f>
        <v xml:space="preserve">(b) Others </v>
      </c>
      <c r="D200" s="1389"/>
      <c r="E200" s="1389"/>
      <c r="F200" s="1579"/>
      <c r="G200" s="841"/>
      <c r="H200" s="841"/>
      <c r="I200" s="1579"/>
      <c r="J200" s="487"/>
      <c r="K200" s="41"/>
      <c r="M200" s="1756" t="str">
        <f>IF(AND(M201="No",M202="No",M203="No",M204="No"),"No","Yes")</f>
        <v>No</v>
      </c>
      <c r="O200" s="42" t="str">
        <f>+IF(M196="yes",CHAR(CODE(O196)+1),O196)</f>
        <v>b</v>
      </c>
      <c r="P200" s="42" t="s">
        <v>1592</v>
      </c>
    </row>
    <row r="201" spans="3:16" s="42" customFormat="1" hidden="1" x14ac:dyDescent="0.25">
      <c r="C201" s="649" t="str">
        <f>+"("&amp;O201&amp;")"&amp;P201</f>
        <v>(i) Insurance claims</v>
      </c>
      <c r="D201" s="1195">
        <f>+SUMIF('Master TB'!E:E,Assets!K201,'Master TB'!J:J)</f>
        <v>0</v>
      </c>
      <c r="E201" s="1195">
        <f>+SUMIF('Master TB'!$E:$E,Assets!K201,'Master TB'!$V:$V)</f>
        <v>0</v>
      </c>
      <c r="F201" s="1579"/>
      <c r="G201" s="1523"/>
      <c r="H201" s="1523"/>
      <c r="I201" s="1579"/>
      <c r="J201" s="487"/>
      <c r="K201" s="41" t="s">
        <v>1481</v>
      </c>
      <c r="M201" s="1754" t="str">
        <f>IF(AND(D201=0,E201=0),"No","Yes")</f>
        <v>No</v>
      </c>
      <c r="O201" s="42" t="s">
        <v>478</v>
      </c>
      <c r="P201" s="42" t="s">
        <v>1593</v>
      </c>
    </row>
    <row r="202" spans="3:16" s="42" customFormat="1" hidden="1" x14ac:dyDescent="0.25">
      <c r="C202" s="649" t="str">
        <f>+"("&amp;O202&amp;")"&amp;P202</f>
        <v>(i) Receivables on sale of fixed assets</v>
      </c>
      <c r="D202" s="1195">
        <f>+SUMIF('Master TB'!E:E,Assets!K202,'Master TB'!J:J)</f>
        <v>0</v>
      </c>
      <c r="E202" s="1195">
        <f>+SUMIF('Master TB'!$E:$E,Assets!K202,'Master TB'!$V:$V)</f>
        <v>0</v>
      </c>
      <c r="F202" s="1579"/>
      <c r="G202" s="1523"/>
      <c r="H202" s="1523"/>
      <c r="I202" s="1579"/>
      <c r="J202" s="487"/>
      <c r="K202" s="41" t="s">
        <v>1483</v>
      </c>
      <c r="M202" s="1754" t="str">
        <f t="shared" si="10"/>
        <v>No</v>
      </c>
      <c r="O202" s="42" t="str">
        <f>+IF(M201="Yes",LOWER(ROMAN(_xlfn.ARABIC(O201)+1)),O201)</f>
        <v>i</v>
      </c>
      <c r="P202" s="42" t="s">
        <v>1594</v>
      </c>
    </row>
    <row r="203" spans="3:16" s="42" customFormat="1" hidden="1" x14ac:dyDescent="0.25">
      <c r="C203" s="649" t="str">
        <f>+"("&amp;O203&amp;")"&amp;P203</f>
        <v>(i) Contractually reimbursable expenses</v>
      </c>
      <c r="D203" s="1195">
        <f>+SUMIF('Master TB'!E:E,Assets!K203,'Master TB'!J:J)</f>
        <v>0</v>
      </c>
      <c r="E203" s="1195">
        <f>+SUMIF('Master TB'!$E:$E,Assets!K203,'Master TB'!$V:$V)</f>
        <v>0</v>
      </c>
      <c r="F203" s="1579"/>
      <c r="G203" s="1523"/>
      <c r="H203" s="1523"/>
      <c r="I203" s="1579"/>
      <c r="J203" s="487"/>
      <c r="K203" s="41" t="s">
        <v>1485</v>
      </c>
      <c r="M203" s="1754" t="str">
        <f t="shared" si="10"/>
        <v>No</v>
      </c>
      <c r="O203" s="42" t="str">
        <f>+IF(M202="Yes",LOWER(ROMAN(_xlfn.ARABIC(O202)+1)),O202)</f>
        <v>i</v>
      </c>
      <c r="P203" s="42" t="s">
        <v>1595</v>
      </c>
    </row>
    <row r="204" spans="3:16" s="42" customFormat="1" hidden="1" x14ac:dyDescent="0.25">
      <c r="C204" s="649" t="str">
        <f>+"("&amp;O204&amp;")"&amp;P204</f>
        <v>(i) Others</v>
      </c>
      <c r="D204" s="1195">
        <f>+SUMIF('Master TB'!E:E,Assets!K204,'Master TB'!J:J)</f>
        <v>0</v>
      </c>
      <c r="E204" s="1195">
        <f>+SUMIF('Master TB'!$E:$E,Assets!K204,'Master TB'!$V:$V)</f>
        <v>0</v>
      </c>
      <c r="F204" s="1579"/>
      <c r="G204" s="1523"/>
      <c r="H204" s="1523"/>
      <c r="I204" s="1579"/>
      <c r="J204" s="487"/>
      <c r="K204" s="41" t="s">
        <v>1487</v>
      </c>
      <c r="M204" s="1754" t="str">
        <f t="shared" si="10"/>
        <v>No</v>
      </c>
      <c r="O204" s="42" t="str">
        <f>+IF(M203="Yes",LOWER(ROMAN(_xlfn.ARABIC(O203)+1)),O203)</f>
        <v>i</v>
      </c>
      <c r="P204" s="42" t="s">
        <v>1968</v>
      </c>
    </row>
    <row r="205" spans="3:16" s="42" customFormat="1" x14ac:dyDescent="0.25">
      <c r="C205" s="1957" t="s">
        <v>35</v>
      </c>
      <c r="D205" s="1958">
        <f>SUM(D183:D204)</f>
        <v>18086</v>
      </c>
      <c r="E205" s="1958">
        <f>SUM(E183:E204)</f>
        <v>16640</v>
      </c>
      <c r="F205" s="841"/>
      <c r="G205" s="1579"/>
      <c r="H205" s="1579"/>
      <c r="I205" s="1579"/>
      <c r="J205" s="487"/>
      <c r="K205" s="41"/>
      <c r="M205" s="1754" t="str">
        <f t="shared" si="10"/>
        <v>Yes</v>
      </c>
    </row>
    <row r="206" spans="3:16" s="42" customFormat="1" x14ac:dyDescent="0.25">
      <c r="C206" s="234"/>
      <c r="D206" s="1172"/>
      <c r="E206" s="1172"/>
      <c r="F206" s="841"/>
      <c r="G206" s="1579"/>
      <c r="H206" s="1579"/>
      <c r="I206" s="1579"/>
      <c r="J206" s="487"/>
      <c r="K206" s="41"/>
      <c r="M206" s="1754" t="str">
        <f>+M207</f>
        <v>Yes</v>
      </c>
    </row>
    <row r="207" spans="3:16" s="42" customFormat="1" hidden="1" x14ac:dyDescent="0.25">
      <c r="C207" s="17" t="str">
        <f>+"Note "&amp;'Balance Sheet'!E53&amp;"A: Trade Receivables ageing schedule"</f>
        <v>Note 10A: Trade Receivables ageing schedule</v>
      </c>
      <c r="D207" s="1209"/>
      <c r="E207" s="1209"/>
      <c r="F207" s="841"/>
      <c r="G207" s="841"/>
      <c r="H207" s="841"/>
      <c r="I207" s="1579"/>
      <c r="J207" s="1337"/>
      <c r="K207" s="41"/>
      <c r="M207" s="1756" t="str">
        <f>IF(AND(M210="No",M211="No",M212="No",M213="No"),"No","Yes")</f>
        <v>Yes</v>
      </c>
    </row>
    <row r="208" spans="3:16" s="42" customFormat="1" hidden="1" x14ac:dyDescent="0.25">
      <c r="C208" s="2858" t="s">
        <v>20</v>
      </c>
      <c r="D208" s="2765" t="s">
        <v>1166</v>
      </c>
      <c r="E208" s="2860"/>
      <c r="F208" s="2860"/>
      <c r="G208" s="2860"/>
      <c r="H208" s="2860"/>
      <c r="I208" s="2856" t="s">
        <v>35</v>
      </c>
      <c r="J208" s="1337"/>
      <c r="K208" s="41"/>
      <c r="M208" s="1754" t="str">
        <f>+M207</f>
        <v>Yes</v>
      </c>
    </row>
    <row r="209" spans="3:16" s="42" customFormat="1" hidden="1" x14ac:dyDescent="0.25">
      <c r="C209" s="2859"/>
      <c r="D209" s="1948" t="s">
        <v>861</v>
      </c>
      <c r="E209" s="1948" t="s">
        <v>860</v>
      </c>
      <c r="F209" s="1948" t="s">
        <v>854</v>
      </c>
      <c r="G209" s="1948" t="s">
        <v>855</v>
      </c>
      <c r="H209" s="1959" t="s">
        <v>856</v>
      </c>
      <c r="I209" s="2857" t="s">
        <v>35</v>
      </c>
      <c r="J209" s="1337"/>
      <c r="K209" s="41"/>
      <c r="M209" s="1756" t="str">
        <f>+M208</f>
        <v>Yes</v>
      </c>
    </row>
    <row r="210" spans="3:16" s="42" customFormat="1" hidden="1" x14ac:dyDescent="0.25">
      <c r="C210" s="1229" t="str">
        <f>+"("&amp;O210&amp;")"&amp;P210</f>
        <v>(i) Undisputed Trade Receivables – considered good</v>
      </c>
      <c r="D210" s="824">
        <f>+'Qualitative Disclosures'!D936</f>
        <v>500230.63</v>
      </c>
      <c r="E210" s="825">
        <f>+'Qualitative Disclosures'!E936</f>
        <v>133.53</v>
      </c>
      <c r="F210" s="845">
        <f>+'Qualitative Disclosures'!F858</f>
        <v>0</v>
      </c>
      <c r="G210" s="846">
        <f>+'Qualitative Disclosures'!G858</f>
        <v>0</v>
      </c>
      <c r="H210" s="846">
        <f>+'Qualitative Disclosures'!H858</f>
        <v>0</v>
      </c>
      <c r="I210" s="846">
        <f>SUM(D210:H210)</f>
        <v>500364.16000000003</v>
      </c>
      <c r="J210" s="1337"/>
      <c r="K210" s="41"/>
      <c r="M210" s="1754" t="str">
        <f>IF(I210=0,"No","Yes")</f>
        <v>Yes</v>
      </c>
      <c r="O210" s="42" t="s">
        <v>478</v>
      </c>
      <c r="P210" s="42" t="s">
        <v>1596</v>
      </c>
    </row>
    <row r="211" spans="3:16" s="42" customFormat="1" hidden="1" x14ac:dyDescent="0.25">
      <c r="C211" s="1229" t="str">
        <f>+"("&amp;O211&amp;")"&amp;P211</f>
        <v>(ii) Undisputed Trade Receivables – considered doubtful</v>
      </c>
      <c r="D211" s="824">
        <f>+'Qualitative Disclosures'!D859</f>
        <v>0</v>
      </c>
      <c r="E211" s="825">
        <f>+'Qualitative Disclosures'!E859</f>
        <v>0</v>
      </c>
      <c r="F211" s="845">
        <f>+'Qualitative Disclosures'!F859</f>
        <v>0</v>
      </c>
      <c r="G211" s="846">
        <f>+'Qualitative Disclosures'!G859</f>
        <v>0</v>
      </c>
      <c r="H211" s="846">
        <f>+'Qualitative Disclosures'!H859</f>
        <v>0</v>
      </c>
      <c r="I211" s="846">
        <f>SUM(D211:H211)</f>
        <v>0</v>
      </c>
      <c r="J211" s="1337"/>
      <c r="K211" s="41"/>
      <c r="M211" s="1754" t="str">
        <f>IF(I211=0,"No","Yes")</f>
        <v>No</v>
      </c>
      <c r="O211" s="42" t="s">
        <v>1623</v>
      </c>
      <c r="P211" s="42" t="s">
        <v>1597</v>
      </c>
    </row>
    <row r="212" spans="3:16" s="42" customFormat="1" hidden="1" x14ac:dyDescent="0.25">
      <c r="C212" s="1229" t="str">
        <f>+"("&amp;O212&amp;")"&amp;P212</f>
        <v>(iii) Disputed Trade Receivables – considered good</v>
      </c>
      <c r="D212" s="824">
        <f>+'Qualitative Disclosures'!D860</f>
        <v>0</v>
      </c>
      <c r="E212" s="825">
        <f>+'Qualitative Disclosures'!E860</f>
        <v>0</v>
      </c>
      <c r="F212" s="845">
        <f>+'Qualitative Disclosures'!F860</f>
        <v>0</v>
      </c>
      <c r="G212" s="846">
        <f>+'Qualitative Disclosures'!G860</f>
        <v>0</v>
      </c>
      <c r="H212" s="846">
        <f>+'Qualitative Disclosures'!H860</f>
        <v>0</v>
      </c>
      <c r="I212" s="846">
        <f>SUM(D212:H212)</f>
        <v>0</v>
      </c>
      <c r="J212" s="1337"/>
      <c r="K212" s="41"/>
      <c r="M212" s="1754" t="str">
        <f>IF(I212=0,"No","Yes")</f>
        <v>No</v>
      </c>
      <c r="O212" s="42" t="s">
        <v>1624</v>
      </c>
      <c r="P212" s="42" t="s">
        <v>1598</v>
      </c>
    </row>
    <row r="213" spans="3:16" s="42" customFormat="1" hidden="1" x14ac:dyDescent="0.25">
      <c r="C213" s="1230" t="str">
        <f>+"("&amp;O213&amp;")"&amp;P213</f>
        <v>(iv) Disputed Trade Receivables – considered doubtful</v>
      </c>
      <c r="D213" s="1641">
        <f>+'Qualitative Disclosures'!D861</f>
        <v>0</v>
      </c>
      <c r="E213" s="942">
        <f>+'Qualitative Disclosures'!E861</f>
        <v>0</v>
      </c>
      <c r="F213" s="942">
        <f>+'Qualitative Disclosures'!F861</f>
        <v>0</v>
      </c>
      <c r="G213" s="1533">
        <f>+'Qualitative Disclosures'!G861</f>
        <v>0</v>
      </c>
      <c r="H213" s="1533">
        <f>+'Qualitative Disclosures'!H861</f>
        <v>0</v>
      </c>
      <c r="I213" s="1533">
        <f>SUM(D213:H213)</f>
        <v>0</v>
      </c>
      <c r="J213" s="1337"/>
      <c r="K213" s="41"/>
      <c r="M213" s="1754" t="str">
        <f>IF(I213=0,"No","Yes")</f>
        <v>No</v>
      </c>
      <c r="O213" s="42" t="s">
        <v>1625</v>
      </c>
      <c r="P213" s="42" t="s">
        <v>1599</v>
      </c>
    </row>
    <row r="214" spans="3:16" s="42" customFormat="1" hidden="1" x14ac:dyDescent="0.25">
      <c r="C214" s="1231"/>
      <c r="D214" s="841"/>
      <c r="E214" s="841"/>
      <c r="F214" s="841"/>
      <c r="G214" s="841"/>
      <c r="H214" s="841"/>
      <c r="I214" s="841"/>
      <c r="J214" s="1337"/>
      <c r="K214" s="41"/>
      <c r="M214" s="1754" t="str">
        <f>+M215</f>
        <v>No</v>
      </c>
    </row>
    <row r="215" spans="3:16" s="42" customFormat="1" hidden="1" x14ac:dyDescent="0.25">
      <c r="C215" s="1500" t="str">
        <f>+IF(Footnotes!C97="","",Footnotes!C97)</f>
        <v/>
      </c>
      <c r="D215" s="1536" t="str">
        <f>+IF(Footnotes!D97="","",Footnotes!D97)</f>
        <v/>
      </c>
      <c r="E215" s="1536" t="str">
        <f>+IF(Footnotes!E97="","",Footnotes!E97)</f>
        <v/>
      </c>
      <c r="F215" s="1536" t="str">
        <f>+IF(Footnotes!F97="","",Footnotes!F97)</f>
        <v/>
      </c>
      <c r="G215" s="1536" t="str">
        <f>+IF(Footnotes!G97="","",Footnotes!G97)</f>
        <v/>
      </c>
      <c r="H215" s="1536" t="str">
        <f>+IF(Footnotes!H97="","",Footnotes!H97)</f>
        <v/>
      </c>
      <c r="I215" s="1536" t="str">
        <f>+IF(Footnotes!I97="","",Footnotes!I97)</f>
        <v/>
      </c>
      <c r="J215" s="1337"/>
      <c r="K215" s="41"/>
      <c r="M215" s="1756" t="str">
        <f>+IF(AND(C215="",D215="",E215="",F215="",G215="",H215="",I215=""),"No","Yes")</f>
        <v>No</v>
      </c>
    </row>
    <row r="216" spans="3:16" s="42" customFormat="1" hidden="1" x14ac:dyDescent="0.25">
      <c r="C216" s="1500" t="str">
        <f>+IF(Footnotes!C98="","",Footnotes!C98)</f>
        <v/>
      </c>
      <c r="D216" s="1536" t="str">
        <f>+IF(Footnotes!D98="","",Footnotes!D98)</f>
        <v/>
      </c>
      <c r="E216" s="1536" t="str">
        <f>+IF(Footnotes!E98="","",Footnotes!E98)</f>
        <v/>
      </c>
      <c r="F216" s="1536" t="str">
        <f>+IF(Footnotes!F98="","",Footnotes!F98)</f>
        <v/>
      </c>
      <c r="G216" s="1536" t="str">
        <f>+IF(Footnotes!G98="","",Footnotes!G98)</f>
        <v/>
      </c>
      <c r="H216" s="1536" t="str">
        <f>+IF(Footnotes!H98="","",Footnotes!H98)</f>
        <v/>
      </c>
      <c r="I216" s="1536" t="str">
        <f>+IF(Footnotes!I98="","",Footnotes!I98)</f>
        <v/>
      </c>
      <c r="J216" s="1337"/>
      <c r="K216" s="41"/>
      <c r="M216" s="1756" t="str">
        <f t="shared" ref="M216:M221" si="11">+IF(AND(C216="",D216="",E216="",F216="",G216="",H216="",I216=""),"No","Yes")</f>
        <v>No</v>
      </c>
    </row>
    <row r="217" spans="3:16" s="42" customFormat="1" hidden="1" x14ac:dyDescent="0.25">
      <c r="C217" s="1500" t="str">
        <f>+IF(Footnotes!C99="","",Footnotes!C99)</f>
        <v/>
      </c>
      <c r="D217" s="1536" t="str">
        <f>+IF(Footnotes!D99="","",Footnotes!D99)</f>
        <v/>
      </c>
      <c r="E217" s="1536" t="str">
        <f>+IF(Footnotes!E99="","",Footnotes!E99)</f>
        <v/>
      </c>
      <c r="F217" s="1536" t="str">
        <f>+IF(Footnotes!F99="","",Footnotes!F99)</f>
        <v/>
      </c>
      <c r="G217" s="1536" t="str">
        <f>+IF(Footnotes!G99="","",Footnotes!G99)</f>
        <v/>
      </c>
      <c r="H217" s="1536" t="str">
        <f>+IF(Footnotes!H99="","",Footnotes!H99)</f>
        <v/>
      </c>
      <c r="I217" s="1536" t="str">
        <f>+IF(Footnotes!I99="","",Footnotes!I99)</f>
        <v/>
      </c>
      <c r="J217" s="1337"/>
      <c r="K217" s="41"/>
      <c r="M217" s="1756" t="str">
        <f t="shared" si="11"/>
        <v>No</v>
      </c>
    </row>
    <row r="218" spans="3:16" s="42" customFormat="1" hidden="1" x14ac:dyDescent="0.25">
      <c r="C218" s="1500" t="str">
        <f>+IF(Footnotes!C100="","",Footnotes!C100)</f>
        <v/>
      </c>
      <c r="D218" s="1536" t="str">
        <f>+IF(Footnotes!D100="","",Footnotes!D100)</f>
        <v/>
      </c>
      <c r="E218" s="1536" t="str">
        <f>+IF(Footnotes!E100="","",Footnotes!E100)</f>
        <v/>
      </c>
      <c r="F218" s="1536" t="str">
        <f>+IF(Footnotes!F100="","",Footnotes!F100)</f>
        <v/>
      </c>
      <c r="G218" s="1536" t="str">
        <f>+IF(Footnotes!G100="","",Footnotes!G100)</f>
        <v/>
      </c>
      <c r="H218" s="1536" t="str">
        <f>+IF(Footnotes!H100="","",Footnotes!H100)</f>
        <v/>
      </c>
      <c r="I218" s="1536" t="str">
        <f>+IF(Footnotes!I100="","",Footnotes!I100)</f>
        <v/>
      </c>
      <c r="J218" s="1337"/>
      <c r="K218" s="41"/>
      <c r="M218" s="1756" t="str">
        <f t="shared" si="11"/>
        <v>No</v>
      </c>
    </row>
    <row r="219" spans="3:16" s="42" customFormat="1" hidden="1" x14ac:dyDescent="0.25">
      <c r="C219" s="1500" t="str">
        <f>+IF(Footnotes!C101="","",Footnotes!C101)</f>
        <v/>
      </c>
      <c r="D219" s="1536" t="str">
        <f>+IF(Footnotes!D101="","",Footnotes!D101)</f>
        <v/>
      </c>
      <c r="E219" s="1536" t="str">
        <f>+IF(Footnotes!E101="","",Footnotes!E101)</f>
        <v/>
      </c>
      <c r="F219" s="1536" t="str">
        <f>+IF(Footnotes!F101="","",Footnotes!F101)</f>
        <v/>
      </c>
      <c r="G219" s="1536" t="str">
        <f>+IF(Footnotes!G101="","",Footnotes!G101)</f>
        <v/>
      </c>
      <c r="H219" s="1536" t="str">
        <f>+IF(Footnotes!H101="","",Footnotes!H101)</f>
        <v/>
      </c>
      <c r="I219" s="1536" t="str">
        <f>+IF(Footnotes!I101="","",Footnotes!I101)</f>
        <v/>
      </c>
      <c r="J219" s="1337"/>
      <c r="K219" s="41"/>
      <c r="M219" s="1756" t="str">
        <f t="shared" si="11"/>
        <v>No</v>
      </c>
    </row>
    <row r="220" spans="3:16" s="42" customFormat="1" hidden="1" x14ac:dyDescent="0.25">
      <c r="C220" s="1500" t="str">
        <f>+IF(Footnotes!C102="","",Footnotes!C102)</f>
        <v/>
      </c>
      <c r="D220" s="1536" t="str">
        <f>+IF(Footnotes!D102="","",Footnotes!D102)</f>
        <v/>
      </c>
      <c r="E220" s="1536" t="str">
        <f>+IF(Footnotes!E102="","",Footnotes!E102)</f>
        <v/>
      </c>
      <c r="F220" s="1536" t="str">
        <f>+IF(Footnotes!F102="","",Footnotes!F102)</f>
        <v/>
      </c>
      <c r="G220" s="1536" t="str">
        <f>+IF(Footnotes!G102="","",Footnotes!G102)</f>
        <v/>
      </c>
      <c r="H220" s="1536" t="str">
        <f>+IF(Footnotes!H102="","",Footnotes!H102)</f>
        <v/>
      </c>
      <c r="I220" s="1536" t="str">
        <f>+IF(Footnotes!I102="","",Footnotes!I102)</f>
        <v/>
      </c>
      <c r="J220" s="1337"/>
      <c r="K220" s="41"/>
      <c r="M220" s="1756" t="str">
        <f t="shared" si="11"/>
        <v>No</v>
      </c>
    </row>
    <row r="221" spans="3:16" s="42" customFormat="1" hidden="1" x14ac:dyDescent="0.25">
      <c r="C221" s="1421" t="str">
        <f>+IF(Footnotes!C103="","",Footnotes!C103)</f>
        <v/>
      </c>
      <c r="D221" s="1642" t="str">
        <f>+IF(Footnotes!D103="","",Footnotes!D103)</f>
        <v/>
      </c>
      <c r="E221" s="1658" t="str">
        <f>+IF(Footnotes!E103="","",Footnotes!E103)</f>
        <v/>
      </c>
      <c r="F221" s="1669" t="str">
        <f>+IF(Footnotes!F103="","",Footnotes!F103)</f>
        <v/>
      </c>
      <c r="G221" s="1669" t="str">
        <f>+IF(Footnotes!G103="","",Footnotes!G103)</f>
        <v/>
      </c>
      <c r="H221" s="1669" t="str">
        <f>+IF(Footnotes!H103="","",Footnotes!H103)</f>
        <v/>
      </c>
      <c r="I221" s="1669" t="str">
        <f>+IF(Footnotes!I103="","",Footnotes!I103)</f>
        <v/>
      </c>
      <c r="J221" s="1337"/>
      <c r="K221" s="41"/>
      <c r="M221" s="1756" t="str">
        <f t="shared" si="11"/>
        <v>No</v>
      </c>
    </row>
    <row r="222" spans="3:16" s="42" customFormat="1" hidden="1" x14ac:dyDescent="0.25">
      <c r="C222" s="19"/>
      <c r="D222" s="1609"/>
      <c r="E222" s="1579"/>
      <c r="F222" s="1510"/>
      <c r="G222" s="1510"/>
      <c r="H222" s="1510"/>
      <c r="I222" s="1510"/>
      <c r="J222" s="487"/>
      <c r="K222" s="41"/>
      <c r="M222" s="1754" t="str">
        <f>+M223</f>
        <v>No</v>
      </c>
    </row>
    <row r="223" spans="3:16" s="42" customFormat="1" hidden="1" x14ac:dyDescent="0.25">
      <c r="C223" s="101" t="str">
        <f>+"Note "&amp;'Balance Sheet'!E57&amp;" : Current investments"</f>
        <v>Note 9 : Current investments</v>
      </c>
      <c r="D223" s="1510"/>
      <c r="E223" s="1510"/>
      <c r="F223" s="841"/>
      <c r="G223" s="1510"/>
      <c r="H223" s="1510"/>
      <c r="I223" s="1510"/>
      <c r="J223" s="1337"/>
      <c r="K223" s="41"/>
      <c r="M223" s="1754" t="str">
        <f>+M224</f>
        <v>No</v>
      </c>
    </row>
    <row r="224" spans="3:16" s="42" customFormat="1" hidden="1" x14ac:dyDescent="0.25">
      <c r="C224" s="17"/>
      <c r="D224" s="1567"/>
      <c r="E224" s="1510"/>
      <c r="F224" s="841"/>
      <c r="G224" s="1510"/>
      <c r="H224" s="1510"/>
      <c r="I224" s="1510"/>
      <c r="J224" s="1337"/>
      <c r="K224" s="41"/>
      <c r="M224" s="1754" t="str">
        <f>+M225</f>
        <v>No</v>
      </c>
    </row>
    <row r="225" spans="3:16" s="42" customFormat="1" ht="30" hidden="1" x14ac:dyDescent="0.25">
      <c r="C225" s="1929" t="s">
        <v>20</v>
      </c>
      <c r="D225" s="1951" t="str">
        <f>+BSCY</f>
        <v>As At 31st March 2025</v>
      </c>
      <c r="E225" s="1951" t="str">
        <f>+BSPY</f>
        <v>As At 31st March 2024</v>
      </c>
      <c r="F225" s="1510"/>
      <c r="G225" s="1510"/>
      <c r="H225" s="1510"/>
      <c r="I225" s="1678"/>
      <c r="J225" s="41"/>
      <c r="L225" s="3"/>
      <c r="M225" s="1755" t="str">
        <f>+IF(AND(M228="No",M237="No",M244="No",M248="No",M256="No",M258="No",M260="No"),"No","Yes")</f>
        <v>No</v>
      </c>
    </row>
    <row r="226" spans="3:16" s="42" customFormat="1" hidden="1" x14ac:dyDescent="0.25">
      <c r="C226" s="129"/>
      <c r="D226" s="1643"/>
      <c r="E226" s="1659"/>
      <c r="F226" s="1510"/>
      <c r="G226" s="1510"/>
      <c r="H226" s="1510"/>
      <c r="I226" s="1678"/>
      <c r="J226" s="41"/>
      <c r="L226" s="3"/>
      <c r="M226" s="1755" t="str">
        <f>+M225</f>
        <v>No</v>
      </c>
    </row>
    <row r="227" spans="3:16" s="42" customFormat="1" ht="33" hidden="1" x14ac:dyDescent="0.25">
      <c r="C227" s="166" t="s">
        <v>1814</v>
      </c>
      <c r="D227" s="1644"/>
      <c r="E227" s="835"/>
      <c r="F227" s="1510"/>
      <c r="G227" s="1510"/>
      <c r="H227" s="1510"/>
      <c r="I227" s="1678"/>
      <c r="J227" s="41"/>
      <c r="L227" s="3"/>
      <c r="M227" s="1755" t="str">
        <f>+IF(AND(M228="No",M237="No",M244="No",M248="No",M256="No",M258="No",M260="No"),"No","Yes")</f>
        <v>No</v>
      </c>
    </row>
    <row r="228" spans="3:16" s="42" customFormat="1" ht="33" hidden="1" x14ac:dyDescent="0.3">
      <c r="C228" s="120" t="str">
        <f>+"("&amp;O228&amp;") "&amp;P228</f>
        <v>(a) Investment in equity instruments (give details separately for fully / partly paid up instruments)</v>
      </c>
      <c r="D228" s="1645"/>
      <c r="E228" s="1645"/>
      <c r="F228" s="1510"/>
      <c r="G228" s="1510"/>
      <c r="H228" s="1510"/>
      <c r="I228" s="1678"/>
      <c r="J228" s="41"/>
      <c r="L228" s="3"/>
      <c r="M228" s="1755" t="str">
        <f>+IF(AND(M229="No",M230="No",M231="No",M232="No",M233="No",M234="No"),"No","Yes")</f>
        <v>No</v>
      </c>
      <c r="O228" s="42" t="s">
        <v>1562</v>
      </c>
      <c r="P228" s="42" t="s">
        <v>560</v>
      </c>
    </row>
    <row r="229" spans="3:16" s="42" customFormat="1" hidden="1" x14ac:dyDescent="0.3">
      <c r="C229" s="1332" t="str">
        <f t="shared" ref="C229:C234" si="12">+"("&amp;O229&amp;") "&amp;P229</f>
        <v>(i) of subsidiaries</v>
      </c>
      <c r="D229" s="1403">
        <f>+'Qualitative Disclosures'!D870</f>
        <v>0</v>
      </c>
      <c r="E229" s="1403">
        <f>+'Qualitative Disclosures'!E870</f>
        <v>0</v>
      </c>
      <c r="F229" s="1510"/>
      <c r="G229" s="1510"/>
      <c r="H229" s="1510"/>
      <c r="I229" s="1678"/>
      <c r="J229" s="41"/>
      <c r="L229" s="3"/>
      <c r="M229" s="1754" t="str">
        <f>IF(AND(D229=0,E229=0),"No","Yes")</f>
        <v>No</v>
      </c>
      <c r="O229" s="42" t="s">
        <v>478</v>
      </c>
      <c r="P229" s="42" t="s">
        <v>1821</v>
      </c>
    </row>
    <row r="230" spans="3:16" s="42" customFormat="1" hidden="1" x14ac:dyDescent="0.3">
      <c r="C230" s="1332" t="str">
        <f t="shared" si="12"/>
        <v>(i) of associates</v>
      </c>
      <c r="D230" s="1403">
        <f>+'Qualitative Disclosures'!D871</f>
        <v>0</v>
      </c>
      <c r="E230" s="1403">
        <f>+'Qualitative Disclosures'!E871</f>
        <v>0</v>
      </c>
      <c r="F230" s="1510"/>
      <c r="G230" s="1510"/>
      <c r="H230" s="1510"/>
      <c r="I230" s="1678"/>
      <c r="J230" s="41"/>
      <c r="L230" s="3"/>
      <c r="M230" s="1754" t="str">
        <f t="shared" ref="M230:M235" si="13">IF(AND(D230=0,E230=0),"No","Yes")</f>
        <v>No</v>
      </c>
      <c r="O230" s="42" t="str">
        <f>+IF(M229="Yes",LOWER(ROMAN(_xlfn.ARABIC(O229)+1)),O229)</f>
        <v>i</v>
      </c>
      <c r="P230" s="42" t="s">
        <v>1822</v>
      </c>
    </row>
    <row r="231" spans="3:16" s="42" customFormat="1" hidden="1" x14ac:dyDescent="0.3">
      <c r="C231" s="1332" t="str">
        <f t="shared" si="12"/>
        <v>(i) of joint ventures - jointly controlled entities</v>
      </c>
      <c r="D231" s="1403">
        <f>+'Qualitative Disclosures'!D872</f>
        <v>0</v>
      </c>
      <c r="E231" s="1403">
        <f>+'Qualitative Disclosures'!E872</f>
        <v>0</v>
      </c>
      <c r="F231" s="1510"/>
      <c r="G231" s="1510"/>
      <c r="H231" s="1510"/>
      <c r="I231" s="1678"/>
      <c r="J231" s="41"/>
      <c r="L231" s="3"/>
      <c r="M231" s="1754" t="str">
        <f t="shared" si="13"/>
        <v>No</v>
      </c>
      <c r="O231" s="42" t="str">
        <f>+IF(M230="Yes",LOWER(ROMAN(_xlfn.ARABIC(O230)+1)),O230)</f>
        <v>i</v>
      </c>
      <c r="P231" s="42" t="s">
        <v>1823</v>
      </c>
    </row>
    <row r="232" spans="3:16" s="42" customFormat="1" hidden="1" x14ac:dyDescent="0.3">
      <c r="C232" s="1332" t="str">
        <f t="shared" si="12"/>
        <v>(i) of controlled special purpose entities</v>
      </c>
      <c r="D232" s="1403">
        <f>+'Qualitative Disclosures'!D873</f>
        <v>0</v>
      </c>
      <c r="E232" s="1403">
        <f>+'Qualitative Disclosures'!E873</f>
        <v>0</v>
      </c>
      <c r="F232" s="1510"/>
      <c r="G232" s="1510"/>
      <c r="H232" s="1510"/>
      <c r="I232" s="1678"/>
      <c r="J232" s="41"/>
      <c r="L232" s="3"/>
      <c r="M232" s="1754" t="str">
        <f t="shared" si="13"/>
        <v>No</v>
      </c>
      <c r="O232" s="42" t="str">
        <f>+IF(M231="Yes",LOWER(ROMAN(_xlfn.ARABIC(O231)+1)),O231)</f>
        <v>i</v>
      </c>
      <c r="P232" s="42" t="s">
        <v>1824</v>
      </c>
    </row>
    <row r="233" spans="3:16" s="42" customFormat="1" hidden="1" x14ac:dyDescent="0.3">
      <c r="C233" s="1332" t="str">
        <f t="shared" si="12"/>
        <v>(i) of other entities (give details) (Example: any other quoted shares)</v>
      </c>
      <c r="D233" s="1403">
        <f>+'Qualitative Disclosures'!D874</f>
        <v>0</v>
      </c>
      <c r="E233" s="1403">
        <f>+'Qualitative Disclosures'!E874</f>
        <v>0</v>
      </c>
      <c r="F233" s="1510"/>
      <c r="G233" s="1510"/>
      <c r="H233" s="1510"/>
      <c r="I233" s="1678"/>
      <c r="J233" s="41"/>
      <c r="L233" s="3"/>
      <c r="M233" s="1754" t="str">
        <f t="shared" si="13"/>
        <v>No</v>
      </c>
      <c r="O233" s="42" t="str">
        <f>+IF(M232="Yes",LOWER(ROMAN(_xlfn.ARABIC(O232)+1)),O232)</f>
        <v>i</v>
      </c>
      <c r="P233" s="42" t="s">
        <v>1825</v>
      </c>
    </row>
    <row r="234" spans="3:16" s="42" customFormat="1" hidden="1" x14ac:dyDescent="0.3">
      <c r="C234" s="1332" t="str">
        <f t="shared" si="12"/>
        <v>(i) of other entities (give details) (Example: any other unquoted shares)</v>
      </c>
      <c r="D234" s="1404">
        <f>+'Qualitative Disclosures'!D875</f>
        <v>0</v>
      </c>
      <c r="E234" s="1404">
        <f>+'Qualitative Disclosures'!E875</f>
        <v>0</v>
      </c>
      <c r="F234" s="1510"/>
      <c r="G234" s="1510"/>
      <c r="H234" s="1510"/>
      <c r="I234" s="1678"/>
      <c r="J234" s="41"/>
      <c r="L234" s="3"/>
      <c r="M234" s="1754" t="str">
        <f t="shared" si="13"/>
        <v>No</v>
      </c>
      <c r="O234" s="42" t="str">
        <f>+IF(M233="Yes",LOWER(ROMAN(_xlfn.ARABIC(O233)+1)),O233)</f>
        <v>i</v>
      </c>
      <c r="P234" s="42" t="s">
        <v>1826</v>
      </c>
    </row>
    <row r="235" spans="3:16" s="42" customFormat="1" hidden="1" x14ac:dyDescent="0.3">
      <c r="C235" s="1332"/>
      <c r="D235" s="831">
        <f>+SUMIF('Master TB'!$E:$E,Assets!K235,'Master TB'!$J:$J)</f>
        <v>0</v>
      </c>
      <c r="E235" s="831">
        <f>+SUMIF('Master TB'!$E:$E,Assets!K235,'Master TB'!$V:$V)</f>
        <v>0</v>
      </c>
      <c r="F235" s="1510"/>
      <c r="G235" s="1510"/>
      <c r="H235" s="1510"/>
      <c r="I235" s="1678"/>
      <c r="J235" s="41"/>
      <c r="K235" s="42" t="s">
        <v>1831</v>
      </c>
      <c r="L235" s="1740" t="str">
        <f>+IF(AND(SUM(D229:D234)=D235,SUM(E229:E234)=E235),"Correct Disclosures Given","Incorrect Disclosures Given")</f>
        <v>Correct Disclosures Given</v>
      </c>
      <c r="M235" s="1754" t="str">
        <f t="shared" si="13"/>
        <v>No</v>
      </c>
    </row>
    <row r="236" spans="3:16" s="42" customFormat="1" hidden="1" x14ac:dyDescent="0.3">
      <c r="C236" s="1333"/>
      <c r="D236" s="1645"/>
      <c r="E236" s="1645"/>
      <c r="F236" s="1510"/>
      <c r="G236" s="1510"/>
      <c r="H236" s="1510"/>
      <c r="I236" s="1678"/>
      <c r="J236" s="41"/>
      <c r="L236" s="3"/>
      <c r="M236" s="1755" t="str">
        <f>+M228</f>
        <v>No</v>
      </c>
    </row>
    <row r="237" spans="3:16" s="42" customFormat="1" ht="33" hidden="1" x14ac:dyDescent="0.3">
      <c r="C237" s="822" t="str">
        <f t="shared" ref="C237:C242" si="14">+"("&amp;O237&amp;") "&amp;P237</f>
        <v>(a) Investment in preference shares (give details separately for fully / partly paid up shares)</v>
      </c>
      <c r="D237" s="1645"/>
      <c r="E237" s="1645"/>
      <c r="F237" s="1510"/>
      <c r="G237" s="1510"/>
      <c r="H237" s="1510"/>
      <c r="I237" s="1678"/>
      <c r="J237" s="41"/>
      <c r="L237" s="3"/>
      <c r="M237" s="1755" t="str">
        <f>+IF(AND(M238="No",M239="No",M240="No",M241="No",M242="No"),"No","Yes")</f>
        <v>No</v>
      </c>
      <c r="O237" s="42" t="str">
        <f>+IF(M228="yes",CHAR(CODE(O228)+1),O228)</f>
        <v>a</v>
      </c>
      <c r="P237" s="42" t="s">
        <v>1815</v>
      </c>
    </row>
    <row r="238" spans="3:16" s="42" customFormat="1" hidden="1" x14ac:dyDescent="0.3">
      <c r="C238" s="1332" t="str">
        <f t="shared" si="14"/>
        <v>(i) of subsidiaries</v>
      </c>
      <c r="D238" s="1403">
        <f>+'Qualitative Disclosures'!D878</f>
        <v>0</v>
      </c>
      <c r="E238" s="1403">
        <f>+'Qualitative Disclosures'!E878</f>
        <v>0</v>
      </c>
      <c r="F238" s="1510"/>
      <c r="G238" s="1510"/>
      <c r="H238" s="1510"/>
      <c r="I238" s="1678"/>
      <c r="J238" s="41"/>
      <c r="L238" s="3"/>
      <c r="M238" s="1754" t="str">
        <f>IF(AND(D238=0,E238=0),"No","Yes")</f>
        <v>No</v>
      </c>
      <c r="O238" s="42" t="s">
        <v>478</v>
      </c>
      <c r="P238" s="42" t="s">
        <v>1821</v>
      </c>
    </row>
    <row r="239" spans="3:16" s="42" customFormat="1" hidden="1" x14ac:dyDescent="0.3">
      <c r="C239" s="1332" t="str">
        <f t="shared" si="14"/>
        <v>(i) of associates</v>
      </c>
      <c r="D239" s="1403">
        <f>+'Qualitative Disclosures'!D879</f>
        <v>0</v>
      </c>
      <c r="E239" s="1403">
        <f>+'Qualitative Disclosures'!E879</f>
        <v>0</v>
      </c>
      <c r="F239" s="1510"/>
      <c r="G239" s="1510"/>
      <c r="H239" s="1510"/>
      <c r="I239" s="1678"/>
      <c r="J239" s="41"/>
      <c r="L239" s="3"/>
      <c r="M239" s="1754" t="str">
        <f>IF(AND(D239=0,E239=0),"No","Yes")</f>
        <v>No</v>
      </c>
      <c r="O239" s="42" t="str">
        <f>+IF(M238="Yes",LOWER(ROMAN(_xlfn.ARABIC(O238)+1)),O238)</f>
        <v>i</v>
      </c>
      <c r="P239" s="42" t="s">
        <v>1822</v>
      </c>
    </row>
    <row r="240" spans="3:16" s="42" customFormat="1" hidden="1" x14ac:dyDescent="0.3">
      <c r="C240" s="1332" t="str">
        <f t="shared" si="14"/>
        <v>(i) of joint ventures - jointly controlled entities</v>
      </c>
      <c r="D240" s="1403">
        <f>+'Qualitative Disclosures'!D880</f>
        <v>0</v>
      </c>
      <c r="E240" s="1403">
        <f>+'Qualitative Disclosures'!E880</f>
        <v>0</v>
      </c>
      <c r="F240" s="1510"/>
      <c r="G240" s="1510"/>
      <c r="H240" s="1510"/>
      <c r="I240" s="1678"/>
      <c r="J240" s="41"/>
      <c r="L240" s="3"/>
      <c r="M240" s="1754" t="str">
        <f>IF(AND(D240=0,E240=0),"No","Yes")</f>
        <v>No</v>
      </c>
      <c r="O240" s="42" t="str">
        <f>+IF(M239="Yes",LOWER(ROMAN(_xlfn.ARABIC(O239)+1)),O239)</f>
        <v>i</v>
      </c>
      <c r="P240" s="42" t="s">
        <v>1823</v>
      </c>
    </row>
    <row r="241" spans="3:16" s="42" customFormat="1" hidden="1" x14ac:dyDescent="0.3">
      <c r="C241" s="1332" t="str">
        <f t="shared" si="14"/>
        <v>(i) of controlled special purpose entities</v>
      </c>
      <c r="D241" s="1403">
        <f>+'Qualitative Disclosures'!D881</f>
        <v>0</v>
      </c>
      <c r="E241" s="1403">
        <f>+'Qualitative Disclosures'!E881</f>
        <v>0</v>
      </c>
      <c r="F241" s="1510"/>
      <c r="G241" s="1510"/>
      <c r="H241" s="1510"/>
      <c r="I241" s="1678"/>
      <c r="J241" s="41"/>
      <c r="L241" s="3"/>
      <c r="M241" s="1754" t="str">
        <f>IF(AND(D241=0,E241=0),"No","Yes")</f>
        <v>No</v>
      </c>
      <c r="O241" s="42" t="str">
        <f>+IF(M240="Yes",LOWER(ROMAN(_xlfn.ARABIC(O240)+1)),O240)</f>
        <v>i</v>
      </c>
      <c r="P241" s="42" t="s">
        <v>1824</v>
      </c>
    </row>
    <row r="242" spans="3:16" s="42" customFormat="1" hidden="1" x14ac:dyDescent="0.3">
      <c r="C242" s="1332" t="str">
        <f t="shared" si="14"/>
        <v>(i) of other entities (give details)</v>
      </c>
      <c r="D242" s="1404">
        <f>+'Qualitative Disclosures'!D882</f>
        <v>0</v>
      </c>
      <c r="E242" s="1404">
        <f>+'Qualitative Disclosures'!E882</f>
        <v>0</v>
      </c>
      <c r="F242" s="1510"/>
      <c r="G242" s="1510"/>
      <c r="H242" s="1510"/>
      <c r="I242" s="1678"/>
      <c r="J242" s="41"/>
      <c r="L242" s="3"/>
      <c r="M242" s="1754" t="str">
        <f>IF(AND(D242=0,E242=0),"No","Yes")</f>
        <v>No</v>
      </c>
      <c r="O242" s="42" t="str">
        <f>+IF(M241="Yes",LOWER(ROMAN(_xlfn.ARABIC(O241)+1)),O241)</f>
        <v>i</v>
      </c>
      <c r="P242" s="42" t="s">
        <v>1827</v>
      </c>
    </row>
    <row r="243" spans="3:16" s="42" customFormat="1" hidden="1" x14ac:dyDescent="0.25">
      <c r="C243" s="1333"/>
      <c r="D243" s="831">
        <f>+SUMIF('Master TB'!$E:$E,Assets!K243,'Master TB'!$J:$J)</f>
        <v>0</v>
      </c>
      <c r="E243" s="831">
        <f>+SUMIF('Master TB'!$E:$E,Assets!K243,'Master TB'!$V:$V)</f>
        <v>0</v>
      </c>
      <c r="F243" s="1510"/>
      <c r="G243" s="1510"/>
      <c r="H243" s="1510"/>
      <c r="I243" s="1678"/>
      <c r="J243" s="41"/>
      <c r="K243" s="42" t="s">
        <v>1832</v>
      </c>
      <c r="L243" s="1740" t="str">
        <f>+IF(AND(SUM(D238:D242)=D243,SUM(E238:E242)=E243),"Correct Disclosures Given","Incorrect Disclosures Given")</f>
        <v>Correct Disclosures Given</v>
      </c>
      <c r="M243" s="1755" t="str">
        <f>+M237</f>
        <v>No</v>
      </c>
    </row>
    <row r="244" spans="3:16" s="42" customFormat="1" hidden="1" x14ac:dyDescent="0.3">
      <c r="C244" s="123" t="str">
        <f>+"("&amp;O244&amp;") "&amp;P244</f>
        <v>(a) Investment in government or trust securities</v>
      </c>
      <c r="D244" s="1645"/>
      <c r="E244" s="1645"/>
      <c r="F244" s="1510"/>
      <c r="G244" s="1510"/>
      <c r="H244" s="1510"/>
      <c r="I244" s="1678"/>
      <c r="J244" s="41"/>
      <c r="L244" s="3"/>
      <c r="M244" s="1755" t="str">
        <f>+IF(AND(M245="No",M246="No"),"No","Yes")</f>
        <v>No</v>
      </c>
      <c r="O244" s="42" t="str">
        <f>+IF(M237="yes",CHAR(CODE(O237)+1),O237)</f>
        <v>a</v>
      </c>
      <c r="P244" s="42" t="s">
        <v>1828</v>
      </c>
    </row>
    <row r="245" spans="3:16" s="42" customFormat="1" hidden="1" x14ac:dyDescent="0.3">
      <c r="C245" s="1332" t="str">
        <f>+"("&amp;O245&amp;") "&amp;P245</f>
        <v>(i) government securities</v>
      </c>
      <c r="D245" s="831">
        <f>+SUMIF('Master TB'!E:E,Assets!K245,'Master TB'!J:J)</f>
        <v>0</v>
      </c>
      <c r="E245" s="831">
        <f>+SUMIF('Master TB'!E:E,Assets!$K245,'Master TB'!V:V)</f>
        <v>0</v>
      </c>
      <c r="F245" s="1510"/>
      <c r="G245" s="1510"/>
      <c r="H245" s="1510"/>
      <c r="I245" s="1678"/>
      <c r="J245" s="41"/>
      <c r="K245" s="42" t="s">
        <v>1833</v>
      </c>
      <c r="L245" s="3"/>
      <c r="M245" s="1754" t="str">
        <f>IF(AND(D245=0,E245=0),"No","Yes")</f>
        <v>No</v>
      </c>
      <c r="O245" s="42" t="s">
        <v>478</v>
      </c>
      <c r="P245" s="42" t="s">
        <v>1829</v>
      </c>
    </row>
    <row r="246" spans="3:16" s="42" customFormat="1" hidden="1" x14ac:dyDescent="0.3">
      <c r="C246" s="1332" t="str">
        <f>+"("&amp;O246&amp;") "&amp;P246</f>
        <v>(i) trust securities</v>
      </c>
      <c r="D246" s="831">
        <f>+SUMIF('Master TB'!E:E,Assets!K246,'Master TB'!J:J)</f>
        <v>0</v>
      </c>
      <c r="E246" s="831">
        <f>+SUMIF('Master TB'!E:E,Assets!$K246,'Master TB'!V:V)</f>
        <v>0</v>
      </c>
      <c r="F246" s="1510"/>
      <c r="G246" s="1510"/>
      <c r="H246" s="1510"/>
      <c r="I246" s="1678"/>
      <c r="J246" s="41"/>
      <c r="K246" s="42" t="s">
        <v>1834</v>
      </c>
      <c r="L246" s="3"/>
      <c r="M246" s="1754" t="str">
        <f>IF(AND(D246=0,E246=0),"No","Yes")</f>
        <v>No</v>
      </c>
      <c r="O246" s="42" t="str">
        <f>+IF(M245="Yes",LOWER(ROMAN(_xlfn.ARABIC(O245)+1)),O245)</f>
        <v>i</v>
      </c>
      <c r="P246" s="42" t="s">
        <v>1830</v>
      </c>
    </row>
    <row r="247" spans="3:16" s="42" customFormat="1" hidden="1" x14ac:dyDescent="0.3">
      <c r="C247" s="1333"/>
      <c r="D247" s="1645"/>
      <c r="E247" s="1645"/>
      <c r="F247" s="1510"/>
      <c r="G247" s="1510"/>
      <c r="H247" s="1510"/>
      <c r="I247" s="1678"/>
      <c r="J247" s="41"/>
      <c r="L247" s="3"/>
      <c r="M247" s="1755" t="str">
        <f>+M244</f>
        <v>No</v>
      </c>
    </row>
    <row r="248" spans="3:16" s="42" customFormat="1" ht="49.5" hidden="1" x14ac:dyDescent="0.3">
      <c r="C248" s="1334" t="str">
        <f t="shared" ref="C248:C253" si="15">+"("&amp;O248&amp;") "&amp;P248</f>
        <v>(a) Investment in debentures or bonds (give details separately for fully / partly paid up 
debentures / bonds)</v>
      </c>
      <c r="D248" s="1645"/>
      <c r="E248" s="1645"/>
      <c r="F248" s="1510"/>
      <c r="G248" s="1510"/>
      <c r="H248" s="1510"/>
      <c r="I248" s="1678"/>
      <c r="J248" s="41"/>
      <c r="L248" s="3"/>
      <c r="M248" s="1755" t="str">
        <f>+IF(AND(M249="No",M250="No",M251="No",M252="No",M253="No"),"No","Yes")</f>
        <v>No</v>
      </c>
      <c r="O248" s="42" t="str">
        <f>+IF(M244="yes",CHAR(CODE(O244)+1),O244)</f>
        <v>a</v>
      </c>
      <c r="P248" s="42" t="s">
        <v>1816</v>
      </c>
    </row>
    <row r="249" spans="3:16" s="42" customFormat="1" hidden="1" x14ac:dyDescent="0.3">
      <c r="C249" s="1332" t="str">
        <f t="shared" si="15"/>
        <v>(i) of subsidiaries</v>
      </c>
      <c r="D249" s="1403">
        <f>+'Qualitative Disclosures'!D889</f>
        <v>0</v>
      </c>
      <c r="E249" s="1403">
        <f>+'Qualitative Disclosures'!E889</f>
        <v>0</v>
      </c>
      <c r="F249" s="1510"/>
      <c r="G249" s="1510"/>
      <c r="H249" s="1510"/>
      <c r="I249" s="1678"/>
      <c r="J249" s="41"/>
      <c r="L249" s="3"/>
      <c r="M249" s="1754" t="str">
        <f t="shared" ref="M249:M260" si="16">IF(AND(D249=0,E249=0),"No","Yes")</f>
        <v>No</v>
      </c>
      <c r="O249" s="42" t="s">
        <v>478</v>
      </c>
      <c r="P249" s="42" t="s">
        <v>1821</v>
      </c>
    </row>
    <row r="250" spans="3:16" s="42" customFormat="1" hidden="1" x14ac:dyDescent="0.3">
      <c r="C250" s="1332" t="str">
        <f t="shared" si="15"/>
        <v>(i) of associates</v>
      </c>
      <c r="D250" s="1403">
        <f>+'Qualitative Disclosures'!D890</f>
        <v>0</v>
      </c>
      <c r="E250" s="1403">
        <f>+'Qualitative Disclosures'!E890</f>
        <v>0</v>
      </c>
      <c r="F250" s="1510"/>
      <c r="G250" s="1510"/>
      <c r="H250" s="1510"/>
      <c r="I250" s="1678"/>
      <c r="J250" s="41"/>
      <c r="L250" s="3"/>
      <c r="M250" s="1754" t="str">
        <f t="shared" si="16"/>
        <v>No</v>
      </c>
      <c r="O250" s="42" t="str">
        <f>+IF(M249="Yes",LOWER(ROMAN(_xlfn.ARABIC(O249)+1)),O249)</f>
        <v>i</v>
      </c>
      <c r="P250" s="42" t="s">
        <v>1822</v>
      </c>
    </row>
    <row r="251" spans="3:16" s="42" customFormat="1" hidden="1" x14ac:dyDescent="0.3">
      <c r="C251" s="1332" t="str">
        <f t="shared" si="15"/>
        <v>(i) of joint ventures - jointly controlled entities</v>
      </c>
      <c r="D251" s="1403">
        <f>+'Qualitative Disclosures'!D891</f>
        <v>0</v>
      </c>
      <c r="E251" s="1403">
        <f>+'Qualitative Disclosures'!E891</f>
        <v>0</v>
      </c>
      <c r="F251" s="1510"/>
      <c r="G251" s="1510"/>
      <c r="H251" s="1510"/>
      <c r="I251" s="1678"/>
      <c r="J251" s="41"/>
      <c r="L251" s="3"/>
      <c r="M251" s="1754" t="str">
        <f t="shared" si="16"/>
        <v>No</v>
      </c>
      <c r="O251" s="42" t="str">
        <f>+IF(M250="Yes",LOWER(ROMAN(_xlfn.ARABIC(O250)+1)),O250)</f>
        <v>i</v>
      </c>
      <c r="P251" s="42" t="s">
        <v>1823</v>
      </c>
    </row>
    <row r="252" spans="3:16" s="42" customFormat="1" hidden="1" x14ac:dyDescent="0.3">
      <c r="C252" s="1332" t="str">
        <f t="shared" si="15"/>
        <v>(i) of controlled special purpose entities</v>
      </c>
      <c r="D252" s="1403">
        <f>+'Qualitative Disclosures'!D892</f>
        <v>0</v>
      </c>
      <c r="E252" s="1403">
        <f>+'Qualitative Disclosures'!E892</f>
        <v>0</v>
      </c>
      <c r="F252" s="1510"/>
      <c r="G252" s="1510"/>
      <c r="H252" s="1510"/>
      <c r="I252" s="1678"/>
      <c r="J252" s="41"/>
      <c r="L252" s="3"/>
      <c r="M252" s="1754" t="str">
        <f t="shared" si="16"/>
        <v>No</v>
      </c>
      <c r="O252" s="42" t="str">
        <f>+IF(M251="Yes",LOWER(ROMAN(_xlfn.ARABIC(O251)+1)),O251)</f>
        <v>i</v>
      </c>
      <c r="P252" s="42" t="s">
        <v>1824</v>
      </c>
    </row>
    <row r="253" spans="3:16" s="42" customFormat="1" hidden="1" x14ac:dyDescent="0.3">
      <c r="C253" s="1332" t="str">
        <f t="shared" si="15"/>
        <v>(i) of other entities (give details)</v>
      </c>
      <c r="D253" s="1404">
        <f>+'Qualitative Disclosures'!D893</f>
        <v>0</v>
      </c>
      <c r="E253" s="1404">
        <f>+'Qualitative Disclosures'!E893</f>
        <v>0</v>
      </c>
      <c r="F253" s="1510"/>
      <c r="G253" s="1510"/>
      <c r="H253" s="1510"/>
      <c r="I253" s="1678"/>
      <c r="J253" s="41"/>
      <c r="L253" s="3"/>
      <c r="M253" s="1754" t="str">
        <f t="shared" si="16"/>
        <v>No</v>
      </c>
      <c r="O253" s="42" t="str">
        <f>+IF(M252="Yes",LOWER(ROMAN(_xlfn.ARABIC(O252)+1)),O252)</f>
        <v>i</v>
      </c>
      <c r="P253" s="42" t="s">
        <v>1827</v>
      </c>
    </row>
    <row r="254" spans="3:16" s="42" customFormat="1" hidden="1" x14ac:dyDescent="0.3">
      <c r="C254" s="1332"/>
      <c r="D254" s="831">
        <f>+SUMIF('Master TB'!E:E,Assets!K254,'Master TB'!J:J)</f>
        <v>0</v>
      </c>
      <c r="E254" s="831">
        <f>+SUMIF('Master TB'!E:E,Assets!$K254,'Master TB'!V:V)</f>
        <v>0</v>
      </c>
      <c r="F254" s="1510"/>
      <c r="G254" s="1510"/>
      <c r="H254" s="1510"/>
      <c r="I254" s="1678"/>
      <c r="J254" s="41"/>
      <c r="K254" s="42" t="s">
        <v>1835</v>
      </c>
      <c r="L254" s="1740" t="str">
        <f>+IF(AND(SUM(D249:D253)=D254,SUM(E249:E253)=E254),"Correct Disclosures Given","Incorrect Disclosures Given")</f>
        <v>Correct Disclosures Given</v>
      </c>
      <c r="M254" s="1754" t="str">
        <f t="shared" si="16"/>
        <v>No</v>
      </c>
    </row>
    <row r="255" spans="3:16" s="42" customFormat="1" hidden="1" x14ac:dyDescent="0.3">
      <c r="C255" s="1333"/>
      <c r="D255" s="1645"/>
      <c r="E255" s="1645"/>
      <c r="F255" s="1510"/>
      <c r="G255" s="1510"/>
      <c r="H255" s="1510"/>
      <c r="I255" s="1678"/>
      <c r="J255" s="41"/>
      <c r="L255" s="3"/>
      <c r="M255" s="1755" t="str">
        <f>+M248</f>
        <v>No</v>
      </c>
    </row>
    <row r="256" spans="3:16" s="42" customFormat="1" hidden="1" x14ac:dyDescent="0.25">
      <c r="C256" s="123" t="str">
        <f>+"("&amp;O256&amp;") "&amp;P256</f>
        <v>(a) Investment in mutual funds (give details)</v>
      </c>
      <c r="D256" s="831">
        <f>+SUMIF('Master TB'!E:E,Assets!K256,'Master TB'!J:J)</f>
        <v>0</v>
      </c>
      <c r="E256" s="831">
        <f>+SUMIF('Master TB'!E:E,Assets!$K256,'Master TB'!V:V)</f>
        <v>0</v>
      </c>
      <c r="F256" s="1510"/>
      <c r="G256" s="1510"/>
      <c r="H256" s="1510"/>
      <c r="I256" s="1678"/>
      <c r="J256" s="41"/>
      <c r="K256" s="42" t="s">
        <v>1836</v>
      </c>
      <c r="L256" s="3"/>
      <c r="M256" s="1754" t="str">
        <f t="shared" si="16"/>
        <v>No</v>
      </c>
      <c r="O256" s="42" t="str">
        <f>+IF(M248="yes",CHAR(CODE(O248)+1),O248)</f>
        <v>a</v>
      </c>
      <c r="P256" s="42" t="s">
        <v>1817</v>
      </c>
    </row>
    <row r="257" spans="3:16" s="42" customFormat="1" hidden="1" x14ac:dyDescent="0.3">
      <c r="C257" s="1333"/>
      <c r="D257" s="1645"/>
      <c r="E257" s="1645"/>
      <c r="F257" s="1510"/>
      <c r="G257" s="1510"/>
      <c r="H257" s="1510"/>
      <c r="I257" s="1678"/>
      <c r="J257" s="41"/>
      <c r="L257" s="3"/>
      <c r="M257" s="1755" t="str">
        <f>+M256</f>
        <v>No</v>
      </c>
    </row>
    <row r="258" spans="3:16" s="42" customFormat="1" hidden="1" x14ac:dyDescent="0.25">
      <c r="C258" s="123" t="str">
        <f>+"("&amp;O258&amp;") "&amp;P258</f>
        <v>(a) Investment in partnership firms (Refer Note (i) below)</v>
      </c>
      <c r="D258" s="831">
        <f>+SUMIF('Master TB'!E:E,Assets!K258,'Master TB'!J:J)</f>
        <v>0</v>
      </c>
      <c r="E258" s="831">
        <f>+SUMIF('Master TB'!E:E,Assets!$K258,'Master TB'!V:V)</f>
        <v>0</v>
      </c>
      <c r="F258" s="1510"/>
      <c r="G258" s="1510"/>
      <c r="H258" s="1510"/>
      <c r="I258" s="1678"/>
      <c r="J258" s="41"/>
      <c r="K258" s="42" t="s">
        <v>1837</v>
      </c>
      <c r="L258" s="3"/>
      <c r="M258" s="1754" t="str">
        <f>IF(AND(D258=0,E258=0),"No","Yes")</f>
        <v>No</v>
      </c>
      <c r="O258" s="42" t="str">
        <f>+IF(M256="yes",CHAR(CODE(O256)+1),O256)</f>
        <v>a</v>
      </c>
      <c r="P258" s="42" t="s">
        <v>1818</v>
      </c>
    </row>
    <row r="259" spans="3:16" s="42" customFormat="1" hidden="1" x14ac:dyDescent="0.3">
      <c r="C259" s="126"/>
      <c r="D259" s="1645"/>
      <c r="E259" s="1645"/>
      <c r="F259" s="1510"/>
      <c r="G259" s="1510"/>
      <c r="H259" s="1510"/>
      <c r="I259" s="1678"/>
      <c r="J259" s="41"/>
      <c r="L259" s="3"/>
      <c r="M259" s="1755" t="str">
        <f>+M258</f>
        <v>No</v>
      </c>
    </row>
    <row r="260" spans="3:16" s="42" customFormat="1" hidden="1" x14ac:dyDescent="0.25">
      <c r="C260" s="123" t="str">
        <f>+"("&amp;O260&amp;") "&amp;P260</f>
        <v>(a) Other investments (specify nature)</v>
      </c>
      <c r="D260" s="831">
        <f>+SUMIF('Master TB'!E:E,Assets!K260,'Master TB'!J:J)</f>
        <v>0</v>
      </c>
      <c r="E260" s="831">
        <f>+SUMIF('Master TB'!E:E,Assets!$K260,'Master TB'!V:V)</f>
        <v>0</v>
      </c>
      <c r="F260" s="1510"/>
      <c r="G260" s="1510"/>
      <c r="H260" s="1510"/>
      <c r="I260" s="1678"/>
      <c r="J260" s="41"/>
      <c r="K260" s="42" t="s">
        <v>1838</v>
      </c>
      <c r="L260" s="3"/>
      <c r="M260" s="1754" t="str">
        <f t="shared" si="16"/>
        <v>No</v>
      </c>
      <c r="O260" s="42" t="str">
        <f>+IF(M258="yes",CHAR(CODE(O258)+1),O258)</f>
        <v>a</v>
      </c>
      <c r="P260" s="42" t="s">
        <v>1819</v>
      </c>
    </row>
    <row r="261" spans="3:16" s="42" customFormat="1" hidden="1" x14ac:dyDescent="0.25">
      <c r="C261" s="123"/>
      <c r="D261" s="831"/>
      <c r="E261" s="831"/>
      <c r="F261" s="1510"/>
      <c r="G261" s="1510"/>
      <c r="H261" s="1510"/>
      <c r="I261" s="1678"/>
      <c r="J261" s="41"/>
      <c r="L261" s="3"/>
      <c r="M261" s="1754" t="str">
        <f>+M260</f>
        <v>No</v>
      </c>
    </row>
    <row r="262" spans="3:16" s="42" customFormat="1" hidden="1" x14ac:dyDescent="0.25">
      <c r="C262" s="1963" t="s">
        <v>1820</v>
      </c>
      <c r="D262" s="1952">
        <f>SUM(D229:D234,D238:D242,D245:D246,D249:D253,D256,D258,D260)</f>
        <v>0</v>
      </c>
      <c r="E262" s="1952">
        <f>SUM(E229:E234,E238:E242,E245:E246,E249:E253,E256,E258,E260)</f>
        <v>0</v>
      </c>
      <c r="F262" s="1510"/>
      <c r="G262" s="1510"/>
      <c r="H262" s="1510"/>
      <c r="I262" s="1678"/>
      <c r="J262" s="41"/>
      <c r="L262" s="3"/>
      <c r="M262" s="1754" t="str">
        <f>IF(AND(D262=0,E262=0),"No","Yes")</f>
        <v>No</v>
      </c>
    </row>
    <row r="263" spans="3:16" s="42" customFormat="1" hidden="1" x14ac:dyDescent="0.25">
      <c r="C263" s="19"/>
      <c r="D263" s="1609"/>
      <c r="E263" s="1579"/>
      <c r="F263" s="1510"/>
      <c r="G263" s="1510"/>
      <c r="H263" s="1510"/>
      <c r="I263" s="1510"/>
      <c r="J263" s="487"/>
      <c r="K263" s="41"/>
      <c r="M263" s="1754" t="str">
        <f>+M262</f>
        <v>No</v>
      </c>
    </row>
    <row r="264" spans="3:16" s="42" customFormat="1" hidden="1" x14ac:dyDescent="0.25">
      <c r="C264" s="19"/>
      <c r="D264" s="1609"/>
      <c r="E264" s="1579"/>
      <c r="F264" s="1510"/>
      <c r="G264" s="1510"/>
      <c r="H264" s="1510"/>
      <c r="I264" s="1510"/>
      <c r="J264" s="487"/>
      <c r="K264" s="41"/>
      <c r="M264" s="1754" t="str">
        <f>+M263</f>
        <v>No</v>
      </c>
    </row>
    <row r="265" spans="3:16" s="42" customFormat="1" hidden="1" x14ac:dyDescent="0.3">
      <c r="C265" s="39" t="s">
        <v>1844</v>
      </c>
      <c r="D265" s="1406"/>
      <c r="E265" s="1406"/>
      <c r="F265" s="1406"/>
      <c r="G265" s="1406"/>
      <c r="H265" s="1406"/>
      <c r="I265" s="1406"/>
      <c r="J265" s="39"/>
      <c r="K265" s="41"/>
      <c r="M265" s="1754" t="str">
        <f>+M266</f>
        <v>No</v>
      </c>
    </row>
    <row r="266" spans="3:16" s="42" customFormat="1" hidden="1" x14ac:dyDescent="0.25">
      <c r="C266" s="2865" t="s">
        <v>1839</v>
      </c>
      <c r="D266" s="2862" t="str">
        <f>+BSCY</f>
        <v>As At 31st March 2025</v>
      </c>
      <c r="E266" s="2862"/>
      <c r="F266" s="2862"/>
      <c r="G266" s="2862" t="str">
        <f>+BSPY</f>
        <v>As At 31st March 2024</v>
      </c>
      <c r="H266" s="2862"/>
      <c r="I266" s="2862"/>
      <c r="J266" s="41"/>
      <c r="L266" s="3"/>
      <c r="M266" s="1755" t="str">
        <f>+M267</f>
        <v>No</v>
      </c>
    </row>
    <row r="267" spans="3:16" s="42" customFormat="1" ht="45" hidden="1" x14ac:dyDescent="0.25">
      <c r="C267" s="2866"/>
      <c r="D267" s="1646" t="s">
        <v>1840</v>
      </c>
      <c r="E267" s="1646" t="s">
        <v>1841</v>
      </c>
      <c r="F267" s="1646" t="s">
        <v>1842</v>
      </c>
      <c r="G267" s="1646" t="s">
        <v>1840</v>
      </c>
      <c r="H267" s="1646" t="s">
        <v>1843</v>
      </c>
      <c r="I267" s="1646" t="s">
        <v>1842</v>
      </c>
      <c r="J267" s="41"/>
      <c r="L267" s="3"/>
      <c r="M267" s="1755" t="str">
        <f>+IF(AND(M268="No",M269="No",M270="No",M271="No",M272="No",M273="No"),"No","Yes")</f>
        <v>No</v>
      </c>
    </row>
    <row r="268" spans="3:16" s="42" customFormat="1" hidden="1" x14ac:dyDescent="0.3">
      <c r="C268" s="1420" t="str">
        <f>+IF('Qualitative Disclosures'!C908="","",'Qualitative Disclosures'!C908)</f>
        <v/>
      </c>
      <c r="D268" s="1411">
        <f>+'Qualitative Disclosures'!D908</f>
        <v>0</v>
      </c>
      <c r="E268" s="1411">
        <f>+'Qualitative Disclosures'!E908</f>
        <v>0</v>
      </c>
      <c r="F268" s="1411">
        <f>+'Qualitative Disclosures'!F908</f>
        <v>0</v>
      </c>
      <c r="G268" s="1411">
        <f>+'Qualitative Disclosures'!G908</f>
        <v>0</v>
      </c>
      <c r="H268" s="1411">
        <f>+'Qualitative Disclosures'!H908</f>
        <v>0</v>
      </c>
      <c r="I268" s="1411">
        <f>+'Qualitative Disclosures'!I908</f>
        <v>0</v>
      </c>
      <c r="J268" s="41"/>
      <c r="L268" s="3"/>
      <c r="M268" s="1754" t="str">
        <f t="shared" ref="M268:M273" si="17">IF(AND(C268=""),"No","Yes")</f>
        <v>No</v>
      </c>
    </row>
    <row r="269" spans="3:16" s="42" customFormat="1" hidden="1" x14ac:dyDescent="0.3">
      <c r="C269" s="1420" t="str">
        <f>+IF('Qualitative Disclosures'!C909="","",'Qualitative Disclosures'!C909)</f>
        <v/>
      </c>
      <c r="D269" s="1411">
        <f>+'Qualitative Disclosures'!D909</f>
        <v>0</v>
      </c>
      <c r="E269" s="1411">
        <f>+'Qualitative Disclosures'!E909</f>
        <v>0</v>
      </c>
      <c r="F269" s="1411">
        <f>+'Qualitative Disclosures'!F909</f>
        <v>0</v>
      </c>
      <c r="G269" s="1411">
        <f>+'Qualitative Disclosures'!G909</f>
        <v>0</v>
      </c>
      <c r="H269" s="1411">
        <f>+'Qualitative Disclosures'!H909</f>
        <v>0</v>
      </c>
      <c r="I269" s="1411">
        <f>+'Qualitative Disclosures'!I909</f>
        <v>0</v>
      </c>
      <c r="J269" s="41"/>
      <c r="L269" s="3"/>
      <c r="M269" s="1754" t="str">
        <f t="shared" si="17"/>
        <v>No</v>
      </c>
    </row>
    <row r="270" spans="3:16" s="42" customFormat="1" hidden="1" x14ac:dyDescent="0.3">
      <c r="C270" s="1420" t="str">
        <f>+IF('Qualitative Disclosures'!C910="","",'Qualitative Disclosures'!C910)</f>
        <v/>
      </c>
      <c r="D270" s="1411">
        <f>+'Qualitative Disclosures'!D910</f>
        <v>0</v>
      </c>
      <c r="E270" s="1411">
        <f>+'Qualitative Disclosures'!E910</f>
        <v>0</v>
      </c>
      <c r="F270" s="1411">
        <f>+'Qualitative Disclosures'!F910</f>
        <v>0</v>
      </c>
      <c r="G270" s="1411">
        <f>+'Qualitative Disclosures'!G910</f>
        <v>0</v>
      </c>
      <c r="H270" s="1411">
        <f>+'Qualitative Disclosures'!H910</f>
        <v>0</v>
      </c>
      <c r="I270" s="1411">
        <f>+'Qualitative Disclosures'!I910</f>
        <v>0</v>
      </c>
      <c r="J270" s="41"/>
      <c r="L270" s="3"/>
      <c r="M270" s="1754" t="str">
        <f t="shared" si="17"/>
        <v>No</v>
      </c>
    </row>
    <row r="271" spans="3:16" s="42" customFormat="1" hidden="1" x14ac:dyDescent="0.3">
      <c r="C271" s="1420" t="str">
        <f>+IF('Qualitative Disclosures'!C911="","",'Qualitative Disclosures'!C911)</f>
        <v/>
      </c>
      <c r="D271" s="1411">
        <f>+'Qualitative Disclosures'!D911</f>
        <v>0</v>
      </c>
      <c r="E271" s="1411">
        <f>+'Qualitative Disclosures'!E911</f>
        <v>0</v>
      </c>
      <c r="F271" s="1411">
        <f>+'Qualitative Disclosures'!F911</f>
        <v>0</v>
      </c>
      <c r="G271" s="1411">
        <f>+'Qualitative Disclosures'!G911</f>
        <v>0</v>
      </c>
      <c r="H271" s="1411">
        <f>+'Qualitative Disclosures'!H911</f>
        <v>0</v>
      </c>
      <c r="I271" s="1411">
        <f>+'Qualitative Disclosures'!I911</f>
        <v>0</v>
      </c>
      <c r="J271" s="41"/>
      <c r="L271" s="3"/>
      <c r="M271" s="1754" t="str">
        <f t="shared" si="17"/>
        <v>No</v>
      </c>
    </row>
    <row r="272" spans="3:16" s="42" customFormat="1" hidden="1" x14ac:dyDescent="0.25">
      <c r="C272" s="1498" t="str">
        <f>+IF('Qualitative Disclosures'!C912="","",'Qualitative Disclosures'!C912)</f>
        <v/>
      </c>
      <c r="D272" s="1647">
        <f>+'Qualitative Disclosures'!D912</f>
        <v>0</v>
      </c>
      <c r="E272" s="1660">
        <f>+'Qualitative Disclosures'!E912</f>
        <v>0</v>
      </c>
      <c r="F272" s="1670">
        <f>+'Qualitative Disclosures'!F912</f>
        <v>0</v>
      </c>
      <c r="G272" s="1670">
        <f>+'Qualitative Disclosures'!G912</f>
        <v>0</v>
      </c>
      <c r="H272" s="1670">
        <f>+'Qualitative Disclosures'!H912</f>
        <v>0</v>
      </c>
      <c r="I272" s="1670">
        <f>+'Qualitative Disclosures'!I912</f>
        <v>0</v>
      </c>
      <c r="J272" s="1337"/>
      <c r="K272" s="41"/>
      <c r="M272" s="1754" t="str">
        <f t="shared" si="17"/>
        <v>No</v>
      </c>
    </row>
    <row r="273" spans="3:16" s="42" customFormat="1" hidden="1" x14ac:dyDescent="0.25">
      <c r="C273" s="1499" t="str">
        <f>+IF('Qualitative Disclosures'!C913="","",'Qualitative Disclosures'!C913)</f>
        <v/>
      </c>
      <c r="D273" s="1648">
        <f>+'Qualitative Disclosures'!D913</f>
        <v>0</v>
      </c>
      <c r="E273" s="1661">
        <f>+'Qualitative Disclosures'!E913</f>
        <v>0</v>
      </c>
      <c r="F273" s="1671">
        <f>+'Qualitative Disclosures'!F913</f>
        <v>0</v>
      </c>
      <c r="G273" s="1671">
        <f>+'Qualitative Disclosures'!G913</f>
        <v>0</v>
      </c>
      <c r="H273" s="1671">
        <f>+'Qualitative Disclosures'!H913</f>
        <v>0</v>
      </c>
      <c r="I273" s="1671">
        <f>+'Qualitative Disclosures'!I913</f>
        <v>0</v>
      </c>
      <c r="J273" s="1337"/>
      <c r="K273" s="41"/>
      <c r="M273" s="1754" t="str">
        <f t="shared" si="17"/>
        <v>No</v>
      </c>
    </row>
    <row r="274" spans="3:16" s="42" customFormat="1" hidden="1" x14ac:dyDescent="0.25">
      <c r="C274" s="17"/>
      <c r="D274" s="1522"/>
      <c r="E274" s="1579"/>
      <c r="F274" s="1510"/>
      <c r="G274" s="1510"/>
      <c r="H274" s="1510"/>
      <c r="I274" s="1510"/>
      <c r="J274" s="1337"/>
      <c r="K274" s="41"/>
      <c r="M274" s="1754" t="str">
        <f>+M267</f>
        <v>No</v>
      </c>
    </row>
    <row r="275" spans="3:16" s="42" customFormat="1" hidden="1" x14ac:dyDescent="0.25">
      <c r="C275" s="1421" t="str">
        <f>+IF(Footnotes!C105="","",Footnotes!C105)</f>
        <v/>
      </c>
      <c r="D275" s="1742" t="str">
        <f>+IF(Footnotes!D105="","",Footnotes!D105)</f>
        <v/>
      </c>
      <c r="E275" s="1743" t="str">
        <f>+IF(Footnotes!E105="","",Footnotes!E105)</f>
        <v/>
      </c>
      <c r="F275" s="1744" t="str">
        <f>+IF(Footnotes!F105="","",Footnotes!F105)</f>
        <v/>
      </c>
      <c r="G275" s="1744" t="str">
        <f>+IF(Footnotes!G105="","",Footnotes!G105)</f>
        <v/>
      </c>
      <c r="H275" s="1744" t="str">
        <f>+IF(Footnotes!H105="","",Footnotes!H105)</f>
        <v/>
      </c>
      <c r="I275" s="1744" t="str">
        <f>+IF(Footnotes!I105="","",Footnotes!I105)</f>
        <v/>
      </c>
      <c r="J275" s="1337"/>
      <c r="K275" s="41"/>
      <c r="M275" s="1756" t="str">
        <f t="shared" ref="M275:M280" si="18">+IF(AND(C275="",D275="",E275="",F275="",G275="",H275="",I275=""),"No","Yes")</f>
        <v>No</v>
      </c>
    </row>
    <row r="276" spans="3:16" s="42" customFormat="1" hidden="1" x14ac:dyDescent="0.25">
      <c r="C276" s="1421" t="str">
        <f>+IF(Footnotes!C106="","",Footnotes!C106)</f>
        <v/>
      </c>
      <c r="D276" s="1742" t="str">
        <f>+IF(Footnotes!D106="","",Footnotes!D106)</f>
        <v/>
      </c>
      <c r="E276" s="1743" t="str">
        <f>+IF(Footnotes!E106="","",Footnotes!E106)</f>
        <v/>
      </c>
      <c r="F276" s="1744" t="str">
        <f>+IF(Footnotes!F106="","",Footnotes!F106)</f>
        <v/>
      </c>
      <c r="G276" s="1744" t="str">
        <f>+IF(Footnotes!G106="","",Footnotes!G106)</f>
        <v/>
      </c>
      <c r="H276" s="1744" t="str">
        <f>+IF(Footnotes!H106="","",Footnotes!H106)</f>
        <v/>
      </c>
      <c r="I276" s="1744" t="str">
        <f>+IF(Footnotes!I106="","",Footnotes!I106)</f>
        <v/>
      </c>
      <c r="J276" s="1337"/>
      <c r="K276" s="41"/>
      <c r="M276" s="1756" t="str">
        <f t="shared" si="18"/>
        <v>No</v>
      </c>
    </row>
    <row r="277" spans="3:16" s="42" customFormat="1" hidden="1" x14ac:dyDescent="0.25">
      <c r="C277" s="1421" t="str">
        <f>+IF(Footnotes!C107="","",Footnotes!C107)</f>
        <v/>
      </c>
      <c r="D277" s="1742" t="str">
        <f>+IF(Footnotes!D107="","",Footnotes!D107)</f>
        <v/>
      </c>
      <c r="E277" s="1743" t="str">
        <f>+IF(Footnotes!E107="","",Footnotes!E107)</f>
        <v/>
      </c>
      <c r="F277" s="1744" t="str">
        <f>+IF(Footnotes!F107="","",Footnotes!F107)</f>
        <v/>
      </c>
      <c r="G277" s="1744" t="str">
        <f>+IF(Footnotes!G107="","",Footnotes!G107)</f>
        <v/>
      </c>
      <c r="H277" s="1744" t="str">
        <f>+IF(Footnotes!H107="","",Footnotes!H107)</f>
        <v/>
      </c>
      <c r="I277" s="1744" t="str">
        <f>+IF(Footnotes!I107="","",Footnotes!I107)</f>
        <v/>
      </c>
      <c r="J277" s="1337"/>
      <c r="K277" s="41"/>
      <c r="M277" s="1756" t="str">
        <f t="shared" si="18"/>
        <v>No</v>
      </c>
    </row>
    <row r="278" spans="3:16" s="42" customFormat="1" hidden="1" x14ac:dyDescent="0.25">
      <c r="C278" s="1421" t="str">
        <f>+IF(Footnotes!C108="","",Footnotes!C108)</f>
        <v/>
      </c>
      <c r="D278" s="1742" t="str">
        <f>+IF(Footnotes!D108="","",Footnotes!D108)</f>
        <v/>
      </c>
      <c r="E278" s="1743" t="str">
        <f>+IF(Footnotes!E108="","",Footnotes!E108)</f>
        <v/>
      </c>
      <c r="F278" s="1744" t="str">
        <f>+IF(Footnotes!F108="","",Footnotes!F108)</f>
        <v/>
      </c>
      <c r="G278" s="1744" t="str">
        <f>+IF(Footnotes!G108="","",Footnotes!G108)</f>
        <v/>
      </c>
      <c r="H278" s="1744" t="str">
        <f>+IF(Footnotes!H108="","",Footnotes!H108)</f>
        <v/>
      </c>
      <c r="I278" s="1744" t="str">
        <f>+IF(Footnotes!I108="","",Footnotes!I108)</f>
        <v/>
      </c>
      <c r="J278" s="1337"/>
      <c r="K278" s="41"/>
      <c r="M278" s="1756" t="str">
        <f t="shared" si="18"/>
        <v>No</v>
      </c>
    </row>
    <row r="279" spans="3:16" s="42" customFormat="1" hidden="1" x14ac:dyDescent="0.25">
      <c r="C279" s="1421" t="str">
        <f>+IF(Footnotes!C109="","",Footnotes!C109)</f>
        <v/>
      </c>
      <c r="D279" s="1742" t="str">
        <f>+IF(Footnotes!D109="","",Footnotes!D109)</f>
        <v/>
      </c>
      <c r="E279" s="1743" t="str">
        <f>+IF(Footnotes!E109="","",Footnotes!E109)</f>
        <v/>
      </c>
      <c r="F279" s="1744" t="str">
        <f>+IF(Footnotes!F109="","",Footnotes!F109)</f>
        <v/>
      </c>
      <c r="G279" s="1744" t="str">
        <f>+IF(Footnotes!G109="","",Footnotes!G109)</f>
        <v/>
      </c>
      <c r="H279" s="1744" t="str">
        <f>+IF(Footnotes!H109="","",Footnotes!H109)</f>
        <v/>
      </c>
      <c r="I279" s="1744" t="str">
        <f>+IF(Footnotes!I109="","",Footnotes!I109)</f>
        <v/>
      </c>
      <c r="J279" s="1337"/>
      <c r="K279" s="41"/>
      <c r="M279" s="1756" t="str">
        <f t="shared" si="18"/>
        <v>No</v>
      </c>
    </row>
    <row r="280" spans="3:16" s="42" customFormat="1" hidden="1" x14ac:dyDescent="0.25">
      <c r="C280" s="1421" t="str">
        <f>+IF(Footnotes!C110="","",Footnotes!C110)</f>
        <v/>
      </c>
      <c r="D280" s="1742" t="str">
        <f>+IF(Footnotes!D110="","",Footnotes!D110)</f>
        <v/>
      </c>
      <c r="E280" s="1743" t="str">
        <f>+IF(Footnotes!E110="","",Footnotes!E110)</f>
        <v/>
      </c>
      <c r="F280" s="1744" t="str">
        <f>+IF(Footnotes!F110="","",Footnotes!F110)</f>
        <v/>
      </c>
      <c r="G280" s="1744" t="str">
        <f>+IF(Footnotes!G110="","",Footnotes!G110)</f>
        <v/>
      </c>
      <c r="H280" s="1744" t="str">
        <f>+IF(Footnotes!H110="","",Footnotes!H110)</f>
        <v/>
      </c>
      <c r="I280" s="1744" t="str">
        <f>+IF(Footnotes!I110="","",Footnotes!I110)</f>
        <v/>
      </c>
      <c r="J280" s="1337"/>
      <c r="K280" s="41"/>
      <c r="M280" s="1756" t="str">
        <f t="shared" si="18"/>
        <v>No</v>
      </c>
    </row>
    <row r="281" spans="3:16" s="42" customFormat="1" hidden="1" x14ac:dyDescent="0.25">
      <c r="C281" s="19"/>
      <c r="D281" s="1609"/>
      <c r="E281" s="1579"/>
      <c r="F281" s="1510"/>
      <c r="G281" s="1510"/>
      <c r="H281" s="1510"/>
      <c r="I281" s="1510"/>
      <c r="J281" s="487"/>
      <c r="K281" s="41"/>
      <c r="M281" s="1754" t="str">
        <f>+M274</f>
        <v>No</v>
      </c>
    </row>
    <row r="282" spans="3:16" x14ac:dyDescent="0.25">
      <c r="C282" s="2745" t="str">
        <f>+"Note "&amp;'Balance Sheet'!E58&amp;": Inventories"</f>
        <v>Note 11: Inventories</v>
      </c>
      <c r="D282" s="2745"/>
      <c r="E282" s="1579"/>
      <c r="M282" s="1756" t="str">
        <f>IF(M308="No","No","Yes")</f>
        <v>Yes</v>
      </c>
      <c r="P282" s="42"/>
    </row>
    <row r="283" spans="3:16" x14ac:dyDescent="0.25">
      <c r="C283" s="2861"/>
      <c r="D283" s="2861"/>
      <c r="E283" s="1522" t="str">
        <f>+D179</f>
        <v>Amount in Rs '00.</v>
      </c>
      <c r="M283" s="1756" t="str">
        <f>IF(M308="No","No","Yes")</f>
        <v>Yes</v>
      </c>
      <c r="P283" s="42" t="s">
        <v>1150</v>
      </c>
    </row>
    <row r="284" spans="3:16" s="42" customFormat="1" ht="30" x14ac:dyDescent="0.25">
      <c r="C284" s="1930" t="s">
        <v>20</v>
      </c>
      <c r="D284" s="1960" t="str">
        <f>BSCY</f>
        <v>As At 31st March 2025</v>
      </c>
      <c r="E284" s="1951" t="str">
        <f>BSPY</f>
        <v>As At 31st March 2024</v>
      </c>
      <c r="F284" s="1510"/>
      <c r="G284" s="1510"/>
      <c r="H284" s="1510"/>
      <c r="I284" s="1510"/>
      <c r="J284" s="487"/>
      <c r="K284" s="41"/>
      <c r="M284" s="1756" t="str">
        <f>IF(M308="No","No","Yes")</f>
        <v>Yes</v>
      </c>
    </row>
    <row r="285" spans="3:16" s="42" customFormat="1" hidden="1" x14ac:dyDescent="0.25">
      <c r="C285" s="651"/>
      <c r="D285" s="1649"/>
      <c r="E285" s="825"/>
      <c r="F285" s="1510"/>
      <c r="G285" s="1510"/>
      <c r="H285" s="1510"/>
      <c r="I285" s="1510"/>
      <c r="J285" s="487"/>
      <c r="K285" s="41"/>
      <c r="M285" s="1756" t="str">
        <f>IF(M308="No","No","Yes")</f>
        <v>Yes</v>
      </c>
    </row>
    <row r="286" spans="3:16" s="3" customFormat="1" hidden="1" x14ac:dyDescent="0.25">
      <c r="C286" s="636" t="str">
        <f>+"("&amp;O286&amp;")"&amp;P286</f>
        <v>(a) Raw materials</v>
      </c>
      <c r="D286" s="1195">
        <f>+SUMIF('Master TB'!E:E,Assets!K286,'Master TB'!J:J)</f>
        <v>0</v>
      </c>
      <c r="E286" s="1195">
        <f>+SUMIF('Master TB'!$E:$E,Assets!K286,'Master TB'!$V:$V)</f>
        <v>0</v>
      </c>
      <c r="F286" s="1579"/>
      <c r="G286" s="1579"/>
      <c r="H286" s="1579"/>
      <c r="I286" s="1579"/>
      <c r="J286" s="603"/>
      <c r="K286" s="27" t="s">
        <v>774</v>
      </c>
      <c r="M286" s="1754" t="str">
        <f t="shared" ref="M286:M308" si="19">IF(AND(D286=0,E286=0),"No","Yes")</f>
        <v>No</v>
      </c>
      <c r="O286" s="3" t="s">
        <v>1562</v>
      </c>
      <c r="P286" s="42" t="s">
        <v>1600</v>
      </c>
    </row>
    <row r="287" spans="3:16" s="3" customFormat="1" hidden="1" x14ac:dyDescent="0.25">
      <c r="C287" s="230" t="str">
        <f>IF(M287="No","Goods-in-transit","Goods-in-transit")</f>
        <v>Goods-in-transit</v>
      </c>
      <c r="D287" s="1195">
        <f>+SUMIF('Master TB'!E:E,Assets!K287,'Master TB'!J:J)</f>
        <v>0</v>
      </c>
      <c r="E287" s="1195">
        <f>+SUMIF('Master TB'!$E:$E,Assets!K287,'Master TB'!$V:$V)</f>
        <v>0</v>
      </c>
      <c r="F287" s="1579"/>
      <c r="G287" s="1579"/>
      <c r="H287" s="1579"/>
      <c r="I287" s="1579"/>
      <c r="J287" s="603"/>
      <c r="K287" s="3" t="s">
        <v>1490</v>
      </c>
      <c r="M287" s="1754" t="str">
        <f t="shared" si="19"/>
        <v>No</v>
      </c>
      <c r="P287" s="42"/>
    </row>
    <row r="288" spans="3:16" s="3" customFormat="1" hidden="1" x14ac:dyDescent="0.25">
      <c r="C288" s="650"/>
      <c r="D288" s="1598">
        <f>D286+D287</f>
        <v>0</v>
      </c>
      <c r="E288" s="843">
        <f>E286+E287</f>
        <v>0</v>
      </c>
      <c r="F288" s="1579"/>
      <c r="G288" s="1579"/>
      <c r="H288" s="1579"/>
      <c r="I288" s="1579"/>
      <c r="J288" s="603"/>
      <c r="M288" s="1754" t="str">
        <f t="shared" si="19"/>
        <v>No</v>
      </c>
      <c r="P288" s="42"/>
    </row>
    <row r="289" spans="3:16" s="3" customFormat="1" hidden="1" x14ac:dyDescent="0.25">
      <c r="C289" s="636" t="str">
        <f>+"("&amp;O289&amp;")"&amp;P289</f>
        <v>(a) Work-in-progress</v>
      </c>
      <c r="D289" s="1195">
        <f>+SUMIF('Master TB'!E:E,Assets!K289,'Master TB'!J:J)</f>
        <v>0</v>
      </c>
      <c r="E289" s="1195">
        <f>+SUMIF('Master TB'!$E:$E,Assets!K289,'Master TB'!$V:$V)</f>
        <v>0</v>
      </c>
      <c r="F289" s="1579"/>
      <c r="G289" s="1579"/>
      <c r="H289" s="1579"/>
      <c r="I289" s="1579"/>
      <c r="J289" s="603"/>
      <c r="K289" s="27" t="s">
        <v>775</v>
      </c>
      <c r="M289" s="1754" t="str">
        <f t="shared" si="19"/>
        <v>No</v>
      </c>
      <c r="O289" s="42" t="str">
        <f>+IF(M286="yes",CHAR(CODE(O286)+1),O286)</f>
        <v>a</v>
      </c>
      <c r="P289" s="42" t="s">
        <v>1601</v>
      </c>
    </row>
    <row r="290" spans="3:16" s="3" customFormat="1" hidden="1" x14ac:dyDescent="0.25">
      <c r="C290" s="230" t="s">
        <v>515</v>
      </c>
      <c r="D290" s="1195">
        <f>+SUMIF('Master TB'!E:E,Assets!K290,'Master TB'!J:J)</f>
        <v>0</v>
      </c>
      <c r="E290" s="1195">
        <f>+SUMIF('Master TB'!$E:$E,Assets!K290,'Master TB'!$V:$V)</f>
        <v>0</v>
      </c>
      <c r="F290" s="1579"/>
      <c r="G290" s="1579"/>
      <c r="H290" s="1579"/>
      <c r="I290" s="1579"/>
      <c r="J290" s="603"/>
      <c r="K290" s="3" t="s">
        <v>1493</v>
      </c>
      <c r="M290" s="1754" t="str">
        <f t="shared" si="19"/>
        <v>No</v>
      </c>
      <c r="P290" s="42"/>
    </row>
    <row r="291" spans="3:16" s="3" customFormat="1" hidden="1" x14ac:dyDescent="0.25">
      <c r="C291" s="650"/>
      <c r="D291" s="1598">
        <f>D289+D290</f>
        <v>0</v>
      </c>
      <c r="E291" s="843">
        <f>E289+E290</f>
        <v>0</v>
      </c>
      <c r="F291" s="1579"/>
      <c r="G291" s="1579"/>
      <c r="H291" s="1579"/>
      <c r="I291" s="1579"/>
      <c r="J291" s="603"/>
      <c r="M291" s="1754" t="str">
        <f t="shared" si="19"/>
        <v>No</v>
      </c>
      <c r="P291" s="42"/>
    </row>
    <row r="292" spans="3:16" s="3" customFormat="1" hidden="1" x14ac:dyDescent="0.25">
      <c r="C292" s="636" t="str">
        <f>+"("&amp;O292&amp;")"&amp;P292</f>
        <v>(a) Finished goods (other than those acquired for trading)</v>
      </c>
      <c r="D292" s="1195">
        <f>+SUMIF('Master TB'!E:E,Assets!K292,'Master TB'!J:J)</f>
        <v>0</v>
      </c>
      <c r="E292" s="1195">
        <f>+SUMIF('Master TB'!$E:$E,Assets!K292,'Master TB'!$V:$V)</f>
        <v>0</v>
      </c>
      <c r="F292" s="1579"/>
      <c r="G292" s="1579"/>
      <c r="H292" s="1579"/>
      <c r="I292" s="1579"/>
      <c r="J292" s="603"/>
      <c r="K292" s="27" t="s">
        <v>776</v>
      </c>
      <c r="M292" s="1754" t="str">
        <f t="shared" si="19"/>
        <v>No</v>
      </c>
      <c r="O292" s="42" t="str">
        <f>+IF(M289="yes",CHAR(CODE(O289)+1),O289)</f>
        <v>a</v>
      </c>
      <c r="P292" s="42" t="s">
        <v>1602</v>
      </c>
    </row>
    <row r="293" spans="3:16" s="3" customFormat="1" hidden="1" x14ac:dyDescent="0.25">
      <c r="C293" s="230" t="s">
        <v>515</v>
      </c>
      <c r="D293" s="1195">
        <f>+SUMIF('Master TB'!E:E,Assets!K293,'Master TB'!J:J)</f>
        <v>0</v>
      </c>
      <c r="E293" s="1195">
        <f>+SUMIF('Master TB'!$E:$E,Assets!K293,'Master TB'!$V:$V)</f>
        <v>0</v>
      </c>
      <c r="F293" s="1579"/>
      <c r="G293" s="1579"/>
      <c r="H293" s="1579"/>
      <c r="I293" s="1579"/>
      <c r="J293" s="603"/>
      <c r="K293" s="3" t="s">
        <v>1496</v>
      </c>
      <c r="M293" s="1754" t="str">
        <f t="shared" si="19"/>
        <v>No</v>
      </c>
      <c r="P293" s="42"/>
    </row>
    <row r="294" spans="3:16" s="3" customFormat="1" hidden="1" x14ac:dyDescent="0.25">
      <c r="C294" s="650"/>
      <c r="D294" s="1598">
        <f>D292+D293</f>
        <v>0</v>
      </c>
      <c r="E294" s="843">
        <f>E292+E293</f>
        <v>0</v>
      </c>
      <c r="F294" s="1579"/>
      <c r="G294" s="1579"/>
      <c r="H294" s="1579"/>
      <c r="I294" s="1579"/>
      <c r="J294" s="603"/>
      <c r="M294" s="1754" t="str">
        <f t="shared" si="19"/>
        <v>No</v>
      </c>
      <c r="P294" s="42"/>
    </row>
    <row r="295" spans="3:16" s="3" customFormat="1" x14ac:dyDescent="0.25">
      <c r="C295" s="636" t="str">
        <f>+"("&amp;O295&amp;")"&amp;P295</f>
        <v>(a) Stock-in-trade (acquired for trading)</v>
      </c>
      <c r="D295" s="1195">
        <f>+'Qualitative Disclosures'!E705</f>
        <v>33397.197799999994</v>
      </c>
      <c r="E295" s="1195">
        <f>+'Qualitative Disclosures'!F705</f>
        <v>25264.693599999999</v>
      </c>
      <c r="F295" s="1579"/>
      <c r="G295" s="1579"/>
      <c r="H295" s="1579"/>
      <c r="I295" s="1579"/>
      <c r="J295" s="603"/>
      <c r="K295" s="27" t="s">
        <v>777</v>
      </c>
      <c r="M295" s="1754" t="str">
        <f t="shared" si="19"/>
        <v>Yes</v>
      </c>
      <c r="O295" s="42" t="str">
        <f>+IF(M292="yes",CHAR(CODE(O292)+1),O292)</f>
        <v>a</v>
      </c>
      <c r="P295" s="42" t="s">
        <v>1603</v>
      </c>
    </row>
    <row r="296" spans="3:16" s="3" customFormat="1" hidden="1" x14ac:dyDescent="0.25">
      <c r="C296" s="230" t="s">
        <v>515</v>
      </c>
      <c r="D296" s="1195">
        <f>+SUMIF('Master TB'!E:E,Assets!K296,'Master TB'!J:J)</f>
        <v>0</v>
      </c>
      <c r="E296" s="1195">
        <f>+SUMIF('Master TB'!$E:$E,Assets!K296,'Master TB'!$V:$V)</f>
        <v>0</v>
      </c>
      <c r="F296" s="1579"/>
      <c r="G296" s="1579"/>
      <c r="H296" s="1579"/>
      <c r="I296" s="1579"/>
      <c r="J296" s="603"/>
      <c r="K296" s="3" t="s">
        <v>1499</v>
      </c>
      <c r="M296" s="1754" t="str">
        <f t="shared" si="19"/>
        <v>No</v>
      </c>
      <c r="P296" s="42"/>
    </row>
    <row r="297" spans="3:16" s="3" customFormat="1" hidden="1" x14ac:dyDescent="0.25">
      <c r="C297" s="650"/>
      <c r="D297" s="1598">
        <f>D295+D296</f>
        <v>33397.197799999994</v>
      </c>
      <c r="E297" s="843">
        <f>E295+E296</f>
        <v>25264.693599999999</v>
      </c>
      <c r="F297" s="1579"/>
      <c r="G297" s="1579"/>
      <c r="H297" s="1579"/>
      <c r="I297" s="1579"/>
      <c r="J297" s="603"/>
      <c r="M297" s="1754" t="str">
        <f t="shared" si="19"/>
        <v>Yes</v>
      </c>
      <c r="P297" s="42"/>
    </row>
    <row r="298" spans="3:16" s="3" customFormat="1" hidden="1" x14ac:dyDescent="0.25">
      <c r="C298" s="636" t="str">
        <f>+"("&amp;O298&amp;")"&amp;P298</f>
        <v>(b) Stores and spares</v>
      </c>
      <c r="D298" s="1195">
        <f>+SUMIF('Master TB'!E:E,Assets!K298,'Master TB'!J:J)</f>
        <v>0</v>
      </c>
      <c r="E298" s="1195">
        <f>+SUMIF('Master TB'!$E:$E,Assets!K298,'Master TB'!$V:$V)</f>
        <v>0</v>
      </c>
      <c r="F298" s="1579"/>
      <c r="G298" s="1579"/>
      <c r="H298" s="1579"/>
      <c r="I298" s="1579"/>
      <c r="J298" s="603"/>
      <c r="K298" s="27" t="s">
        <v>778</v>
      </c>
      <c r="M298" s="1754" t="str">
        <f t="shared" si="19"/>
        <v>No</v>
      </c>
      <c r="O298" s="42" t="str">
        <f>+IF(M295="yes",CHAR(CODE(O295)+1),O295)</f>
        <v>b</v>
      </c>
      <c r="P298" s="42" t="s">
        <v>1604</v>
      </c>
    </row>
    <row r="299" spans="3:16" s="3" customFormat="1" hidden="1" x14ac:dyDescent="0.25">
      <c r="C299" s="230" t="s">
        <v>515</v>
      </c>
      <c r="D299" s="1195">
        <f>+SUMIF('Master TB'!E:E,Assets!K299,'Master TB'!J:J)</f>
        <v>0</v>
      </c>
      <c r="E299" s="1195">
        <f>+SUMIF('Master TB'!$E:$E,Assets!K299,'Master TB'!$V:$V)</f>
        <v>0</v>
      </c>
      <c r="F299" s="1579"/>
      <c r="G299" s="1579"/>
      <c r="H299" s="1579"/>
      <c r="I299" s="1579"/>
      <c r="J299" s="603"/>
      <c r="K299" s="3" t="s">
        <v>1502</v>
      </c>
      <c r="M299" s="1754" t="str">
        <f t="shared" si="19"/>
        <v>No</v>
      </c>
      <c r="P299" s="42"/>
    </row>
    <row r="300" spans="3:16" s="3" customFormat="1" hidden="1" x14ac:dyDescent="0.25">
      <c r="C300" s="650"/>
      <c r="D300" s="1598">
        <f>D298+D299</f>
        <v>0</v>
      </c>
      <c r="E300" s="843">
        <f>E298+E299</f>
        <v>0</v>
      </c>
      <c r="F300" s="1579"/>
      <c r="G300" s="1579"/>
      <c r="H300" s="1579"/>
      <c r="I300" s="1579"/>
      <c r="J300" s="603"/>
      <c r="M300" s="1754" t="str">
        <f t="shared" si="19"/>
        <v>No</v>
      </c>
      <c r="P300" s="42"/>
    </row>
    <row r="301" spans="3:16" s="3" customFormat="1" hidden="1" x14ac:dyDescent="0.25">
      <c r="C301" s="636" t="str">
        <f>+"("&amp;O301&amp;")"&amp;P301</f>
        <v>(b) Loose Tools</v>
      </c>
      <c r="D301" s="1195">
        <f>+SUMIF('Master TB'!E:E,Assets!K301,'Master TB'!J:J)</f>
        <v>0</v>
      </c>
      <c r="E301" s="1195">
        <f>+SUMIF('Master TB'!$E:$E,Assets!K301,'Master TB'!$V:$V)</f>
        <v>0</v>
      </c>
      <c r="F301" s="1579"/>
      <c r="G301" s="1579"/>
      <c r="H301" s="1579"/>
      <c r="I301" s="1579"/>
      <c r="J301" s="603"/>
      <c r="K301" s="27" t="s">
        <v>779</v>
      </c>
      <c r="M301" s="1754" t="str">
        <f t="shared" si="19"/>
        <v>No</v>
      </c>
      <c r="O301" s="42" t="str">
        <f>+IF(M298="yes",CHAR(CODE(O298)+1),O298)</f>
        <v>b</v>
      </c>
      <c r="P301" s="42" t="s">
        <v>1605</v>
      </c>
    </row>
    <row r="302" spans="3:16" s="3" customFormat="1" hidden="1" x14ac:dyDescent="0.25">
      <c r="C302" s="230" t="s">
        <v>515</v>
      </c>
      <c r="D302" s="1195">
        <f>+SUMIF('Master TB'!E:E,Assets!K302,'Master TB'!J:J)</f>
        <v>0</v>
      </c>
      <c r="E302" s="1195">
        <f>+SUMIF('Master TB'!$E:$E,Assets!K302,'Master TB'!$V:$V)</f>
        <v>0</v>
      </c>
      <c r="F302" s="1579"/>
      <c r="G302" s="1579"/>
      <c r="H302" s="1579"/>
      <c r="I302" s="1579"/>
      <c r="J302" s="603"/>
      <c r="K302" s="3" t="s">
        <v>1505</v>
      </c>
      <c r="M302" s="1754" t="str">
        <f t="shared" si="19"/>
        <v>No</v>
      </c>
      <c r="P302" s="42"/>
    </row>
    <row r="303" spans="3:16" hidden="1" x14ac:dyDescent="0.25">
      <c r="C303" s="650"/>
      <c r="D303" s="1598">
        <f>D301+D302</f>
        <v>0</v>
      </c>
      <c r="E303" s="843">
        <f>E301+E302</f>
        <v>0</v>
      </c>
      <c r="G303" s="1579"/>
      <c r="M303" s="1754" t="str">
        <f t="shared" si="19"/>
        <v>No</v>
      </c>
      <c r="P303" s="42"/>
    </row>
    <row r="304" spans="3:16" hidden="1" x14ac:dyDescent="0.25">
      <c r="C304" s="636" t="str">
        <f>+"("&amp;O304&amp;")"&amp;P304</f>
        <v>(b) Others</v>
      </c>
      <c r="D304" s="1195">
        <f>+SUMIF('Master TB'!E:E,Assets!K304,'Master TB'!J:J)</f>
        <v>0</v>
      </c>
      <c r="E304" s="1195">
        <f>+SUMIF('Master TB'!$E:$E,Assets!K304,'Master TB'!$V:$V)</f>
        <v>0</v>
      </c>
      <c r="G304" s="1579"/>
      <c r="K304" s="27" t="s">
        <v>780</v>
      </c>
      <c r="M304" s="1754" t="str">
        <f t="shared" si="19"/>
        <v>No</v>
      </c>
      <c r="O304" s="42" t="str">
        <f>+IF(M301="yes",CHAR(CODE(O301)+1),O301)</f>
        <v>b</v>
      </c>
      <c r="P304" s="42" t="s">
        <v>1968</v>
      </c>
    </row>
    <row r="305" spans="3:16" hidden="1" x14ac:dyDescent="0.25">
      <c r="C305" s="230" t="s">
        <v>515</v>
      </c>
      <c r="D305" s="1195">
        <f>+SUMIF('Master TB'!E:E,Assets!K305,'Master TB'!J:J)</f>
        <v>0</v>
      </c>
      <c r="E305" s="1195">
        <f>+SUMIF('Master TB'!$E:$E,Assets!K305,'Master TB'!$V:$V)</f>
        <v>0</v>
      </c>
      <c r="G305" s="1579"/>
      <c r="K305" s="41" t="s">
        <v>1508</v>
      </c>
      <c r="M305" s="1754" t="str">
        <f t="shared" si="19"/>
        <v>No</v>
      </c>
      <c r="P305" s="42"/>
    </row>
    <row r="306" spans="3:16" hidden="1" x14ac:dyDescent="0.25">
      <c r="C306" s="134"/>
      <c r="D306" s="1598">
        <f>D304+D305</f>
        <v>0</v>
      </c>
      <c r="E306" s="843">
        <f>E304+E305</f>
        <v>0</v>
      </c>
      <c r="M306" s="1754" t="str">
        <f t="shared" si="19"/>
        <v>No</v>
      </c>
      <c r="P306" s="42"/>
    </row>
    <row r="307" spans="3:16" x14ac:dyDescent="0.25">
      <c r="C307" s="141"/>
      <c r="D307" s="1195"/>
      <c r="E307" s="1195"/>
      <c r="M307" s="1754"/>
      <c r="P307" s="42"/>
    </row>
    <row r="308" spans="3:16" x14ac:dyDescent="0.25">
      <c r="C308" s="1961" t="s">
        <v>35</v>
      </c>
      <c r="D308" s="2483">
        <f>SUM(D288,D291,D294,D297,D300,D303,D306)</f>
        <v>33397.197799999994</v>
      </c>
      <c r="E308" s="2484">
        <f>SUM(E288,E291,E294,E297,E300,E303,E306)</f>
        <v>25264.693599999999</v>
      </c>
      <c r="M308" s="1754" t="str">
        <f t="shared" si="19"/>
        <v>Yes</v>
      </c>
      <c r="P308" s="42"/>
    </row>
    <row r="309" spans="3:16" x14ac:dyDescent="0.25">
      <c r="M309" s="1756" t="str">
        <f>IF(M308="No","No","Yes")</f>
        <v>Yes</v>
      </c>
      <c r="P309" s="42"/>
    </row>
    <row r="310" spans="3:16" hidden="1" x14ac:dyDescent="0.25">
      <c r="C310" s="101" t="s">
        <v>1985</v>
      </c>
      <c r="D310" s="1548"/>
      <c r="E310" s="1396"/>
      <c r="J310" s="1356"/>
      <c r="M310" s="1756" t="str">
        <f>IF(M308="No","No","Yes")</f>
        <v>Yes</v>
      </c>
      <c r="P310" s="42"/>
    </row>
    <row r="311" spans="3:16" ht="30" hidden="1" x14ac:dyDescent="0.25">
      <c r="C311" s="1268" t="s">
        <v>20</v>
      </c>
      <c r="D311" s="1402" t="str">
        <f>+BSCY</f>
        <v>As At 31st March 2025</v>
      </c>
      <c r="E311" s="1402" t="str">
        <f>+BSPY</f>
        <v>As At 31st March 2024</v>
      </c>
      <c r="J311" s="1356"/>
      <c r="M311" s="1756" t="str">
        <f>IF(M322="No","No","Yes")</f>
        <v>No</v>
      </c>
      <c r="P311" s="42"/>
    </row>
    <row r="312" spans="3:16" hidden="1" x14ac:dyDescent="0.25">
      <c r="C312" s="1501" t="str">
        <f>+IF('Qualitative Disclosures'!C918="","",'Qualitative Disclosures'!C918)</f>
        <v>Product X1</v>
      </c>
      <c r="D312" s="1542">
        <f>+'Qualitative Disclosures'!D918</f>
        <v>0</v>
      </c>
      <c r="E312" s="1543">
        <f>+'Qualitative Disclosures'!E918</f>
        <v>0</v>
      </c>
      <c r="J312" s="1356"/>
      <c r="M312" s="1754" t="str">
        <f>IF(AND(D312=0,E312=0),"No","Yes")</f>
        <v>No</v>
      </c>
      <c r="P312" s="42"/>
    </row>
    <row r="313" spans="3:16" hidden="1" x14ac:dyDescent="0.25">
      <c r="C313" s="1501" t="str">
        <f>+IF('Qualitative Disclosures'!C919="","",'Qualitative Disclosures'!C919)</f>
        <v>Product Y1</v>
      </c>
      <c r="D313" s="1542">
        <f>+'Qualitative Disclosures'!D919</f>
        <v>0</v>
      </c>
      <c r="E313" s="1543">
        <f>+'Qualitative Disclosures'!E919</f>
        <v>0</v>
      </c>
      <c r="J313" s="1356"/>
      <c r="M313" s="1754" t="str">
        <f t="shared" ref="M313:M322" si="20">IF(AND(D313=0,E313=0),"No","Yes")</f>
        <v>No</v>
      </c>
      <c r="P313" s="42"/>
    </row>
    <row r="314" spans="3:16" hidden="1" x14ac:dyDescent="0.25">
      <c r="C314" s="1501" t="str">
        <f>+IF('Qualitative Disclosures'!C920="","",'Qualitative Disclosures'!C920)</f>
        <v>Product Z1</v>
      </c>
      <c r="D314" s="1542">
        <f>+'Qualitative Disclosures'!D920</f>
        <v>0</v>
      </c>
      <c r="E314" s="1543">
        <f>+'Qualitative Disclosures'!E920</f>
        <v>0</v>
      </c>
      <c r="J314" s="1356"/>
      <c r="M314" s="1754" t="str">
        <f t="shared" si="20"/>
        <v>No</v>
      </c>
      <c r="P314" s="42"/>
    </row>
    <row r="315" spans="3:16" hidden="1" x14ac:dyDescent="0.25">
      <c r="C315" s="1501" t="str">
        <f>+IF('Qualitative Disclosures'!C921="","",'Qualitative Disclosures'!C921)</f>
        <v>Other items</v>
      </c>
      <c r="D315" s="1542">
        <f>+'Qualitative Disclosures'!D921</f>
        <v>0</v>
      </c>
      <c r="E315" s="1544">
        <f>+'Qualitative Disclosures'!E921</f>
        <v>0</v>
      </c>
      <c r="J315" s="1356"/>
      <c r="M315" s="1754" t="str">
        <f t="shared" si="20"/>
        <v>No</v>
      </c>
      <c r="P315" s="42"/>
    </row>
    <row r="316" spans="3:16" hidden="1" x14ac:dyDescent="0.25">
      <c r="C316" s="1501" t="str">
        <f>+IF('Qualitative Disclosures'!C922="","",'Qualitative Disclosures'!C922)</f>
        <v/>
      </c>
      <c r="D316" s="1542">
        <f>+'Qualitative Disclosures'!D922</f>
        <v>0</v>
      </c>
      <c r="E316" s="1544">
        <f>+'Qualitative Disclosures'!E922</f>
        <v>0</v>
      </c>
      <c r="J316" s="1356"/>
      <c r="M316" s="1754" t="str">
        <f t="shared" si="20"/>
        <v>No</v>
      </c>
      <c r="P316" s="42"/>
    </row>
    <row r="317" spans="3:16" hidden="1" x14ac:dyDescent="0.25">
      <c r="C317" s="1501" t="str">
        <f>+IF('Qualitative Disclosures'!C923="","",'Qualitative Disclosures'!C923)</f>
        <v/>
      </c>
      <c r="D317" s="1542">
        <f>+'Qualitative Disclosures'!D923</f>
        <v>0</v>
      </c>
      <c r="E317" s="1544">
        <f>+'Qualitative Disclosures'!E923</f>
        <v>0</v>
      </c>
      <c r="J317" s="1356"/>
      <c r="M317" s="1754" t="str">
        <f t="shared" si="20"/>
        <v>No</v>
      </c>
      <c r="P317" s="42"/>
    </row>
    <row r="318" spans="3:16" hidden="1" x14ac:dyDescent="0.25">
      <c r="C318" s="1501" t="str">
        <f>+IF('Qualitative Disclosures'!C924="","",'Qualitative Disclosures'!C924)</f>
        <v/>
      </c>
      <c r="D318" s="1542">
        <f>+'Qualitative Disclosures'!D924</f>
        <v>0</v>
      </c>
      <c r="E318" s="1544">
        <f>+'Qualitative Disclosures'!E924</f>
        <v>0</v>
      </c>
      <c r="J318" s="1356"/>
      <c r="M318" s="1754" t="str">
        <f t="shared" si="20"/>
        <v>No</v>
      </c>
      <c r="P318" s="42"/>
    </row>
    <row r="319" spans="3:16" hidden="1" x14ac:dyDescent="0.25">
      <c r="C319" s="1501" t="str">
        <f>+IF('Qualitative Disclosures'!C925="","",'Qualitative Disclosures'!C925)</f>
        <v/>
      </c>
      <c r="D319" s="1542">
        <f>+'Qualitative Disclosures'!D925</f>
        <v>0</v>
      </c>
      <c r="E319" s="1544">
        <f>+'Qualitative Disclosures'!E925</f>
        <v>0</v>
      </c>
      <c r="J319" s="1356"/>
      <c r="M319" s="1754" t="str">
        <f t="shared" si="20"/>
        <v>No</v>
      </c>
      <c r="P319" s="42"/>
    </row>
    <row r="320" spans="3:16" hidden="1" x14ac:dyDescent="0.25">
      <c r="C320" s="1501" t="str">
        <f>+IF('Qualitative Disclosures'!C926="","",'Qualitative Disclosures'!C926)</f>
        <v/>
      </c>
      <c r="D320" s="1542">
        <f>+'Qualitative Disclosures'!D926</f>
        <v>0</v>
      </c>
      <c r="E320" s="1544">
        <f>+'Qualitative Disclosures'!E926</f>
        <v>0</v>
      </c>
      <c r="J320" s="1356"/>
      <c r="M320" s="1754" t="str">
        <f t="shared" si="20"/>
        <v>No</v>
      </c>
      <c r="P320" s="42"/>
    </row>
    <row r="321" spans="3:16" hidden="1" x14ac:dyDescent="0.25">
      <c r="C321" s="1501" t="str">
        <f>+IF('Qualitative Disclosures'!C927="","",'Qualitative Disclosures'!C927)</f>
        <v/>
      </c>
      <c r="D321" s="1542">
        <f>+'Qualitative Disclosures'!D927</f>
        <v>0</v>
      </c>
      <c r="E321" s="1544">
        <f>+'Qualitative Disclosures'!E927</f>
        <v>0</v>
      </c>
      <c r="J321" s="1356"/>
      <c r="M321" s="1754" t="str">
        <f t="shared" si="20"/>
        <v>No</v>
      </c>
      <c r="P321" s="42"/>
    </row>
    <row r="322" spans="3:16" hidden="1" x14ac:dyDescent="0.25">
      <c r="C322" s="1502" t="str">
        <f>+IF('Qualitative Disclosures'!C928="","",'Qualitative Disclosures'!C928)</f>
        <v>Total</v>
      </c>
      <c r="D322" s="1650">
        <f>+'Qualitative Disclosures'!D928</f>
        <v>0</v>
      </c>
      <c r="E322" s="1650">
        <f>+'Qualitative Disclosures'!E928</f>
        <v>0</v>
      </c>
      <c r="J322" s="1356"/>
      <c r="M322" s="1754" t="str">
        <f t="shared" si="20"/>
        <v>No</v>
      </c>
      <c r="P322" s="42"/>
    </row>
    <row r="323" spans="3:16" hidden="1" x14ac:dyDescent="0.25">
      <c r="J323" s="1356"/>
      <c r="M323" s="1756" t="str">
        <f>M322</f>
        <v>No</v>
      </c>
      <c r="P323" s="42"/>
    </row>
    <row r="324" spans="3:16" hidden="1" x14ac:dyDescent="0.25">
      <c r="C324" s="1421" t="str">
        <f>+IF(Footnotes!C113="","",Footnotes!C113)</f>
        <v/>
      </c>
      <c r="D324" s="1536" t="str">
        <f>+IF(Footnotes!D113="","",Footnotes!D113)</f>
        <v/>
      </c>
      <c r="E324" s="1536" t="str">
        <f>+IF(Footnotes!E113="","",Footnotes!E113)</f>
        <v/>
      </c>
      <c r="F324" s="1536" t="str">
        <f>+IF(Footnotes!F113="","",Footnotes!F113)</f>
        <v/>
      </c>
      <c r="G324" s="1536" t="str">
        <f>+IF(Footnotes!G113="","",Footnotes!G113)</f>
        <v/>
      </c>
      <c r="H324" s="1536" t="str">
        <f>+IF(Footnotes!H113="","",Footnotes!H113)</f>
        <v/>
      </c>
      <c r="I324" s="1536" t="str">
        <f>+IF(Footnotes!I113="","",Footnotes!I113)</f>
        <v/>
      </c>
      <c r="J324" s="1356"/>
      <c r="M324" s="1756" t="str">
        <f t="shared" ref="M324:M329" si="21">+IF(AND(C324="",D324="",E324="",F324="",G324="",H324="",I324=""),"No","Yes")</f>
        <v>No</v>
      </c>
      <c r="P324" s="42"/>
    </row>
    <row r="325" spans="3:16" hidden="1" x14ac:dyDescent="0.25">
      <c r="C325" s="1267" t="str">
        <f>+IF(Footnotes!C114="","",Footnotes!C114)</f>
        <v/>
      </c>
      <c r="D325" s="1536" t="str">
        <f>+IF(Footnotes!D114="","",Footnotes!D114)</f>
        <v/>
      </c>
      <c r="E325" s="1536" t="str">
        <f>+IF(Footnotes!E114="","",Footnotes!E114)</f>
        <v/>
      </c>
      <c r="F325" s="1536" t="str">
        <f>+IF(Footnotes!F114="","",Footnotes!F114)</f>
        <v/>
      </c>
      <c r="G325" s="1536" t="str">
        <f>+IF(Footnotes!G114="","",Footnotes!G114)</f>
        <v/>
      </c>
      <c r="H325" s="1536" t="str">
        <f>+IF(Footnotes!H114="","",Footnotes!H114)</f>
        <v/>
      </c>
      <c r="I325" s="1536" t="str">
        <f>+IF(Footnotes!I114="","",Footnotes!I114)</f>
        <v/>
      </c>
      <c r="J325" s="1356"/>
      <c r="M325" s="1756" t="str">
        <f t="shared" si="21"/>
        <v>No</v>
      </c>
      <c r="P325" s="42"/>
    </row>
    <row r="326" spans="3:16" hidden="1" x14ac:dyDescent="0.25">
      <c r="C326" s="1267" t="str">
        <f>+IF(Footnotes!C115="","",Footnotes!C115)</f>
        <v/>
      </c>
      <c r="D326" s="1536" t="str">
        <f>+IF(Footnotes!D115="","",Footnotes!D115)</f>
        <v/>
      </c>
      <c r="E326" s="1536" t="str">
        <f>+IF(Footnotes!E115="","",Footnotes!E115)</f>
        <v/>
      </c>
      <c r="F326" s="1536" t="str">
        <f>+IF(Footnotes!F115="","",Footnotes!F115)</f>
        <v/>
      </c>
      <c r="G326" s="1536" t="str">
        <f>+IF(Footnotes!G115="","",Footnotes!G115)</f>
        <v/>
      </c>
      <c r="H326" s="1536" t="str">
        <f>+IF(Footnotes!H115="","",Footnotes!H115)</f>
        <v/>
      </c>
      <c r="I326" s="1536" t="str">
        <f>+IF(Footnotes!I115="","",Footnotes!I115)</f>
        <v/>
      </c>
      <c r="J326" s="1356"/>
      <c r="M326" s="1756" t="str">
        <f t="shared" si="21"/>
        <v>No</v>
      </c>
      <c r="P326" s="42"/>
    </row>
    <row r="327" spans="3:16" hidden="1" x14ac:dyDescent="0.25">
      <c r="C327" s="1267" t="str">
        <f>+IF(Footnotes!C116="","",Footnotes!C116)</f>
        <v/>
      </c>
      <c r="D327" s="1536" t="str">
        <f>+IF(Footnotes!D116="","",Footnotes!D116)</f>
        <v/>
      </c>
      <c r="E327" s="1536" t="str">
        <f>+IF(Footnotes!E116="","",Footnotes!E116)</f>
        <v/>
      </c>
      <c r="F327" s="1536" t="str">
        <f>+IF(Footnotes!F116="","",Footnotes!F116)</f>
        <v/>
      </c>
      <c r="G327" s="1536" t="str">
        <f>+IF(Footnotes!G116="","",Footnotes!G116)</f>
        <v/>
      </c>
      <c r="H327" s="1536" t="str">
        <f>+IF(Footnotes!H116="","",Footnotes!H116)</f>
        <v/>
      </c>
      <c r="I327" s="1536" t="str">
        <f>+IF(Footnotes!I116="","",Footnotes!I116)</f>
        <v/>
      </c>
      <c r="J327" s="1356"/>
      <c r="M327" s="1756" t="str">
        <f t="shared" si="21"/>
        <v>No</v>
      </c>
      <c r="P327" s="42"/>
    </row>
    <row r="328" spans="3:16" hidden="1" x14ac:dyDescent="0.25">
      <c r="C328" s="1267" t="str">
        <f>+IF(Footnotes!C117="","",Footnotes!C117)</f>
        <v/>
      </c>
      <c r="D328" s="1536" t="str">
        <f>+IF(Footnotes!D117="","",Footnotes!D117)</f>
        <v/>
      </c>
      <c r="E328" s="1536" t="str">
        <f>+IF(Footnotes!E117="","",Footnotes!E117)</f>
        <v/>
      </c>
      <c r="F328" s="1536" t="str">
        <f>+IF(Footnotes!F117="","",Footnotes!F117)</f>
        <v/>
      </c>
      <c r="G328" s="1536" t="str">
        <f>+IF(Footnotes!G117="","",Footnotes!G117)</f>
        <v/>
      </c>
      <c r="H328" s="1536" t="str">
        <f>+IF(Footnotes!H117="","",Footnotes!H117)</f>
        <v/>
      </c>
      <c r="I328" s="1536" t="str">
        <f>+IF(Footnotes!I117="","",Footnotes!I117)</f>
        <v/>
      </c>
      <c r="J328" s="1356"/>
      <c r="M328" s="1756" t="str">
        <f t="shared" si="21"/>
        <v>No</v>
      </c>
      <c r="P328" s="42"/>
    </row>
    <row r="329" spans="3:16" hidden="1" x14ac:dyDescent="0.25">
      <c r="C329" s="1267" t="str">
        <f>+IF(Footnotes!C118="","",Footnotes!C118)</f>
        <v/>
      </c>
      <c r="D329" s="1536" t="str">
        <f>+IF(Footnotes!D118="","",Footnotes!D118)</f>
        <v/>
      </c>
      <c r="E329" s="1536" t="str">
        <f>+IF(Footnotes!E118="","",Footnotes!E118)</f>
        <v/>
      </c>
      <c r="F329" s="1536" t="str">
        <f>+IF(Footnotes!F118="","",Footnotes!F118)</f>
        <v/>
      </c>
      <c r="G329" s="1536" t="str">
        <f>+IF(Footnotes!G118="","",Footnotes!G118)</f>
        <v/>
      </c>
      <c r="H329" s="1536" t="str">
        <f>+IF(Footnotes!H118="","",Footnotes!H118)</f>
        <v/>
      </c>
      <c r="I329" s="1536" t="str">
        <f>+IF(Footnotes!I118="","",Footnotes!I118)</f>
        <v/>
      </c>
      <c r="J329" s="1356"/>
      <c r="M329" s="1756" t="str">
        <f t="shared" si="21"/>
        <v>No</v>
      </c>
      <c r="P329" s="42"/>
    </row>
    <row r="330" spans="3:16" hidden="1" x14ac:dyDescent="0.25">
      <c r="M330" s="1756" t="str">
        <f>M324</f>
        <v>No</v>
      </c>
      <c r="P330" s="42"/>
    </row>
    <row r="331" spans="3:16" x14ac:dyDescent="0.25">
      <c r="C331" s="2745" t="str">
        <f>+"Note "&amp;'Balance Sheet'!E59&amp;" : Trade Receivables"</f>
        <v>Note 12 : Trade Receivables</v>
      </c>
      <c r="D331" s="2745"/>
      <c r="E331" s="2745"/>
      <c r="M331" s="1756" t="str">
        <f>+M333</f>
        <v>Yes</v>
      </c>
      <c r="P331" s="42"/>
    </row>
    <row r="332" spans="3:16" x14ac:dyDescent="0.25">
      <c r="C332" s="20"/>
      <c r="D332" s="1394"/>
      <c r="E332" s="1394" t="str">
        <f>+E283</f>
        <v>Amount in Rs '00.</v>
      </c>
      <c r="M332" s="1756" t="str">
        <f>+M333</f>
        <v>Yes</v>
      </c>
      <c r="P332" s="42"/>
    </row>
    <row r="333" spans="3:16" ht="30" x14ac:dyDescent="0.25">
      <c r="C333" s="1930" t="s">
        <v>20</v>
      </c>
      <c r="D333" s="1960" t="str">
        <f>BSCY</f>
        <v>As At 31st March 2025</v>
      </c>
      <c r="E333" s="1951" t="str">
        <f>BSPY</f>
        <v>As At 31st March 2024</v>
      </c>
      <c r="M333" s="1756" t="str">
        <f>M345</f>
        <v>Yes</v>
      </c>
      <c r="P333" s="42"/>
    </row>
    <row r="334" spans="3:16" x14ac:dyDescent="0.25">
      <c r="C334" s="241" t="str">
        <f>+"("&amp;O334&amp;")"&amp;P334</f>
        <v>(a) Trade receivables from related parties</v>
      </c>
      <c r="D334" s="1205"/>
      <c r="E334" s="1389"/>
      <c r="M334" s="1756" t="str">
        <f>IF(AND(M335="No",M336="No",M337="No"),"No","Yes")</f>
        <v>Yes</v>
      </c>
      <c r="O334" s="41" t="s">
        <v>1562</v>
      </c>
      <c r="P334" s="42" t="s">
        <v>1606</v>
      </c>
    </row>
    <row r="335" spans="3:16" x14ac:dyDescent="0.25">
      <c r="C335" s="602" t="s">
        <v>188</v>
      </c>
      <c r="D335" s="1195">
        <f>+SUMIF('Master TB'!E:E,Assets!K335,'Master TB'!J:J)</f>
        <v>400044.04979999998</v>
      </c>
      <c r="E335" s="1195">
        <f>+SUMIF('Master TB'!$E:$E,Assets!K335,'Master TB'!$V:$V)</f>
        <v>265575.11240000004</v>
      </c>
      <c r="K335" s="27" t="s">
        <v>781</v>
      </c>
      <c r="M335" s="1756" t="str">
        <f>IF(AND(D335=0,E335=0),"No","Yes")</f>
        <v>Yes</v>
      </c>
      <c r="P335" s="42"/>
    </row>
    <row r="336" spans="3:16" hidden="1" x14ac:dyDescent="0.25">
      <c r="C336" s="602" t="s">
        <v>188</v>
      </c>
      <c r="D336" s="1195">
        <f>+SUMIF('Master TB'!E:E,Assets!K336,'Master TB'!J:J)</f>
        <v>0</v>
      </c>
      <c r="E336" s="1195">
        <f>+SUMIF('Master TB'!$E:$E,Assets!K336,'Master TB'!$V:$V)</f>
        <v>0</v>
      </c>
      <c r="K336" s="41" t="s">
        <v>782</v>
      </c>
      <c r="M336" s="1756" t="str">
        <f t="shared" ref="M336:M342" si="22">IF(AND(D336=0,E336=0),"No","Yes")</f>
        <v>No</v>
      </c>
      <c r="P336" s="42"/>
    </row>
    <row r="337" spans="3:16" hidden="1" x14ac:dyDescent="0.25">
      <c r="C337" s="602" t="s">
        <v>189</v>
      </c>
      <c r="D337" s="1195">
        <f>+SUMIF('Master TB'!E:E,Assets!K337,'Master TB'!J:J)</f>
        <v>0</v>
      </c>
      <c r="E337" s="1195">
        <f>+SUMIF('Master TB'!$E:$E,Assets!K337,'Master TB'!$V:$V)</f>
        <v>0</v>
      </c>
      <c r="K337" s="41" t="s">
        <v>1512</v>
      </c>
      <c r="M337" s="1756" t="str">
        <f t="shared" si="22"/>
        <v>No</v>
      </c>
      <c r="P337" s="42"/>
    </row>
    <row r="338" spans="3:16" x14ac:dyDescent="0.25">
      <c r="C338" s="287"/>
      <c r="D338" s="1208"/>
      <c r="E338" s="1195"/>
      <c r="P338" s="42"/>
    </row>
    <row r="339" spans="3:16" x14ac:dyDescent="0.25">
      <c r="C339" s="241" t="str">
        <f>+"("&amp;O339&amp;")"&amp;P339</f>
        <v>(b) Trade receivables from external parties</v>
      </c>
      <c r="D339" s="1651"/>
      <c r="E339" s="845"/>
      <c r="G339" s="1579"/>
      <c r="M339" s="1756" t="str">
        <f>IF(AND(M340="No",M341="No",M342="No"),"No","Yes")</f>
        <v>Yes</v>
      </c>
      <c r="O339" s="42" t="str">
        <f>+IF(M334="yes",CHAR(CODE(O334)+1),O334)</f>
        <v>b</v>
      </c>
      <c r="P339" s="42" t="s">
        <v>1607</v>
      </c>
    </row>
    <row r="340" spans="3:16" x14ac:dyDescent="0.25">
      <c r="C340" s="602" t="s">
        <v>188</v>
      </c>
      <c r="D340" s="1195">
        <f>+SUMIF('Master TB'!E:E,Assets!K340,'Master TB'!J:J)</f>
        <v>100320.1145</v>
      </c>
      <c r="E340" s="1195">
        <f>+SUMIF('Master TB'!$E:$E,Assets!K340,'Master TB'!$V:$V)</f>
        <v>61133.681700000001</v>
      </c>
      <c r="K340" s="41" t="s">
        <v>1514</v>
      </c>
      <c r="M340" s="1756" t="str">
        <f t="shared" si="22"/>
        <v>Yes</v>
      </c>
      <c r="P340" s="42"/>
    </row>
    <row r="341" spans="3:16" hidden="1" x14ac:dyDescent="0.25">
      <c r="C341" s="602" t="s">
        <v>188</v>
      </c>
      <c r="D341" s="1195">
        <f>+SUMIF('Master TB'!E:E,Assets!K341,'Master TB'!J:J)</f>
        <v>0</v>
      </c>
      <c r="E341" s="1195">
        <f>+SUMIF('Master TB'!$E:$E,Assets!K341,'Master TB'!$V:$V)</f>
        <v>0</v>
      </c>
      <c r="K341" s="41" t="s">
        <v>1516</v>
      </c>
      <c r="M341" s="1756" t="str">
        <f>IF(AND(D341=0,E341=0),"No","Yes")</f>
        <v>No</v>
      </c>
      <c r="P341" s="42"/>
    </row>
    <row r="342" spans="3:16" hidden="1" x14ac:dyDescent="0.25">
      <c r="C342" s="602" t="s">
        <v>189</v>
      </c>
      <c r="D342" s="1195">
        <f>+SUMIF('Master TB'!E:E,Assets!K342,'Master TB'!J:J)</f>
        <v>0</v>
      </c>
      <c r="E342" s="1195">
        <f>+SUMIF('Master TB'!$E:$E,Assets!K342,'Master TB'!$V:$V)</f>
        <v>0</v>
      </c>
      <c r="K342" s="41" t="s">
        <v>1518</v>
      </c>
      <c r="M342" s="1756" t="str">
        <f t="shared" si="22"/>
        <v>No</v>
      </c>
      <c r="P342" s="42"/>
    </row>
    <row r="343" spans="3:16" hidden="1" x14ac:dyDescent="0.25">
      <c r="C343" s="652" t="s">
        <v>35</v>
      </c>
      <c r="D343" s="832">
        <f>SUM(D335:D342)</f>
        <v>500364.16429999995</v>
      </c>
      <c r="E343" s="832">
        <f>SUM(E335:E342)</f>
        <v>326708.79410000006</v>
      </c>
      <c r="M343" s="1756" t="str">
        <f>+M344</f>
        <v>No</v>
      </c>
      <c r="P343" s="42"/>
    </row>
    <row r="344" spans="3:16" hidden="1" x14ac:dyDescent="0.25">
      <c r="C344" s="37" t="s">
        <v>468</v>
      </c>
      <c r="D344" s="1195">
        <f>+SUMIF('Master TB'!E:E,Assets!K344,'Master TB'!J:J)</f>
        <v>0</v>
      </c>
      <c r="E344" s="1195">
        <f>+SUMIF('Master TB'!$E:$E,Assets!K344,'Master TB'!$V:$V)</f>
        <v>0</v>
      </c>
      <c r="K344" s="27" t="s">
        <v>1519</v>
      </c>
      <c r="M344" s="1756" t="str">
        <f>IF(AND(D344=0,E344=0),"No","Yes")</f>
        <v>No</v>
      </c>
      <c r="P344" s="42"/>
    </row>
    <row r="345" spans="3:16" x14ac:dyDescent="0.25">
      <c r="C345" s="1962" t="s">
        <v>35</v>
      </c>
      <c r="D345" s="1958">
        <f>+D343-D344</f>
        <v>500364.16429999995</v>
      </c>
      <c r="E345" s="1958">
        <f>+E343-E344</f>
        <v>326708.79410000006</v>
      </c>
      <c r="M345" s="1756" t="str">
        <f>IF(AND(D345=0,E345=0),"No","Yes")</f>
        <v>Yes</v>
      </c>
      <c r="P345" s="42"/>
    </row>
    <row r="346" spans="3:16" x14ac:dyDescent="0.25">
      <c r="M346" s="1756" t="str">
        <f>M345</f>
        <v>Yes</v>
      </c>
      <c r="P346" s="42"/>
    </row>
    <row r="347" spans="3:16" x14ac:dyDescent="0.25">
      <c r="C347" s="17" t="str">
        <f>+"Note "&amp;'Balance Sheet'!E59&amp;"A : Trade Receivables"</f>
        <v>Note 12A : Trade Receivables</v>
      </c>
      <c r="D347" s="1209"/>
      <c r="E347" s="1209"/>
      <c r="I347" s="1579"/>
      <c r="J347" s="1356"/>
      <c r="M347" s="1756" t="str">
        <f>+IF(M345="Yes","Yes","No")</f>
        <v>Yes</v>
      </c>
      <c r="P347" s="42"/>
    </row>
    <row r="348" spans="3:16" x14ac:dyDescent="0.25">
      <c r="C348" s="17"/>
      <c r="D348" s="1209"/>
      <c r="E348" s="1209"/>
      <c r="I348" s="1579"/>
      <c r="J348" s="1356"/>
      <c r="M348" s="1756" t="str">
        <f>+$M$347</f>
        <v>Yes</v>
      </c>
      <c r="P348" s="42"/>
    </row>
    <row r="349" spans="3:16" x14ac:dyDescent="0.25">
      <c r="C349" s="42" t="str">
        <f>+'Qualitative Disclosures'!C933</f>
        <v>Trade Receivables Ageing Schedule As At 31st March 2025</v>
      </c>
      <c r="D349" s="1209"/>
      <c r="E349" s="1209"/>
      <c r="H349" s="2763" t="s">
        <v>847</v>
      </c>
      <c r="I349" s="2763"/>
      <c r="J349" s="1356"/>
      <c r="M349" s="1756" t="str">
        <f t="shared" ref="M349:M364" si="23">+$M$347</f>
        <v>Yes</v>
      </c>
      <c r="P349" s="42"/>
    </row>
    <row r="350" spans="3:16" x14ac:dyDescent="0.25">
      <c r="C350" s="2858" t="s">
        <v>20</v>
      </c>
      <c r="D350" s="2765" t="s">
        <v>1166</v>
      </c>
      <c r="E350" s="2860"/>
      <c r="F350" s="2860"/>
      <c r="G350" s="2860"/>
      <c r="H350" s="2860"/>
      <c r="I350" s="2856" t="s">
        <v>35</v>
      </c>
      <c r="J350" s="1356"/>
      <c r="M350" s="1756" t="str">
        <f t="shared" si="23"/>
        <v>Yes</v>
      </c>
      <c r="P350" s="42"/>
    </row>
    <row r="351" spans="3:16" ht="30" x14ac:dyDescent="0.25">
      <c r="C351" s="2859"/>
      <c r="D351" s="1951" t="s">
        <v>861</v>
      </c>
      <c r="E351" s="1951" t="s">
        <v>860</v>
      </c>
      <c r="F351" s="1951" t="s">
        <v>854</v>
      </c>
      <c r="G351" s="1951" t="s">
        <v>855</v>
      </c>
      <c r="H351" s="2487" t="s">
        <v>856</v>
      </c>
      <c r="I351" s="2857" t="s">
        <v>35</v>
      </c>
      <c r="J351" s="1356"/>
      <c r="M351" s="1756" t="str">
        <f t="shared" si="23"/>
        <v>Yes</v>
      </c>
      <c r="P351" s="42"/>
    </row>
    <row r="352" spans="3:16" x14ac:dyDescent="0.25">
      <c r="C352" s="1229" t="str">
        <f>+"("&amp;O352&amp;")"&amp;P352</f>
        <v>(i) Undisputed Trade Receivables – considered good</v>
      </c>
      <c r="D352" s="2485">
        <f>+'Qualitative Disclosures'!D936</f>
        <v>500230.63</v>
      </c>
      <c r="E352" s="828">
        <f>+'Qualitative Disclosures'!E936</f>
        <v>133.53</v>
      </c>
      <c r="F352" s="831">
        <f>+'Qualitative Disclosures'!F936</f>
        <v>0</v>
      </c>
      <c r="G352" s="1213">
        <f>+'Qualitative Disclosures'!G936</f>
        <v>0</v>
      </c>
      <c r="H352" s="1213">
        <f>+'Qualitative Disclosures'!H936</f>
        <v>0</v>
      </c>
      <c r="I352" s="1213">
        <f>+'Qualitative Disclosures'!I936</f>
        <v>500364.16000000003</v>
      </c>
      <c r="J352" s="1357"/>
      <c r="M352" s="1756" t="str">
        <f t="shared" si="23"/>
        <v>Yes</v>
      </c>
      <c r="O352" s="41" t="s">
        <v>478</v>
      </c>
      <c r="P352" s="42" t="s">
        <v>1596</v>
      </c>
    </row>
    <row r="353" spans="3:16" x14ac:dyDescent="0.25">
      <c r="C353" s="1229" t="str">
        <f>+"("&amp;O353&amp;")"&amp;P353</f>
        <v>(ii) Undisputed Trade Receivables – considered doubtful</v>
      </c>
      <c r="D353" s="2485">
        <f>+'Qualitative Disclosures'!D937</f>
        <v>0</v>
      </c>
      <c r="E353" s="828">
        <f>+'Qualitative Disclosures'!E937</f>
        <v>0</v>
      </c>
      <c r="F353" s="831">
        <f>+'Qualitative Disclosures'!F937</f>
        <v>0</v>
      </c>
      <c r="G353" s="1213">
        <f>+'Qualitative Disclosures'!G937</f>
        <v>0</v>
      </c>
      <c r="H353" s="1213">
        <f>+'Qualitative Disclosures'!H937</f>
        <v>0</v>
      </c>
      <c r="I353" s="1213">
        <f>+'Qualitative Disclosures'!I937</f>
        <v>0</v>
      </c>
      <c r="J353" s="1357"/>
      <c r="M353" s="1756" t="str">
        <f t="shared" si="23"/>
        <v>Yes</v>
      </c>
      <c r="O353" s="41" t="s">
        <v>1623</v>
      </c>
      <c r="P353" s="42" t="s">
        <v>1597</v>
      </c>
    </row>
    <row r="354" spans="3:16" x14ac:dyDescent="0.25">
      <c r="C354" s="1229" t="str">
        <f>+"("&amp;O354&amp;")"&amp;P354</f>
        <v>(iii) Disputed Trade Receivables – considered good</v>
      </c>
      <c r="D354" s="2485">
        <f>+'Qualitative Disclosures'!D938</f>
        <v>0</v>
      </c>
      <c r="E354" s="828">
        <f>+'Qualitative Disclosures'!E938</f>
        <v>0</v>
      </c>
      <c r="F354" s="831">
        <f>+'Qualitative Disclosures'!F938</f>
        <v>0</v>
      </c>
      <c r="G354" s="1213">
        <f>+'Qualitative Disclosures'!G938</f>
        <v>0</v>
      </c>
      <c r="H354" s="1213">
        <f>+'Qualitative Disclosures'!H938</f>
        <v>0</v>
      </c>
      <c r="I354" s="1213">
        <f>+'Qualitative Disclosures'!I938</f>
        <v>0</v>
      </c>
      <c r="J354" s="1357"/>
      <c r="M354" s="1756" t="str">
        <f t="shared" si="23"/>
        <v>Yes</v>
      </c>
      <c r="O354" s="41" t="s">
        <v>1624</v>
      </c>
      <c r="P354" s="42" t="s">
        <v>1598</v>
      </c>
    </row>
    <row r="355" spans="3:16" x14ac:dyDescent="0.25">
      <c r="C355" s="1230" t="str">
        <f>+"("&amp;O355&amp;")"&amp;P355</f>
        <v>(iv) Disputed Trade Receivables – considered doubtful</v>
      </c>
      <c r="D355" s="2486">
        <f>+'Qualitative Disclosures'!D939</f>
        <v>0</v>
      </c>
      <c r="E355" s="1953">
        <f>+'Qualitative Disclosures'!E939</f>
        <v>0</v>
      </c>
      <c r="F355" s="1953">
        <f>+'Qualitative Disclosures'!F939</f>
        <v>0</v>
      </c>
      <c r="G355" s="1218">
        <f>+'Qualitative Disclosures'!G939</f>
        <v>0</v>
      </c>
      <c r="H355" s="1218">
        <f>+'Qualitative Disclosures'!H939</f>
        <v>0</v>
      </c>
      <c r="I355" s="1218">
        <f>+'Qualitative Disclosures'!I939</f>
        <v>0</v>
      </c>
      <c r="J355" s="1358"/>
      <c r="L355" s="2585" t="str">
        <f>+IF(AND(SUM(I352:I355)=D345,SUM(I360:I363)=E345),"Correct Disclosures Given","Incorrect Disclosures Given")</f>
        <v>Incorrect Disclosures Given</v>
      </c>
      <c r="M355" s="1756" t="str">
        <f t="shared" si="23"/>
        <v>Yes</v>
      </c>
      <c r="O355" s="41" t="s">
        <v>1625</v>
      </c>
      <c r="P355" s="42" t="s">
        <v>1599</v>
      </c>
    </row>
    <row r="356" spans="3:16" x14ac:dyDescent="0.25">
      <c r="J356" s="1356"/>
      <c r="M356" s="1756" t="str">
        <f t="shared" si="23"/>
        <v>Yes</v>
      </c>
      <c r="P356" s="42"/>
    </row>
    <row r="357" spans="3:16" x14ac:dyDescent="0.25">
      <c r="C357" s="42" t="str">
        <f>+'Qualitative Disclosures'!C941</f>
        <v>Trade Receivables Ageing Schedule As At 31st March 2024</v>
      </c>
      <c r="I357" s="1510" t="str">
        <f>+H349</f>
        <v>Amount in Rs '00.</v>
      </c>
      <c r="J357" s="1356"/>
      <c r="M357" s="1756" t="str">
        <f t="shared" si="23"/>
        <v>Yes</v>
      </c>
      <c r="P357" s="42"/>
    </row>
    <row r="358" spans="3:16" x14ac:dyDescent="0.25">
      <c r="C358" s="2858" t="s">
        <v>20</v>
      </c>
      <c r="D358" s="2765" t="s">
        <v>1166</v>
      </c>
      <c r="E358" s="2860"/>
      <c r="F358" s="2860"/>
      <c r="G358" s="2860"/>
      <c r="H358" s="2860"/>
      <c r="I358" s="2856" t="s">
        <v>35</v>
      </c>
      <c r="J358" s="1356"/>
      <c r="M358" s="1756" t="str">
        <f t="shared" si="23"/>
        <v>Yes</v>
      </c>
      <c r="P358" s="42"/>
    </row>
    <row r="359" spans="3:16" ht="30" x14ac:dyDescent="0.25">
      <c r="C359" s="2859"/>
      <c r="D359" s="1951" t="s">
        <v>861</v>
      </c>
      <c r="E359" s="1951" t="s">
        <v>860</v>
      </c>
      <c r="F359" s="1951" t="s">
        <v>854</v>
      </c>
      <c r="G359" s="1951" t="s">
        <v>855</v>
      </c>
      <c r="H359" s="2487" t="s">
        <v>856</v>
      </c>
      <c r="I359" s="2857" t="s">
        <v>35</v>
      </c>
      <c r="J359" s="1356"/>
      <c r="M359" s="1756" t="str">
        <f t="shared" si="23"/>
        <v>Yes</v>
      </c>
      <c r="P359" s="42"/>
    </row>
    <row r="360" spans="3:16" x14ac:dyDescent="0.25">
      <c r="C360" s="1229" t="str">
        <f>+"("&amp;O360&amp;")"&amp;P360</f>
        <v>(i) Undisputed Trade Receivables – considered good</v>
      </c>
      <c r="D360" s="2485">
        <f>+'Qualitative Disclosures'!D944</f>
        <v>326541</v>
      </c>
      <c r="E360" s="828">
        <f>+'Qualitative Disclosures'!E944</f>
        <v>168</v>
      </c>
      <c r="F360" s="831">
        <f>+'Qualitative Disclosures'!F952</f>
        <v>0</v>
      </c>
      <c r="G360" s="1213">
        <f>+'Qualitative Disclosures'!G952</f>
        <v>0</v>
      </c>
      <c r="H360" s="1213">
        <f>+'Qualitative Disclosures'!H952</f>
        <v>0</v>
      </c>
      <c r="I360" s="1213">
        <f>+'Qualitative Disclosures'!I944</f>
        <v>326709</v>
      </c>
      <c r="J360" s="1356"/>
      <c r="M360" s="1756" t="str">
        <f t="shared" si="23"/>
        <v>Yes</v>
      </c>
      <c r="O360" s="41" t="s">
        <v>478</v>
      </c>
      <c r="P360" s="42" t="s">
        <v>1596</v>
      </c>
    </row>
    <row r="361" spans="3:16" x14ac:dyDescent="0.25">
      <c r="C361" s="1229" t="str">
        <f>+"("&amp;O361&amp;")"&amp;P361</f>
        <v>(ii) Undisputed Trade Receivables – considered doubtful</v>
      </c>
      <c r="D361" s="2485">
        <f>+'Qualitative Disclosures'!D953</f>
        <v>0</v>
      </c>
      <c r="E361" s="828">
        <v>0</v>
      </c>
      <c r="F361" s="831">
        <v>0</v>
      </c>
      <c r="G361" s="1213">
        <f>+'Qualitative Disclosures'!G953</f>
        <v>0</v>
      </c>
      <c r="H361" s="1213">
        <f>+'Qualitative Disclosures'!H953</f>
        <v>0</v>
      </c>
      <c r="I361" s="1213">
        <f>+'Qualitative Disclosures'!I953</f>
        <v>0</v>
      </c>
      <c r="J361" s="1356"/>
      <c r="M361" s="1756" t="str">
        <f t="shared" si="23"/>
        <v>Yes</v>
      </c>
      <c r="O361" s="41" t="s">
        <v>1623</v>
      </c>
      <c r="P361" s="42" t="s">
        <v>1597</v>
      </c>
    </row>
    <row r="362" spans="3:16" x14ac:dyDescent="0.25">
      <c r="C362" s="1229" t="str">
        <f>+"("&amp;O362&amp;")"&amp;P362</f>
        <v>(iii) Disputed Trade Receivables – considered good</v>
      </c>
      <c r="D362" s="2485">
        <f>+'Qualitative Disclosures'!D954</f>
        <v>0</v>
      </c>
      <c r="E362" s="828">
        <f>+'Qualitative Disclosures'!E954</f>
        <v>0</v>
      </c>
      <c r="F362" s="831">
        <f>+'Qualitative Disclosures'!F954</f>
        <v>0</v>
      </c>
      <c r="G362" s="1213">
        <f>+'Qualitative Disclosures'!G954</f>
        <v>0</v>
      </c>
      <c r="H362" s="1213">
        <f>+'Qualitative Disclosures'!H954</f>
        <v>0</v>
      </c>
      <c r="I362" s="1213">
        <f>+'Qualitative Disclosures'!I954</f>
        <v>0</v>
      </c>
      <c r="J362" s="1356"/>
      <c r="M362" s="1756" t="str">
        <f t="shared" si="23"/>
        <v>Yes</v>
      </c>
      <c r="O362" s="41" t="s">
        <v>1624</v>
      </c>
      <c r="P362" s="42" t="s">
        <v>1598</v>
      </c>
    </row>
    <row r="363" spans="3:16" x14ac:dyDescent="0.25">
      <c r="C363" s="1230" t="str">
        <f>+"("&amp;O363&amp;")"&amp;P363</f>
        <v>(iv) Disputed Trade Receivables – considered doubtful</v>
      </c>
      <c r="D363" s="2486">
        <f>+'Qualitative Disclosures'!D955</f>
        <v>0</v>
      </c>
      <c r="E363" s="2565">
        <v>0</v>
      </c>
      <c r="F363" s="2565">
        <v>0</v>
      </c>
      <c r="G363" s="1218">
        <f>+'Qualitative Disclosures'!G955</f>
        <v>0</v>
      </c>
      <c r="H363" s="1218">
        <f>+'Qualitative Disclosures'!H955</f>
        <v>0</v>
      </c>
      <c r="I363" s="1218">
        <f>+'Qualitative Disclosures'!I955</f>
        <v>0</v>
      </c>
      <c r="J363" s="1356"/>
      <c r="M363" s="1756" t="str">
        <f t="shared" si="23"/>
        <v>Yes</v>
      </c>
      <c r="O363" s="41" t="s">
        <v>1625</v>
      </c>
      <c r="P363" s="42" t="s">
        <v>1599</v>
      </c>
    </row>
    <row r="364" spans="3:16" x14ac:dyDescent="0.25">
      <c r="C364" s="1231"/>
      <c r="D364" s="1172"/>
      <c r="E364" s="1172"/>
      <c r="F364" s="1172"/>
      <c r="G364" s="1172"/>
      <c r="H364" s="1172"/>
      <c r="I364" s="1172"/>
      <c r="J364" s="1356"/>
      <c r="M364" s="1756" t="str">
        <f t="shared" si="23"/>
        <v>Yes</v>
      </c>
      <c r="P364" s="42"/>
    </row>
    <row r="365" spans="3:16" hidden="1" x14ac:dyDescent="0.25">
      <c r="C365" s="1267" t="str">
        <f>+IF(Footnotes!C121="","",Footnotes!C121)</f>
        <v/>
      </c>
      <c r="D365" s="1536" t="str">
        <f>+IF(Footnotes!D121="","",Footnotes!D121)</f>
        <v/>
      </c>
      <c r="E365" s="1536" t="str">
        <f>+IF(Footnotes!E121="","",Footnotes!E121)</f>
        <v/>
      </c>
      <c r="F365" s="1536" t="str">
        <f>+IF(Footnotes!F121="","",Footnotes!F121)</f>
        <v/>
      </c>
      <c r="G365" s="1536" t="str">
        <f>+IF(Footnotes!G121="","",Footnotes!G121)</f>
        <v/>
      </c>
      <c r="H365" s="1536" t="str">
        <f>+IF(Footnotes!H121="","",Footnotes!H121)</f>
        <v/>
      </c>
      <c r="I365" s="1536" t="str">
        <f>+IF(Footnotes!I121="","",Footnotes!I121)</f>
        <v/>
      </c>
      <c r="M365" s="1756" t="str">
        <f t="shared" ref="M365:M370" si="24">+IF(AND(C365="",D365="",E365="",F365="",G365="",H365="",I365=""),"No","Yes")</f>
        <v>No</v>
      </c>
      <c r="P365" s="42"/>
    </row>
    <row r="366" spans="3:16" hidden="1" x14ac:dyDescent="0.25">
      <c r="C366" s="1267" t="str">
        <f>+IF(Footnotes!C122="","",Footnotes!C122)</f>
        <v/>
      </c>
      <c r="D366" s="1536" t="str">
        <f>+IF(Footnotes!D122="","",Footnotes!D122)</f>
        <v/>
      </c>
      <c r="E366" s="1536" t="str">
        <f>+IF(Footnotes!E122="","",Footnotes!E122)</f>
        <v/>
      </c>
      <c r="F366" s="1536" t="str">
        <f>+IF(Footnotes!F122="","",Footnotes!F122)</f>
        <v/>
      </c>
      <c r="G366" s="1536" t="str">
        <f>+IF(Footnotes!G122="","",Footnotes!G122)</f>
        <v/>
      </c>
      <c r="H366" s="1536" t="str">
        <f>+IF(Footnotes!H122="","",Footnotes!H122)</f>
        <v/>
      </c>
      <c r="I366" s="1536" t="str">
        <f>+IF(Footnotes!I122="","",Footnotes!I122)</f>
        <v/>
      </c>
      <c r="M366" s="1756" t="str">
        <f t="shared" si="24"/>
        <v>No</v>
      </c>
      <c r="P366" s="42"/>
    </row>
    <row r="367" spans="3:16" hidden="1" x14ac:dyDescent="0.25">
      <c r="C367" s="1267" t="str">
        <f>+IF(Footnotes!C123="","",Footnotes!C123)</f>
        <v/>
      </c>
      <c r="D367" s="1536" t="str">
        <f>+IF(Footnotes!D123="","",Footnotes!D123)</f>
        <v/>
      </c>
      <c r="E367" s="1536" t="str">
        <f>+IF(Footnotes!E123="","",Footnotes!E123)</f>
        <v/>
      </c>
      <c r="F367" s="1536" t="str">
        <f>+IF(Footnotes!F123="","",Footnotes!F123)</f>
        <v/>
      </c>
      <c r="G367" s="1536" t="str">
        <f>+IF(Footnotes!G123="","",Footnotes!G123)</f>
        <v/>
      </c>
      <c r="H367" s="1536" t="str">
        <f>+IF(Footnotes!H123="","",Footnotes!H123)</f>
        <v/>
      </c>
      <c r="I367" s="1536" t="str">
        <f>+IF(Footnotes!I123="","",Footnotes!I123)</f>
        <v/>
      </c>
      <c r="M367" s="1756" t="str">
        <f t="shared" si="24"/>
        <v>No</v>
      </c>
      <c r="P367" s="42"/>
    </row>
    <row r="368" spans="3:16" hidden="1" x14ac:dyDescent="0.25">
      <c r="C368" s="1267" t="str">
        <f>+IF(Footnotes!C124="","",Footnotes!C124)</f>
        <v/>
      </c>
      <c r="D368" s="1536" t="str">
        <f>+IF(Footnotes!D124="","",Footnotes!D124)</f>
        <v/>
      </c>
      <c r="E368" s="1536" t="str">
        <f>+IF(Footnotes!E124="","",Footnotes!E124)</f>
        <v/>
      </c>
      <c r="F368" s="1536" t="str">
        <f>+IF(Footnotes!F124="","",Footnotes!F124)</f>
        <v/>
      </c>
      <c r="G368" s="1536" t="str">
        <f>+IF(Footnotes!G124="","",Footnotes!G124)</f>
        <v/>
      </c>
      <c r="H368" s="1536" t="str">
        <f>+IF(Footnotes!H124="","",Footnotes!H124)</f>
        <v/>
      </c>
      <c r="I368" s="1536" t="str">
        <f>+IF(Footnotes!I124="","",Footnotes!I124)</f>
        <v/>
      </c>
      <c r="M368" s="1756" t="str">
        <f t="shared" si="24"/>
        <v>No</v>
      </c>
      <c r="P368" s="42"/>
    </row>
    <row r="369" spans="3:16" hidden="1" x14ac:dyDescent="0.25">
      <c r="C369" s="1267" t="str">
        <f>+IF(Footnotes!C125="","",Footnotes!C125)</f>
        <v/>
      </c>
      <c r="D369" s="1536" t="str">
        <f>+IF(Footnotes!D125="","",Footnotes!D125)</f>
        <v/>
      </c>
      <c r="E369" s="1536" t="str">
        <f>+IF(Footnotes!E125="","",Footnotes!E125)</f>
        <v/>
      </c>
      <c r="F369" s="1536" t="str">
        <f>+IF(Footnotes!F125="","",Footnotes!F125)</f>
        <v/>
      </c>
      <c r="G369" s="1536" t="str">
        <f>+IF(Footnotes!G125="","",Footnotes!G125)</f>
        <v/>
      </c>
      <c r="H369" s="1536" t="str">
        <f>+IF(Footnotes!H125="","",Footnotes!H125)</f>
        <v/>
      </c>
      <c r="I369" s="1536" t="str">
        <f>+IF(Footnotes!I125="","",Footnotes!I125)</f>
        <v/>
      </c>
      <c r="M369" s="1756" t="str">
        <f t="shared" si="24"/>
        <v>No</v>
      </c>
      <c r="P369" s="42"/>
    </row>
    <row r="370" spans="3:16" hidden="1" x14ac:dyDescent="0.25">
      <c r="C370" s="1267" t="str">
        <f>+IF(Footnotes!C126="","",Footnotes!C126)</f>
        <v/>
      </c>
      <c r="D370" s="1536" t="str">
        <f>+IF(Footnotes!D126="","",Footnotes!D126)</f>
        <v/>
      </c>
      <c r="E370" s="1536" t="str">
        <f>+IF(Footnotes!E126="","",Footnotes!E126)</f>
        <v/>
      </c>
      <c r="F370" s="1536" t="str">
        <f>+IF(Footnotes!F126="","",Footnotes!F126)</f>
        <v/>
      </c>
      <c r="G370" s="1536" t="str">
        <f>+IF(Footnotes!G126="","",Footnotes!G126)</f>
        <v/>
      </c>
      <c r="H370" s="1536" t="str">
        <f>+IF(Footnotes!H126="","",Footnotes!H126)</f>
        <v/>
      </c>
      <c r="I370" s="1536" t="str">
        <f>+IF(Footnotes!I126="","",Footnotes!I126)</f>
        <v/>
      </c>
      <c r="M370" s="1756" t="str">
        <f t="shared" si="24"/>
        <v>No</v>
      </c>
      <c r="P370" s="42"/>
    </row>
    <row r="371" spans="3:16" hidden="1" x14ac:dyDescent="0.25">
      <c r="M371" s="1756" t="str">
        <f>M365</f>
        <v>No</v>
      </c>
      <c r="P371" s="42"/>
    </row>
    <row r="372" spans="3:16" x14ac:dyDescent="0.25">
      <c r="C372" s="20" t="str">
        <f>+"Note "&amp;'Balance Sheet'!E60&amp;": Cash and cash equivalents"</f>
        <v>Note 13: Cash and cash equivalents</v>
      </c>
      <c r="D372" s="1394"/>
      <c r="E372" s="1662"/>
      <c r="M372" s="1756" t="str">
        <f>M373</f>
        <v>Yes</v>
      </c>
      <c r="P372" s="42"/>
    </row>
    <row r="373" spans="3:16" x14ac:dyDescent="0.25">
      <c r="C373" s="20"/>
      <c r="D373" s="1394"/>
      <c r="E373" s="1394" t="str">
        <f>+I357</f>
        <v>Amount in Rs '00.</v>
      </c>
      <c r="M373" s="1756" t="str">
        <f>M374</f>
        <v>Yes</v>
      </c>
      <c r="P373" s="42"/>
    </row>
    <row r="374" spans="3:16" ht="30" x14ac:dyDescent="0.25">
      <c r="C374" s="1933" t="s">
        <v>20</v>
      </c>
      <c r="D374" s="1960" t="str">
        <f>BSCY</f>
        <v>As At 31st March 2025</v>
      </c>
      <c r="E374" s="1951" t="str">
        <f>BSPY</f>
        <v>As At 31st March 2024</v>
      </c>
      <c r="M374" s="1756" t="str">
        <f>IF(M390="No","No","Yes")</f>
        <v>Yes</v>
      </c>
      <c r="P374" s="42"/>
    </row>
    <row r="375" spans="3:16" hidden="1" x14ac:dyDescent="0.25">
      <c r="C375" s="241" t="str">
        <f>+"("&amp;O375&amp;")"&amp;P375</f>
        <v>(a) Balances with banks</v>
      </c>
      <c r="D375" s="1195"/>
      <c r="E375" s="1195"/>
      <c r="F375" s="1668"/>
      <c r="K375" s="27"/>
      <c r="M375" s="1756" t="str">
        <f>IF(M386="No","No","Yes")</f>
        <v>No</v>
      </c>
      <c r="O375" s="41" t="s">
        <v>1562</v>
      </c>
      <c r="P375" s="42" t="s">
        <v>1608</v>
      </c>
    </row>
    <row r="376" spans="3:16" x14ac:dyDescent="0.25">
      <c r="C376" s="649" t="str">
        <f>+"("&amp;O376&amp;")"&amp;P376</f>
        <v>(i) In current accounts</v>
      </c>
      <c r="D376" s="1195">
        <f>+SUMIF('Master TB'!E:E,Assets!K376,'Master TB'!J:J)</f>
        <v>50079.181799999998</v>
      </c>
      <c r="E376" s="1195">
        <f>+SUMIF('Master TB'!$E:$E,Assets!K376,'Master TB'!$V:$V)</f>
        <v>50042.548200000005</v>
      </c>
      <c r="F376" s="1579"/>
      <c r="K376" s="27" t="s">
        <v>783</v>
      </c>
      <c r="M376" s="1756" t="str">
        <f>IF(AND(D376=0,E376=0),"No","Yes")</f>
        <v>Yes</v>
      </c>
      <c r="O376" s="42" t="s">
        <v>478</v>
      </c>
      <c r="P376" s="42" t="s">
        <v>1609</v>
      </c>
    </row>
    <row r="377" spans="3:16" hidden="1" x14ac:dyDescent="0.25">
      <c r="C377" s="649" t="str">
        <f>+"("&amp;O377&amp;")"&amp;P377</f>
        <v>(ii) In EEFC accounts</v>
      </c>
      <c r="D377" s="1195">
        <f>+SUMIF('Master TB'!E:E,Assets!K377,'Master TB'!J:J)</f>
        <v>0</v>
      </c>
      <c r="E377" s="1195">
        <f>+SUMIF('Master TB'!$E:$E,Assets!K377,'Master TB'!$V:$V)</f>
        <v>0</v>
      </c>
      <c r="F377" s="1579"/>
      <c r="K377" s="27" t="s">
        <v>784</v>
      </c>
      <c r="M377" s="1756" t="str">
        <f>IF(AND(D377=0,E377=0),"No","Yes")</f>
        <v>No</v>
      </c>
      <c r="O377" s="42" t="str">
        <f>+IF(M376="Yes",LOWER(ROMAN(_xlfn.ARABIC(O376)+1)),O376)</f>
        <v>ii</v>
      </c>
      <c r="P377" s="42" t="s">
        <v>1610</v>
      </c>
    </row>
    <row r="378" spans="3:16" x14ac:dyDescent="0.25">
      <c r="C378" s="649" t="str">
        <f>+"("&amp;O378&amp;")"&amp;P378</f>
        <v>(ii) In deposit accounts</v>
      </c>
      <c r="D378" s="1195">
        <f>+SUMIF('Master TB'!E:E,Assets!K378,'Master TB'!J:J)</f>
        <v>1222674.74</v>
      </c>
      <c r="E378" s="1195">
        <f>+SUMIF('Master TB'!$E:$E,Assets!K378,'Master TB'!$V:$V)</f>
        <v>934587.28</v>
      </c>
      <c r="F378" s="1579"/>
      <c r="G378" s="1675"/>
      <c r="K378" s="27" t="s">
        <v>785</v>
      </c>
      <c r="M378" s="1756" t="str">
        <f>IF(AND(D378=0,E378=0),"No","Yes")</f>
        <v>Yes</v>
      </c>
      <c r="O378" s="42" t="str">
        <f>+IF(M377="Yes",LOWER(ROMAN(_xlfn.ARABIC(O377)+1)),O377)</f>
        <v>ii</v>
      </c>
      <c r="P378" s="42" t="s">
        <v>1611</v>
      </c>
    </row>
    <row r="379" spans="3:16" hidden="1" x14ac:dyDescent="0.25">
      <c r="C379" s="649" t="str">
        <f>+"("&amp;O379&amp;")"&amp;P379</f>
        <v>(iii) In earmarked accounts</v>
      </c>
      <c r="D379" s="1195"/>
      <c r="E379" s="1195"/>
      <c r="F379" s="1579"/>
      <c r="G379" s="1675"/>
      <c r="K379" s="27"/>
      <c r="M379" s="1756" t="str">
        <f>IF(AND(M380="No",M381="No",M382="No",M383="No",M384="No",M385="No"),"No","Yes")</f>
        <v>No</v>
      </c>
      <c r="O379" s="42" t="str">
        <f>+IF(M378="Yes",LOWER(ROMAN(_xlfn.ARABIC(O378)+1)),O378)</f>
        <v>iii</v>
      </c>
      <c r="P379" s="42" t="s">
        <v>1612</v>
      </c>
    </row>
    <row r="380" spans="3:16" hidden="1" x14ac:dyDescent="0.25">
      <c r="C380" s="653" t="s">
        <v>480</v>
      </c>
      <c r="D380" s="1195">
        <f>+SUMIF('Master TB'!E:E,Assets!K380,'Master TB'!J:J)</f>
        <v>0</v>
      </c>
      <c r="E380" s="1195">
        <f>+SUMIF('Master TB'!$E:$E,Assets!K380,'Master TB'!$V:$V)</f>
        <v>0</v>
      </c>
      <c r="F380" s="1579"/>
      <c r="K380" s="3" t="s">
        <v>786</v>
      </c>
      <c r="M380" s="1756" t="str">
        <f t="shared" ref="M380:M385" si="25">IF(AND(D380=0,E380=0),"No","Yes")</f>
        <v>No</v>
      </c>
      <c r="P380" s="42"/>
    </row>
    <row r="381" spans="3:16" hidden="1" x14ac:dyDescent="0.25">
      <c r="C381" s="653" t="s">
        <v>481</v>
      </c>
      <c r="D381" s="1195">
        <f>+SUMIF('Master TB'!E:E,Assets!K381,'Master TB'!J:J)</f>
        <v>0</v>
      </c>
      <c r="E381" s="1195">
        <f>+SUMIF('Master TB'!$E:$E,Assets!K381,'Master TB'!$V:$V)</f>
        <v>0</v>
      </c>
      <c r="F381" s="1579"/>
      <c r="K381" s="3" t="s">
        <v>1553</v>
      </c>
      <c r="M381" s="1756" t="str">
        <f t="shared" si="25"/>
        <v>No</v>
      </c>
      <c r="P381" s="42"/>
    </row>
    <row r="382" spans="3:16" hidden="1" x14ac:dyDescent="0.25">
      <c r="C382" s="653" t="s">
        <v>482</v>
      </c>
      <c r="D382" s="1195">
        <f>+SUMIF('Master TB'!E:E,Assets!K382,'Master TB'!J:J)</f>
        <v>0</v>
      </c>
      <c r="E382" s="1195">
        <f>+SUMIF('Master TB'!$E:$E,Assets!K382,'Master TB'!$V:$V)</f>
        <v>0</v>
      </c>
      <c r="F382" s="1579"/>
      <c r="K382" s="3" t="s">
        <v>1554</v>
      </c>
      <c r="M382" s="1756" t="str">
        <f t="shared" si="25"/>
        <v>No</v>
      </c>
      <c r="P382" s="42"/>
    </row>
    <row r="383" spans="3:16" ht="33" hidden="1" x14ac:dyDescent="0.25">
      <c r="C383" s="653" t="s">
        <v>563</v>
      </c>
      <c r="D383" s="1195">
        <f>+SUMIF('Master TB'!E:E,Assets!K383,'Master TB'!J:J)</f>
        <v>0</v>
      </c>
      <c r="E383" s="1195">
        <f>+SUMIF('Master TB'!$E:$E,Assets!K383,'Master TB'!$V:$V)</f>
        <v>0</v>
      </c>
      <c r="F383" s="1579"/>
      <c r="K383" s="3" t="s">
        <v>1555</v>
      </c>
      <c r="M383" s="1756" t="str">
        <f t="shared" si="25"/>
        <v>No</v>
      </c>
      <c r="P383" s="42"/>
    </row>
    <row r="384" spans="3:16" ht="33" hidden="1" x14ac:dyDescent="0.25">
      <c r="C384" s="653" t="s">
        <v>1972</v>
      </c>
      <c r="D384" s="1195">
        <f>+SUMIF('Master TB'!E:E,Assets!K384,'Master TB'!J:J)</f>
        <v>0</v>
      </c>
      <c r="E384" s="1195">
        <f>+SUMIF('Master TB'!$E:$E,Assets!K384,'Master TB'!$V:$V)</f>
        <v>0</v>
      </c>
      <c r="F384" s="1579"/>
      <c r="K384" s="3" t="s">
        <v>1556</v>
      </c>
      <c r="M384" s="1756" t="str">
        <f t="shared" si="25"/>
        <v>No</v>
      </c>
      <c r="P384" s="42"/>
    </row>
    <row r="385" spans="3:16" ht="33" hidden="1" x14ac:dyDescent="0.25">
      <c r="C385" s="653" t="s">
        <v>1557</v>
      </c>
      <c r="D385" s="1195">
        <f>+SUMIF('Master TB'!E:E,Assets!K385,'Master TB'!J:J)</f>
        <v>0</v>
      </c>
      <c r="E385" s="1195">
        <f>+SUMIF('Master TB'!$E:$E,Assets!K385,'Master TB'!$V:$V)</f>
        <v>0</v>
      </c>
      <c r="F385" s="1579"/>
      <c r="K385" s="3" t="s">
        <v>1558</v>
      </c>
      <c r="M385" s="1756" t="str">
        <f t="shared" si="25"/>
        <v>No</v>
      </c>
      <c r="P385" s="42" t="s">
        <v>1613</v>
      </c>
    </row>
    <row r="386" spans="3:16" hidden="1" x14ac:dyDescent="0.25">
      <c r="C386" s="653"/>
      <c r="D386" s="1652">
        <f>SUM(D376:D385)</f>
        <v>1272753.9217999999</v>
      </c>
      <c r="E386" s="1652">
        <f>SUM(E376:E385)</f>
        <v>984629.82819999999</v>
      </c>
      <c r="F386" s="1579"/>
      <c r="K386" s="3"/>
      <c r="M386" s="1756" t="str">
        <f>IF(D386=D390,"No",IF(AND(D386=0,E386=0),"No","Yes"))</f>
        <v>No</v>
      </c>
      <c r="P386" s="42"/>
    </row>
    <row r="387" spans="3:16" hidden="1" x14ac:dyDescent="0.25">
      <c r="C387" s="241" t="str">
        <f>+"("&amp;O387&amp;")"&amp;P387</f>
        <v>(a)  Cheques, drafts on hand</v>
      </c>
      <c r="D387" s="1195">
        <f>+SUMIF('Master TB'!E:E,Assets!K387,'Master TB'!J:J)</f>
        <v>0</v>
      </c>
      <c r="E387" s="1195">
        <f>+SUMIF('Master TB'!$E:$E,Assets!K387,'Master TB'!$V:$V)</f>
        <v>0</v>
      </c>
      <c r="F387" s="1668"/>
      <c r="G387" s="1662"/>
      <c r="K387" s="3" t="s">
        <v>1559</v>
      </c>
      <c r="M387" s="1756" t="str">
        <f>IF(AND(D387=0,E387=0),"No","Yes")</f>
        <v>No</v>
      </c>
      <c r="O387" s="42" t="str">
        <f>+IF(M375="yes",CHAR(CODE(O375)+1),O375)</f>
        <v>a</v>
      </c>
      <c r="P387" s="42" t="s">
        <v>1614</v>
      </c>
    </row>
    <row r="388" spans="3:16" hidden="1" x14ac:dyDescent="0.25">
      <c r="C388" s="241" t="str">
        <f>+"("&amp;O388&amp;")"&amp;P388</f>
        <v>(a)  Cash on hand</v>
      </c>
      <c r="D388" s="1195">
        <f>+SUMIF('Master TB'!E:E,Assets!K388,'Master TB'!J:J)</f>
        <v>0</v>
      </c>
      <c r="E388" s="1195">
        <f>+SUMIF('Master TB'!$E:$E,Assets!K388,'Master TB'!$V:$V)</f>
        <v>0</v>
      </c>
      <c r="F388" s="1668"/>
      <c r="G388" s="1662"/>
      <c r="K388" s="3" t="s">
        <v>1560</v>
      </c>
      <c r="M388" s="1756" t="str">
        <f>IF(AND(D388=0,E388=0),"No","Yes")</f>
        <v>No</v>
      </c>
      <c r="O388" s="42" t="str">
        <f>+IF(M387="yes",CHAR(CODE(O387)+1),O387)</f>
        <v>a</v>
      </c>
      <c r="P388" s="42" t="s">
        <v>1615</v>
      </c>
    </row>
    <row r="389" spans="3:16" hidden="1" x14ac:dyDescent="0.25">
      <c r="C389" s="241" t="str">
        <f>+"("&amp;O389&amp;")"&amp;P389</f>
        <v>(a)  Others</v>
      </c>
      <c r="D389" s="1195">
        <f>+SUMIF('Master TB'!E:E,Assets!K389,'Master TB'!J:J)</f>
        <v>0</v>
      </c>
      <c r="E389" s="1195">
        <f>+SUMIF('Master TB'!$E:$E,Assets!K389,'Master TB'!$V:$V)</f>
        <v>0</v>
      </c>
      <c r="F389" s="1668"/>
      <c r="G389" s="1662"/>
      <c r="K389" s="3" t="s">
        <v>1558</v>
      </c>
      <c r="M389" s="1756" t="str">
        <f>IF(AND(D389=0,E389=0),"No","Yes")</f>
        <v>No</v>
      </c>
      <c r="O389" s="42" t="str">
        <f>+IF(M388="yes",CHAR(CODE(O388)+1),O388)</f>
        <v>a</v>
      </c>
      <c r="P389" s="42" t="s">
        <v>1963</v>
      </c>
    </row>
    <row r="390" spans="3:16" x14ac:dyDescent="0.25">
      <c r="C390" s="1962" t="s">
        <v>35</v>
      </c>
      <c r="D390" s="1952">
        <f>+D386+SUM(D387:D389)</f>
        <v>1272753.9217999999</v>
      </c>
      <c r="E390" s="1952">
        <f>+E386+SUM(E387:E389)</f>
        <v>984629.82819999999</v>
      </c>
      <c r="M390" s="1756" t="str">
        <f>IF(AND(D390=0,E390=0),"No","Yes")</f>
        <v>Yes</v>
      </c>
      <c r="P390" s="42"/>
    </row>
    <row r="391" spans="3:16" x14ac:dyDescent="0.25">
      <c r="M391" s="1756" t="str">
        <f>M390</f>
        <v>Yes</v>
      </c>
      <c r="P391" s="42"/>
    </row>
    <row r="392" spans="3:16" hidden="1" x14ac:dyDescent="0.25">
      <c r="C392" s="1267" t="str">
        <f>+IF(Footnotes!C130="","",Footnotes!C130)</f>
        <v/>
      </c>
      <c r="D392" s="1536" t="str">
        <f>+IF(Footnotes!D130="","",Footnotes!D130)</f>
        <v/>
      </c>
      <c r="E392" s="1536" t="str">
        <f>+IF(Footnotes!E130="","",Footnotes!E130)</f>
        <v/>
      </c>
      <c r="F392" s="1536" t="str">
        <f>+IF(Footnotes!F130="","",Footnotes!F130)</f>
        <v/>
      </c>
      <c r="G392" s="1536" t="str">
        <f>+IF(Footnotes!G130="","",Footnotes!G130)</f>
        <v/>
      </c>
      <c r="H392" s="1536" t="str">
        <f>+IF(Footnotes!H130="","",Footnotes!H130)</f>
        <v/>
      </c>
      <c r="I392" s="1536" t="str">
        <f>+IF(Footnotes!I130="","",Footnotes!I130)</f>
        <v/>
      </c>
      <c r="M392" s="1756" t="str">
        <f t="shared" ref="M392:M396" si="26">+IF(AND(C392="",D392="",E392="",F392="",G392="",H392="",I392=""),"No","Yes")</f>
        <v>No</v>
      </c>
      <c r="P392" s="42"/>
    </row>
    <row r="393" spans="3:16" hidden="1" x14ac:dyDescent="0.25">
      <c r="C393" s="1267" t="str">
        <f>+IF(Footnotes!C131="","",Footnotes!C131)</f>
        <v/>
      </c>
      <c r="D393" s="1536" t="str">
        <f>+IF(Footnotes!D131="","",Footnotes!D131)</f>
        <v/>
      </c>
      <c r="E393" s="1536" t="str">
        <f>+IF(Footnotes!E131="","",Footnotes!E131)</f>
        <v/>
      </c>
      <c r="F393" s="1536" t="str">
        <f>+IF(Footnotes!F131="","",Footnotes!F131)</f>
        <v/>
      </c>
      <c r="G393" s="1536" t="str">
        <f>+IF(Footnotes!G131="","",Footnotes!G131)</f>
        <v/>
      </c>
      <c r="H393" s="1536" t="str">
        <f>+IF(Footnotes!H131="","",Footnotes!H131)</f>
        <v/>
      </c>
      <c r="I393" s="1536" t="str">
        <f>+IF(Footnotes!I131="","",Footnotes!I131)</f>
        <v/>
      </c>
      <c r="M393" s="1756" t="str">
        <f t="shared" si="26"/>
        <v>No</v>
      </c>
      <c r="P393" s="42"/>
    </row>
    <row r="394" spans="3:16" hidden="1" x14ac:dyDescent="0.25">
      <c r="C394" s="1267" t="str">
        <f>+IF(Footnotes!C132="","",Footnotes!C132)</f>
        <v/>
      </c>
      <c r="D394" s="1536" t="str">
        <f>+IF(Footnotes!D132="","",Footnotes!D132)</f>
        <v/>
      </c>
      <c r="E394" s="1536" t="str">
        <f>+IF(Footnotes!E132="","",Footnotes!E132)</f>
        <v/>
      </c>
      <c r="F394" s="1536" t="str">
        <f>+IF(Footnotes!F132="","",Footnotes!F132)</f>
        <v/>
      </c>
      <c r="G394" s="1536" t="str">
        <f>+IF(Footnotes!G132="","",Footnotes!G132)</f>
        <v/>
      </c>
      <c r="H394" s="1536" t="str">
        <f>+IF(Footnotes!H132="","",Footnotes!H132)</f>
        <v/>
      </c>
      <c r="I394" s="1536" t="str">
        <f>+IF(Footnotes!I132="","",Footnotes!I132)</f>
        <v/>
      </c>
      <c r="M394" s="1756" t="str">
        <f t="shared" si="26"/>
        <v>No</v>
      </c>
      <c r="P394" s="42"/>
    </row>
    <row r="395" spans="3:16" hidden="1" x14ac:dyDescent="0.25">
      <c r="C395" s="1267" t="str">
        <f>+IF(Footnotes!C133="","",Footnotes!C133)</f>
        <v/>
      </c>
      <c r="D395" s="1536" t="str">
        <f>+IF(Footnotes!D133="","",Footnotes!D133)</f>
        <v/>
      </c>
      <c r="E395" s="1536" t="str">
        <f>+IF(Footnotes!E133="","",Footnotes!E133)</f>
        <v/>
      </c>
      <c r="F395" s="1536" t="str">
        <f>+IF(Footnotes!F133="","",Footnotes!F133)</f>
        <v/>
      </c>
      <c r="G395" s="1536" t="str">
        <f>+IF(Footnotes!G133="","",Footnotes!G133)</f>
        <v/>
      </c>
      <c r="H395" s="1536" t="str">
        <f>+IF(Footnotes!H133="","",Footnotes!H133)</f>
        <v/>
      </c>
      <c r="I395" s="1536" t="str">
        <f>+IF(Footnotes!I133="","",Footnotes!I133)</f>
        <v/>
      </c>
      <c r="M395" s="1756" t="str">
        <f t="shared" si="26"/>
        <v>No</v>
      </c>
      <c r="P395" s="42"/>
    </row>
    <row r="396" spans="3:16" hidden="1" x14ac:dyDescent="0.25">
      <c r="C396" s="1267" t="str">
        <f>+IF(Footnotes!C134="","",Footnotes!C134)</f>
        <v/>
      </c>
      <c r="D396" s="1536" t="str">
        <f>+IF(Footnotes!D134="","",Footnotes!D134)</f>
        <v/>
      </c>
      <c r="E396" s="1536" t="str">
        <f>+IF(Footnotes!E134="","",Footnotes!E134)</f>
        <v/>
      </c>
      <c r="F396" s="1536" t="str">
        <f>+IF(Footnotes!F134="","",Footnotes!F134)</f>
        <v/>
      </c>
      <c r="G396" s="1536" t="str">
        <f>+IF(Footnotes!G134="","",Footnotes!G134)</f>
        <v/>
      </c>
      <c r="H396" s="1536" t="str">
        <f>+IF(Footnotes!H134="","",Footnotes!H134)</f>
        <v/>
      </c>
      <c r="I396" s="1536" t="str">
        <f>+IF(Footnotes!I134="","",Footnotes!I134)</f>
        <v/>
      </c>
      <c r="M396" s="1756" t="str">
        <f t="shared" si="26"/>
        <v>No</v>
      </c>
      <c r="P396" s="42"/>
    </row>
    <row r="397" spans="3:16" x14ac:dyDescent="0.25">
      <c r="C397" s="178" t="str">
        <f>+"Note "&amp;'Balance Sheet'!E62&amp;" : Other current assets"</f>
        <v>Note 14 : Other current assets</v>
      </c>
      <c r="D397" s="1653"/>
      <c r="E397" s="1653"/>
      <c r="M397" s="1756" t="str">
        <f>M398</f>
        <v>Yes</v>
      </c>
      <c r="P397" s="42"/>
    </row>
    <row r="398" spans="3:16" x14ac:dyDescent="0.25">
      <c r="C398" s="178"/>
      <c r="D398" s="1653"/>
      <c r="E398" s="1653" t="str">
        <f>+E373</f>
        <v>Amount in Rs '00.</v>
      </c>
      <c r="M398" s="1756" t="str">
        <f>M399</f>
        <v>Yes</v>
      </c>
      <c r="P398" s="42"/>
    </row>
    <row r="399" spans="3:16" ht="30" x14ac:dyDescent="0.25">
      <c r="C399" s="1930" t="s">
        <v>20</v>
      </c>
      <c r="D399" s="1951" t="str">
        <f>+BSCY</f>
        <v>As At 31st March 2025</v>
      </c>
      <c r="E399" s="1951" t="str">
        <f>+BSPY</f>
        <v>As At 31st March 2024</v>
      </c>
      <c r="M399" s="1756" t="str">
        <f>M421</f>
        <v>Yes</v>
      </c>
      <c r="P399" s="42"/>
    </row>
    <row r="400" spans="3:16" hidden="1" x14ac:dyDescent="0.25">
      <c r="C400" s="654" t="str">
        <f>+"("&amp;O400&amp;")"&amp;P400</f>
        <v>(a) Unbilled revenue</v>
      </c>
      <c r="D400" s="1195">
        <f>+SUMIF('Master TB'!E:E,Assets!K400,'Master TB'!J:J)</f>
        <v>0</v>
      </c>
      <c r="E400" s="1195">
        <f>+SUMIF('Master TB'!$E:$E,Assets!K400,'Master TB'!$V:$V)</f>
        <v>0</v>
      </c>
      <c r="F400" s="1668"/>
      <c r="K400" s="27" t="s">
        <v>1530</v>
      </c>
      <c r="M400" s="1756" t="str">
        <f>IF(AND(D400=0,E400=0),"No","Yes")</f>
        <v>No</v>
      </c>
      <c r="O400" s="41" t="s">
        <v>1562</v>
      </c>
      <c r="P400" s="42" t="s">
        <v>1616</v>
      </c>
    </row>
    <row r="401" spans="3:16" hidden="1" x14ac:dyDescent="0.25">
      <c r="C401" s="636" t="str">
        <f>+"("&amp;O401&amp;")"&amp;P401</f>
        <v>(a) Security Deposits</v>
      </c>
      <c r="D401" s="1654"/>
      <c r="E401" s="1389"/>
      <c r="F401" s="1668"/>
      <c r="M401" s="1756" t="str">
        <f>M405</f>
        <v>No</v>
      </c>
      <c r="O401" s="42" t="str">
        <f>+IF(M400="yes",CHAR(CODE(O400)+1),O400)</f>
        <v>a</v>
      </c>
      <c r="P401" s="42" t="s">
        <v>1585</v>
      </c>
    </row>
    <row r="402" spans="3:16" hidden="1" x14ac:dyDescent="0.25">
      <c r="C402" s="230" t="s">
        <v>187</v>
      </c>
      <c r="D402" s="1195">
        <f>+SUMIF('Master TB'!E:E,Assets!K402,'Master TB'!J:J)</f>
        <v>0</v>
      </c>
      <c r="E402" s="1195">
        <f>+SUMIF('Master TB'!$E:$E,Assets!K402,'Master TB'!$V:$V)</f>
        <v>0</v>
      </c>
      <c r="F402" s="1668"/>
      <c r="G402" s="1676"/>
      <c r="K402" s="27" t="s">
        <v>1532</v>
      </c>
      <c r="M402" s="1756" t="str">
        <f>IF(AND(D402=0,E402=0),"No","Yes")</f>
        <v>No</v>
      </c>
      <c r="P402" s="42"/>
    </row>
    <row r="403" spans="3:16" hidden="1" x14ac:dyDescent="0.25">
      <c r="C403" s="230" t="s">
        <v>188</v>
      </c>
      <c r="D403" s="1195">
        <f>+SUMIF('Master TB'!E:E,Assets!K403,'Master TB'!J:J)</f>
        <v>0</v>
      </c>
      <c r="E403" s="1195">
        <f>+SUMIF('Master TB'!$E:$E,Assets!K403,'Master TB'!$V:$V)</f>
        <v>0</v>
      </c>
      <c r="F403" s="1668"/>
      <c r="G403" s="1676"/>
      <c r="K403" s="27" t="s">
        <v>1534</v>
      </c>
      <c r="M403" s="1756" t="str">
        <f t="shared" ref="M403:M417" si="27">IF(AND(D403=0,E403=0),"No","Yes")</f>
        <v>No</v>
      </c>
      <c r="P403" s="42"/>
    </row>
    <row r="404" spans="3:16" hidden="1" x14ac:dyDescent="0.25">
      <c r="C404" s="230" t="s">
        <v>189</v>
      </c>
      <c r="D404" s="1195">
        <f>+SUMIF('Master TB'!E:E,Assets!K404,'Master TB'!J:J)</f>
        <v>0</v>
      </c>
      <c r="E404" s="1195">
        <f>+SUMIF('Master TB'!$E:$E,Assets!K404,'Master TB'!$V:$V)</f>
        <v>0</v>
      </c>
      <c r="F404" s="1668"/>
      <c r="G404" s="1676"/>
      <c r="K404" s="27" t="s">
        <v>1536</v>
      </c>
      <c r="M404" s="1756" t="str">
        <f t="shared" si="27"/>
        <v>No</v>
      </c>
      <c r="P404" s="42"/>
    </row>
    <row r="405" spans="3:16" hidden="1" x14ac:dyDescent="0.25">
      <c r="C405" s="134"/>
      <c r="D405" s="1655">
        <f>SUM(D402:D404)</f>
        <v>0</v>
      </c>
      <c r="E405" s="1663">
        <f>SUM(E402:E404)</f>
        <v>0</v>
      </c>
      <c r="F405" s="1668"/>
      <c r="K405" s="27"/>
      <c r="M405" s="1756" t="str">
        <f>IF(D405=D421,"No",IF(AND(D405=0,E405=0),"No","Yes"))</f>
        <v>No</v>
      </c>
      <c r="P405" s="42"/>
    </row>
    <row r="406" spans="3:16" hidden="1" x14ac:dyDescent="0.25">
      <c r="C406" s="636" t="str">
        <f>+"("&amp;O406&amp;")"&amp;P406</f>
        <v>(a) Unamortised Expenses</v>
      </c>
      <c r="D406" s="1189"/>
      <c r="E406" s="1195"/>
      <c r="F406" s="1523"/>
      <c r="G406" s="1579"/>
      <c r="M406" s="1756" t="str">
        <f>M409</f>
        <v>No</v>
      </c>
      <c r="O406" s="42" t="str">
        <f>+IF(M401="yes",CHAR(CODE(O401)+1),O401)</f>
        <v>a</v>
      </c>
      <c r="P406" s="42" t="s">
        <v>1617</v>
      </c>
    </row>
    <row r="407" spans="3:16" hidden="1" x14ac:dyDescent="0.25">
      <c r="C407" s="655" t="str">
        <f>+"("&amp;O407&amp;")"&amp;P407</f>
        <v>(i) Ancillary borrowing costs</v>
      </c>
      <c r="D407" s="1195">
        <f>+SUMIF('Master TB'!E:E,Assets!K407,'Master TB'!J:J)</f>
        <v>0</v>
      </c>
      <c r="E407" s="1195">
        <f>+SUMIF('Master TB'!$E:$E,Assets!K407,'Master TB'!$V:$V)</f>
        <v>0</v>
      </c>
      <c r="F407" s="1523"/>
      <c r="G407" s="1677"/>
      <c r="K407" s="41" t="s">
        <v>1538</v>
      </c>
      <c r="M407" s="1756" t="str">
        <f t="shared" si="27"/>
        <v>No</v>
      </c>
      <c r="O407" s="42" t="s">
        <v>478</v>
      </c>
      <c r="P407" s="42" t="s">
        <v>1587</v>
      </c>
    </row>
    <row r="408" spans="3:16" hidden="1" x14ac:dyDescent="0.25">
      <c r="C408" s="655" t="str">
        <f>+"("&amp;O408&amp;")"&amp;P408</f>
        <v>(i)  Discount on shares (where applicable)</v>
      </c>
      <c r="D408" s="1190">
        <f>+SUMIF('Master TB'!E:E,Assets!K408,'Master TB'!J:J)</f>
        <v>0</v>
      </c>
      <c r="E408" s="1197">
        <f>+SUMIF('Master TB'!$E:$E,Assets!K408,'Master TB'!$V:$V)</f>
        <v>0</v>
      </c>
      <c r="F408" s="1523"/>
      <c r="G408" s="1677"/>
      <c r="K408" s="41" t="s">
        <v>1540</v>
      </c>
      <c r="M408" s="1756" t="str">
        <f t="shared" si="27"/>
        <v>No</v>
      </c>
      <c r="O408" s="42" t="str">
        <f>+IF(M407="Yes",LOWER(ROMAN(_xlfn.ARABIC(O407)+1)),O407)</f>
        <v>i</v>
      </c>
      <c r="P408" s="42" t="s">
        <v>1618</v>
      </c>
    </row>
    <row r="409" spans="3:16" hidden="1" x14ac:dyDescent="0.25">
      <c r="C409" s="72"/>
      <c r="D409" s="1189">
        <f>SUM(D407:D408)</f>
        <v>0</v>
      </c>
      <c r="E409" s="1195">
        <f>SUM(E407:E408)</f>
        <v>0</v>
      </c>
      <c r="F409" s="1523"/>
      <c r="G409" s="1579"/>
      <c r="K409" s="32"/>
      <c r="M409" s="1756" t="str">
        <f>IF(D409=D421,"No",IF(AND(D409=0,E409=0),"No","Yes"))</f>
        <v>No</v>
      </c>
      <c r="P409" s="42"/>
    </row>
    <row r="410" spans="3:16" hidden="1" x14ac:dyDescent="0.25">
      <c r="C410" s="636" t="str">
        <f>+"("&amp;O410&amp;")"&amp;P410</f>
        <v xml:space="preserve">(a) Accruals </v>
      </c>
      <c r="D410" s="1189"/>
      <c r="E410" s="1195"/>
      <c r="F410" s="1523"/>
      <c r="G410" s="1579"/>
      <c r="K410" s="32"/>
      <c r="M410" s="1756" t="str">
        <f>M413</f>
        <v>No</v>
      </c>
      <c r="O410" s="42" t="str">
        <f>+IF(M406="yes",CHAR(CODE(O406)+1),O406)</f>
        <v>a</v>
      </c>
      <c r="P410" s="42" t="s">
        <v>1589</v>
      </c>
    </row>
    <row r="411" spans="3:16" x14ac:dyDescent="0.3">
      <c r="C411" s="655" t="str">
        <f>+"("&amp;O411&amp;")"&amp;P411</f>
        <v>(i) Interest accrued on deposits</v>
      </c>
      <c r="D411" s="1656">
        <f>+SUMIF('Master TB'!E:E,Assets!K411,'Master TB'!J:J)</f>
        <v>7642.93</v>
      </c>
      <c r="E411" s="1195">
        <f>+SUMIF('Master TB'!$E:$E,Assets!K411,'Master TB'!$V:$V)</f>
        <v>14837.4</v>
      </c>
      <c r="F411" s="9"/>
      <c r="G411" s="1677"/>
      <c r="K411" s="1" t="s">
        <v>1542</v>
      </c>
      <c r="M411" s="1756" t="str">
        <f t="shared" si="27"/>
        <v>Yes</v>
      </c>
      <c r="O411" s="42" t="s">
        <v>478</v>
      </c>
      <c r="P411" s="42" t="s">
        <v>1590</v>
      </c>
    </row>
    <row r="412" spans="3:16" hidden="1" x14ac:dyDescent="0.25">
      <c r="C412" s="655" t="str">
        <f>+"("&amp;O412&amp;")"&amp;P412</f>
        <v>(ii)  Interest accrued on investments</v>
      </c>
      <c r="D412" s="1190">
        <f>+SUMIF('Master TB'!E:E,Assets!K412,'Master TB'!J:J)</f>
        <v>0</v>
      </c>
      <c r="E412" s="1197">
        <f>+SUMIF('Master TB'!$E:$E,Assets!K412,'Master TB'!$V:$V)</f>
        <v>0</v>
      </c>
      <c r="F412" s="1523"/>
      <c r="G412" s="1677"/>
      <c r="K412" s="32" t="s">
        <v>1544</v>
      </c>
      <c r="M412" s="1756" t="str">
        <f t="shared" si="27"/>
        <v>No</v>
      </c>
      <c r="O412" s="42" t="str">
        <f>+IF(M411="Yes",LOWER(ROMAN(_xlfn.ARABIC(O411)+1)),O411)</f>
        <v>ii</v>
      </c>
      <c r="P412" s="42" t="s">
        <v>1619</v>
      </c>
    </row>
    <row r="413" spans="3:16" hidden="1" x14ac:dyDescent="0.25">
      <c r="C413" s="602"/>
      <c r="D413" s="2488">
        <f>SUM(D411:D412)</f>
        <v>7642.93</v>
      </c>
      <c r="E413" s="2489">
        <f>SUM(E411:E412)</f>
        <v>14837.4</v>
      </c>
      <c r="F413" s="1523"/>
      <c r="G413" s="1677"/>
      <c r="K413" s="32"/>
      <c r="M413" s="1756" t="str">
        <f>IF(D413=D421,"No",IF(AND(D413=0,E413=0),"No","Yes"))</f>
        <v>No</v>
      </c>
      <c r="P413" s="42"/>
    </row>
    <row r="414" spans="3:16" hidden="1" x14ac:dyDescent="0.25">
      <c r="C414" s="636" t="str">
        <f>+"("&amp;O414&amp;")"&amp;P414</f>
        <v xml:space="preserve">(a) Others </v>
      </c>
      <c r="D414" s="1181"/>
      <c r="E414" s="1389"/>
      <c r="G414" s="1586"/>
      <c r="M414" s="1756" t="str">
        <f>M420</f>
        <v>No</v>
      </c>
      <c r="O414" s="42" t="str">
        <f>+IF(M410="yes",CHAR(CODE(O410)+1),O410)</f>
        <v>a</v>
      </c>
      <c r="P414" s="42" t="s">
        <v>1592</v>
      </c>
    </row>
    <row r="415" spans="3:16" hidden="1" x14ac:dyDescent="0.3">
      <c r="C415" s="655" t="str">
        <f>+"("&amp;O415&amp;")"&amp;P415</f>
        <v>(i) Insurance claims</v>
      </c>
      <c r="D415" s="1656">
        <f>+SUMIF('Master TB'!E:E,Assets!K415,'Master TB'!J:J)</f>
        <v>0</v>
      </c>
      <c r="E415" s="1198">
        <f>+SUMIF('Master TB'!$E:$E,Assets!K415,'Master TB'!$V:$V)</f>
        <v>0</v>
      </c>
      <c r="F415" s="9"/>
      <c r="G415" s="1677"/>
      <c r="K415" s="1" t="s">
        <v>1546</v>
      </c>
      <c r="M415" s="1756" t="str">
        <f t="shared" si="27"/>
        <v>No</v>
      </c>
      <c r="O415" s="42" t="s">
        <v>478</v>
      </c>
      <c r="P415" s="42" t="s">
        <v>1593</v>
      </c>
    </row>
    <row r="416" spans="3:16" hidden="1" x14ac:dyDescent="0.3">
      <c r="C416" s="655" t="str">
        <f>+"("&amp;O416&amp;")"&amp;P416</f>
        <v>(i)  Receivables on sale of fixed assets</v>
      </c>
      <c r="D416" s="1656">
        <f>+SUMIF('Master TB'!E:E,Assets!K416,'Master TB'!J:J)</f>
        <v>0</v>
      </c>
      <c r="E416" s="1198">
        <f>+SUMIF('Master TB'!$E:$E,Assets!K416,'Master TB'!$V:$V)</f>
        <v>0</v>
      </c>
      <c r="F416" s="9"/>
      <c r="G416" s="1677"/>
      <c r="K416" s="1" t="s">
        <v>1548</v>
      </c>
      <c r="M416" s="1756" t="str">
        <f t="shared" si="27"/>
        <v>No</v>
      </c>
      <c r="O416" s="42" t="str">
        <f>+IF(M415="Yes",LOWER(ROMAN(_xlfn.ARABIC(O415)+1)),O415)</f>
        <v>i</v>
      </c>
      <c r="P416" s="42" t="s">
        <v>1620</v>
      </c>
    </row>
    <row r="417" spans="3:16" hidden="1" x14ac:dyDescent="0.3">
      <c r="C417" s="655" t="str">
        <f>+"("&amp;O417&amp;")"&amp;P417</f>
        <v>(i)  Contractually reimbursable expenses</v>
      </c>
      <c r="D417" s="1656">
        <f>+SUMIF('Master TB'!E:E,Assets!K417,'Master TB'!J:J)</f>
        <v>0</v>
      </c>
      <c r="E417" s="1198">
        <f>+SUMIF('Master TB'!$E:$E,Assets!K417,'Master TB'!$V:$V)</f>
        <v>0</v>
      </c>
      <c r="F417" s="9"/>
      <c r="G417" s="1677"/>
      <c r="K417" s="1" t="s">
        <v>1550</v>
      </c>
      <c r="M417" s="1756" t="str">
        <f t="shared" si="27"/>
        <v>No</v>
      </c>
      <c r="O417" s="42" t="str">
        <f>+IF(M416="Yes",LOWER(ROMAN(_xlfn.ARABIC(O416)+1)),O416)</f>
        <v>i</v>
      </c>
      <c r="P417" s="42" t="s">
        <v>1621</v>
      </c>
    </row>
    <row r="418" spans="3:16" hidden="1" x14ac:dyDescent="0.3">
      <c r="C418" s="655" t="str">
        <f>+"("&amp;O418&amp;")"&amp;P418</f>
        <v>(i)  Others</v>
      </c>
      <c r="D418" s="1656">
        <f>+SUMIF('Master TB'!E:E,Assets!K418,'Master TB'!J:J)</f>
        <v>0</v>
      </c>
      <c r="E418" s="1198">
        <f>+SUMIF('Master TB'!$E:$E,Assets!K418,'Master TB'!$V:$V)</f>
        <v>0</v>
      </c>
      <c r="F418" s="9"/>
      <c r="G418" s="1677"/>
      <c r="K418" s="1" t="s">
        <v>1552</v>
      </c>
      <c r="M418" s="1756" t="str">
        <f>IF(AND(D418=0,E418=0),"No","Yes")</f>
        <v>No</v>
      </c>
      <c r="O418" s="42" t="str">
        <f>+IF(M417="Yes",LOWER(ROMAN(_xlfn.ARABIC(O417)+1)),O417)</f>
        <v>i</v>
      </c>
      <c r="P418" s="42" t="s">
        <v>1963</v>
      </c>
    </row>
    <row r="419" spans="3:16" hidden="1" x14ac:dyDescent="0.3">
      <c r="C419" s="649" t="s">
        <v>3612</v>
      </c>
      <c r="D419" s="1198">
        <f>+SUMIFS('Master TB'!J:J,'Master TB'!E:E,Assets!P419)</f>
        <v>0</v>
      </c>
      <c r="E419" s="1198">
        <f>+SUMIFS('Master TB'!K:K,'Master TB'!F:F,Assets!Q419)</f>
        <v>0</v>
      </c>
      <c r="F419" s="9"/>
      <c r="G419" s="1677"/>
      <c r="K419" s="1"/>
      <c r="O419" s="42"/>
      <c r="P419" s="42" t="s">
        <v>3613</v>
      </c>
    </row>
    <row r="420" spans="3:16" hidden="1" x14ac:dyDescent="0.25">
      <c r="C420" s="116"/>
      <c r="D420" s="2489">
        <f>+SUM(D415:D419)</f>
        <v>0</v>
      </c>
      <c r="E420" s="2519">
        <f>SUM(E415:E419)</f>
        <v>0</v>
      </c>
      <c r="M420" s="1756" t="str">
        <f>IF(D420=D421,"No",IF(AND(D420=0,E420=0),"No","Yes"))</f>
        <v>No</v>
      </c>
      <c r="P420" s="42"/>
    </row>
    <row r="421" spans="3:16" x14ac:dyDescent="0.25">
      <c r="C421" s="1957" t="s">
        <v>35</v>
      </c>
      <c r="D421" s="2516">
        <f>SUM(D420,D413,D409,D405,D400)</f>
        <v>7642.93</v>
      </c>
      <c r="E421" s="2484">
        <f>SUM(E420,E413,E409,E405,E400)</f>
        <v>14837.4</v>
      </c>
      <c r="M421" s="1756" t="str">
        <f>IF(AND(D421=0,E421=0),"No","Yes")</f>
        <v>Yes</v>
      </c>
      <c r="P421" s="42"/>
    </row>
    <row r="422" spans="3:16" x14ac:dyDescent="0.25">
      <c r="M422" s="1756" t="str">
        <f>M421</f>
        <v>Yes</v>
      </c>
    </row>
    <row r="423" spans="3:16" hidden="1" x14ac:dyDescent="0.25">
      <c r="C423" s="1267" t="str">
        <f>+IF(Footnotes!C137="","",Footnotes!C137)</f>
        <v/>
      </c>
      <c r="D423" s="1536" t="str">
        <f>+IF(Footnotes!D137="","",Footnotes!D137)</f>
        <v/>
      </c>
      <c r="E423" s="1536" t="str">
        <f>+IF(Footnotes!E137="","",Footnotes!E137)</f>
        <v/>
      </c>
      <c r="F423" s="1536" t="str">
        <f>+IF(Footnotes!F137="","",Footnotes!F137)</f>
        <v/>
      </c>
      <c r="G423" s="1536" t="str">
        <f>+IF(Footnotes!G137="","",Footnotes!G137)</f>
        <v/>
      </c>
      <c r="H423" s="1536" t="str">
        <f>+IF(Footnotes!H137="","",Footnotes!H137)</f>
        <v/>
      </c>
      <c r="I423" s="1536" t="str">
        <f>+IF(Footnotes!I137="","",Footnotes!I137)</f>
        <v/>
      </c>
      <c r="M423" s="1756" t="str">
        <f t="shared" ref="M423:M428" si="28">+IF(AND(C423="",D423="",E423="",F423="",G423="",H423="",I423=""),"No","Yes")</f>
        <v>No</v>
      </c>
    </row>
    <row r="424" spans="3:16" hidden="1" x14ac:dyDescent="0.25">
      <c r="C424" s="1267" t="str">
        <f>+IF(Footnotes!C138="","",Footnotes!C138)</f>
        <v/>
      </c>
      <c r="D424" s="1536" t="str">
        <f>+IF(Footnotes!D138="","",Footnotes!D138)</f>
        <v/>
      </c>
      <c r="E424" s="1536" t="str">
        <f>+IF(Footnotes!E138="","",Footnotes!E138)</f>
        <v/>
      </c>
      <c r="F424" s="1536" t="str">
        <f>+IF(Footnotes!F138="","",Footnotes!F138)</f>
        <v/>
      </c>
      <c r="G424" s="1536" t="str">
        <f>+IF(Footnotes!G138="","",Footnotes!G138)</f>
        <v/>
      </c>
      <c r="H424" s="1536" t="str">
        <f>+IF(Footnotes!H138="","",Footnotes!H138)</f>
        <v/>
      </c>
      <c r="I424" s="1536" t="str">
        <f>+IF(Footnotes!I138="","",Footnotes!I138)</f>
        <v/>
      </c>
      <c r="M424" s="1756" t="str">
        <f t="shared" si="28"/>
        <v>No</v>
      </c>
    </row>
    <row r="425" spans="3:16" hidden="1" x14ac:dyDescent="0.25">
      <c r="C425" s="1267" t="str">
        <f>+IF(Footnotes!C139="","",Footnotes!C139)</f>
        <v/>
      </c>
      <c r="D425" s="1536" t="str">
        <f>+IF(Footnotes!D139="","",Footnotes!D139)</f>
        <v/>
      </c>
      <c r="E425" s="1536" t="str">
        <f>+IF(Footnotes!E139="","",Footnotes!E139)</f>
        <v/>
      </c>
      <c r="F425" s="1536" t="str">
        <f>+IF(Footnotes!F139="","",Footnotes!F139)</f>
        <v/>
      </c>
      <c r="G425" s="1536" t="str">
        <f>+IF(Footnotes!G139="","",Footnotes!G139)</f>
        <v/>
      </c>
      <c r="H425" s="1536" t="str">
        <f>+IF(Footnotes!H139="","",Footnotes!H139)</f>
        <v/>
      </c>
      <c r="I425" s="1536" t="str">
        <f>+IF(Footnotes!I139="","",Footnotes!I139)</f>
        <v/>
      </c>
      <c r="M425" s="1756" t="str">
        <f t="shared" si="28"/>
        <v>No</v>
      </c>
    </row>
    <row r="426" spans="3:16" hidden="1" x14ac:dyDescent="0.25">
      <c r="C426" s="1267" t="str">
        <f>+IF(Footnotes!C140="","",Footnotes!C140)</f>
        <v/>
      </c>
      <c r="D426" s="1536" t="str">
        <f>+IF(Footnotes!D140="","",Footnotes!D140)</f>
        <v/>
      </c>
      <c r="E426" s="1536" t="str">
        <f>+IF(Footnotes!E140="","",Footnotes!E140)</f>
        <v/>
      </c>
      <c r="F426" s="1536" t="str">
        <f>+IF(Footnotes!F140="","",Footnotes!F140)</f>
        <v/>
      </c>
      <c r="G426" s="1536" t="str">
        <f>+IF(Footnotes!G140="","",Footnotes!G140)</f>
        <v/>
      </c>
      <c r="H426" s="1536" t="str">
        <f>+IF(Footnotes!H140="","",Footnotes!H140)</f>
        <v/>
      </c>
      <c r="I426" s="1536" t="str">
        <f>+IF(Footnotes!I140="","",Footnotes!I140)</f>
        <v/>
      </c>
      <c r="M426" s="1756" t="str">
        <f t="shared" si="28"/>
        <v>No</v>
      </c>
    </row>
    <row r="427" spans="3:16" hidden="1" x14ac:dyDescent="0.25">
      <c r="C427" s="1267" t="str">
        <f>+IF(Footnotes!C141="","",Footnotes!C141)</f>
        <v/>
      </c>
      <c r="D427" s="1536" t="str">
        <f>+IF(Footnotes!D141="","",Footnotes!D141)</f>
        <v/>
      </c>
      <c r="E427" s="1536" t="str">
        <f>+IF(Footnotes!E141="","",Footnotes!E141)</f>
        <v/>
      </c>
      <c r="F427" s="1536" t="str">
        <f>+IF(Footnotes!F141="","",Footnotes!F141)</f>
        <v/>
      </c>
      <c r="G427" s="1536" t="str">
        <f>+IF(Footnotes!G141="","",Footnotes!G141)</f>
        <v/>
      </c>
      <c r="H427" s="1536" t="str">
        <f>+IF(Footnotes!H141="","",Footnotes!H141)</f>
        <v/>
      </c>
      <c r="I427" s="1536" t="str">
        <f>+IF(Footnotes!I141="","",Footnotes!I141)</f>
        <v/>
      </c>
      <c r="M427" s="1756" t="str">
        <f t="shared" si="28"/>
        <v>No</v>
      </c>
    </row>
    <row r="428" spans="3:16" hidden="1" x14ac:dyDescent="0.25">
      <c r="C428" s="1267" t="str">
        <f>+IF(Footnotes!C142="","",Footnotes!C142)</f>
        <v/>
      </c>
      <c r="D428" s="1536" t="str">
        <f>+IF(Footnotes!D142="","",Footnotes!D142)</f>
        <v/>
      </c>
      <c r="E428" s="1536" t="str">
        <f>+IF(Footnotes!E142="","",Footnotes!E142)</f>
        <v/>
      </c>
      <c r="F428" s="1536" t="str">
        <f>+IF(Footnotes!F142="","",Footnotes!F142)</f>
        <v/>
      </c>
      <c r="G428" s="1536" t="str">
        <f>+IF(Footnotes!G142="","",Footnotes!G142)</f>
        <v/>
      </c>
      <c r="H428" s="1536" t="str">
        <f>+IF(Footnotes!H142="","",Footnotes!H142)</f>
        <v/>
      </c>
      <c r="I428" s="1536" t="str">
        <f>+IF(Footnotes!I142="","",Footnotes!I142)</f>
        <v/>
      </c>
      <c r="M428" s="1756" t="str">
        <f t="shared" si="28"/>
        <v>No</v>
      </c>
    </row>
  </sheetData>
  <mergeCells count="24">
    <mergeCell ref="F119:G119"/>
    <mergeCell ref="D179:E179"/>
    <mergeCell ref="H349:I349"/>
    <mergeCell ref="C358:C359"/>
    <mergeCell ref="D358:H358"/>
    <mergeCell ref="I358:I359"/>
    <mergeCell ref="C266:C267"/>
    <mergeCell ref="D266:F266"/>
    <mergeCell ref="C8:D8"/>
    <mergeCell ref="C119:D119"/>
    <mergeCell ref="C120:C121"/>
    <mergeCell ref="D120:E120"/>
    <mergeCell ref="I350:I351"/>
    <mergeCell ref="F120:G120"/>
    <mergeCell ref="C178:D178"/>
    <mergeCell ref="C208:C209"/>
    <mergeCell ref="D208:H208"/>
    <mergeCell ref="I208:I209"/>
    <mergeCell ref="C282:D282"/>
    <mergeCell ref="C283:D283"/>
    <mergeCell ref="C331:E331"/>
    <mergeCell ref="C350:C351"/>
    <mergeCell ref="D350:H350"/>
    <mergeCell ref="G266:I266"/>
  </mergeCells>
  <conditionalFormatting sqref="D17:D21">
    <cfRule type="expression" dxfId="132" priority="7">
      <formula>$E$139&lt;&gt;0</formula>
    </cfRule>
  </conditionalFormatting>
  <conditionalFormatting sqref="G183:G196">
    <cfRule type="duplicateValues" dxfId="131" priority="6"/>
  </conditionalFormatting>
  <conditionalFormatting sqref="K78">
    <cfRule type="duplicateValues" dxfId="130" priority="5"/>
  </conditionalFormatting>
  <conditionalFormatting sqref="L130:L132 L134">
    <cfRule type="duplicateValues" dxfId="129" priority="37"/>
  </conditionalFormatting>
  <conditionalFormatting sqref="L166">
    <cfRule type="duplicateValues" dxfId="128" priority="2"/>
  </conditionalFormatting>
  <conditionalFormatting sqref="L166">
    <cfRule type="duplicateValues" dxfId="127" priority="1"/>
  </conditionalFormatting>
  <pageMargins left="0.5" right="0.5" top="0.5" bottom="0.5" header="0.5" footer="0.5"/>
  <pageSetup scale="48" orientation="portrait" r:id="rId1"/>
  <rowBreaks count="1" manualBreakCount="1">
    <brk id="263" min="1" max="9" man="1"/>
  </rowBreaks>
  <ignoredErrors>
    <ignoredError sqref="E312:E321" unlockedFormula="1"/>
  </ignoredError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C10:AL150"/>
  <sheetViews>
    <sheetView showGridLines="0" view="pageBreakPreview" topLeftCell="A14" zoomScale="80" zoomScaleNormal="80" zoomScaleSheetLayoutView="80" workbookViewId="0">
      <selection activeCell="M27" sqref="M27"/>
    </sheetView>
  </sheetViews>
  <sheetFormatPr defaultColWidth="9.140625" defaultRowHeight="16.5" x14ac:dyDescent="0.25"/>
  <cols>
    <col min="1" max="2" width="3.7109375" style="41" customWidth="1"/>
    <col min="3" max="3" width="3.7109375" style="1209" customWidth="1"/>
    <col min="4" max="4" width="55" style="1209" customWidth="1"/>
    <col min="5" max="5" width="19.5703125" style="1209" customWidth="1"/>
    <col min="6" max="6" width="19" style="1209" customWidth="1"/>
    <col min="7" max="7" width="16.7109375" style="1209" customWidth="1"/>
    <col min="8" max="17" width="16.7109375" style="841" customWidth="1"/>
    <col min="18" max="21" width="16.7109375" style="841" hidden="1" customWidth="1"/>
    <col min="22" max="24" width="16.7109375" style="841" customWidth="1"/>
    <col min="25" max="25" width="10.42578125" style="841" hidden="1" customWidth="1"/>
    <col min="26" max="26" width="10.5703125" style="841" bestFit="1" customWidth="1"/>
    <col min="27" max="28" width="9.28515625" style="841" bestFit="1" customWidth="1"/>
    <col min="29" max="29" width="14.85546875" style="841" bestFit="1" customWidth="1"/>
    <col min="30" max="30" width="9.140625" style="841"/>
    <col min="31" max="31" width="0" style="841" hidden="1" customWidth="1"/>
    <col min="32" max="38" width="9.140625" style="841"/>
    <col min="39" max="16384" width="9.140625" style="41"/>
  </cols>
  <sheetData>
    <row r="10" spans="3:38" x14ac:dyDescent="0.25">
      <c r="C10" s="2869" t="str">
        <f>+Company_Name</f>
        <v>Sample Company</v>
      </c>
      <c r="D10" s="2869"/>
      <c r="E10" s="2869"/>
      <c r="F10" s="2869"/>
    </row>
    <row r="11" spans="3:38" x14ac:dyDescent="0.25">
      <c r="C11" s="1522" t="s">
        <v>90</v>
      </c>
    </row>
    <row r="12" spans="3:38" x14ac:dyDescent="0.25">
      <c r="C12" s="1609"/>
      <c r="D12" s="1609"/>
      <c r="E12" s="1609"/>
      <c r="F12" s="1609"/>
    </row>
    <row r="13" spans="3:38" s="42" customFormat="1" x14ac:dyDescent="0.25">
      <c r="C13" s="2869" t="str">
        <f>+"Note "&amp;'Balance Sheet'!E45&amp; " Property, Plant and Equipment and Intangible assets"</f>
        <v>Note 8 Property, Plant and Equipment and Intangible assets</v>
      </c>
      <c r="D13" s="2869"/>
      <c r="E13" s="2869"/>
      <c r="F13" s="1609"/>
      <c r="G13" s="1209"/>
      <c r="H13" s="841"/>
      <c r="I13" s="841"/>
      <c r="J13" s="841"/>
      <c r="K13" s="841"/>
      <c r="L13" s="841"/>
      <c r="M13" s="841"/>
      <c r="N13" s="841"/>
      <c r="O13" s="1510"/>
      <c r="P13" s="1510"/>
      <c r="Q13" s="1510"/>
      <c r="R13" s="1510"/>
      <c r="S13" s="1510"/>
      <c r="T13" s="1510"/>
      <c r="U13" s="1510"/>
      <c r="V13" s="1510"/>
      <c r="W13" s="1510"/>
      <c r="X13" s="1510"/>
      <c r="Y13" s="1510"/>
      <c r="Z13" s="1510"/>
      <c r="AA13" s="1510"/>
      <c r="AB13" s="1510"/>
      <c r="AC13" s="1510"/>
      <c r="AD13" s="1510"/>
      <c r="AE13" s="1510"/>
      <c r="AF13" s="1510"/>
      <c r="AG13" s="1510"/>
      <c r="AH13" s="1510"/>
      <c r="AI13" s="1510"/>
      <c r="AJ13" s="1510"/>
      <c r="AK13" s="1510"/>
      <c r="AL13" s="1510"/>
    </row>
    <row r="14" spans="3:38" s="42" customFormat="1" x14ac:dyDescent="0.25">
      <c r="C14" s="1394"/>
      <c r="D14" s="1394"/>
      <c r="E14" s="1394"/>
      <c r="F14" s="1609"/>
      <c r="G14" s="1209"/>
      <c r="H14" s="841"/>
      <c r="I14" s="841"/>
      <c r="J14" s="841"/>
      <c r="K14" s="841"/>
      <c r="L14" s="841"/>
      <c r="M14" s="841"/>
      <c r="N14" s="841"/>
      <c r="O14" s="1510"/>
      <c r="P14" s="1510"/>
      <c r="Q14" s="1510"/>
      <c r="R14" s="1510"/>
      <c r="S14" s="1510"/>
      <c r="T14" s="1510"/>
      <c r="U14" s="1510"/>
      <c r="V14" s="1510"/>
      <c r="W14" s="2763" t="str">
        <f>+Assets!E90</f>
        <v>Amount in Rs '00.</v>
      </c>
      <c r="X14" s="2763"/>
      <c r="Y14" s="1510"/>
      <c r="Z14" s="1510"/>
      <c r="AA14" s="1510"/>
      <c r="AB14" s="1510"/>
      <c r="AC14" s="1510"/>
      <c r="AD14" s="1510"/>
      <c r="AE14" s="1510"/>
      <c r="AF14" s="1510"/>
      <c r="AG14" s="1510"/>
      <c r="AH14" s="1510"/>
      <c r="AI14" s="1510"/>
      <c r="AJ14" s="1510"/>
      <c r="AK14" s="1510"/>
      <c r="AL14" s="1510"/>
    </row>
    <row r="15" spans="3:38" s="42" customFormat="1" ht="13.15" customHeight="1" x14ac:dyDescent="0.25">
      <c r="C15" s="2670" t="s">
        <v>180</v>
      </c>
      <c r="D15" s="2413"/>
      <c r="E15" s="2867" t="s">
        <v>1756</v>
      </c>
      <c r="F15" s="2868"/>
      <c r="G15" s="2868"/>
      <c r="H15" s="2868"/>
      <c r="I15" s="2868"/>
      <c r="J15" s="2868"/>
      <c r="K15" s="2868"/>
      <c r="L15" s="2868"/>
      <c r="M15" s="2868"/>
      <c r="N15" s="2868"/>
      <c r="O15" s="2867" t="s">
        <v>1757</v>
      </c>
      <c r="P15" s="2868"/>
      <c r="Q15" s="2868"/>
      <c r="R15" s="2868"/>
      <c r="S15" s="2868"/>
      <c r="T15" s="2868"/>
      <c r="U15" s="2868"/>
      <c r="V15" s="2868"/>
      <c r="W15" s="2867" t="s">
        <v>1758</v>
      </c>
      <c r="X15" s="2868"/>
      <c r="Y15" s="1510"/>
      <c r="Z15" s="1510"/>
      <c r="AA15" s="1510"/>
      <c r="AB15" s="1510"/>
      <c r="AC15" s="1510"/>
      <c r="AD15" s="1510"/>
      <c r="AE15" s="1510" t="str">
        <f>+AE16</f>
        <v>Yes</v>
      </c>
      <c r="AF15" s="1510"/>
      <c r="AG15" s="1510"/>
      <c r="AH15" s="1510"/>
      <c r="AI15" s="1510"/>
      <c r="AJ15" s="1510"/>
      <c r="AK15" s="1510"/>
      <c r="AL15" s="1510"/>
    </row>
    <row r="16" spans="3:38" s="791" customFormat="1" ht="74.45" customHeight="1" x14ac:dyDescent="0.25">
      <c r="C16" s="1680"/>
      <c r="D16" s="1681" t="s">
        <v>1759</v>
      </c>
      <c r="E16" s="1372" t="str">
        <f>BSPY</f>
        <v>As At 31st March 2024</v>
      </c>
      <c r="F16" s="1682" t="s">
        <v>182</v>
      </c>
      <c r="G16" s="1682" t="s">
        <v>1760</v>
      </c>
      <c r="H16" s="1682" t="s">
        <v>1761</v>
      </c>
      <c r="I16" s="1682" t="s">
        <v>1762</v>
      </c>
      <c r="J16" s="1682" t="s">
        <v>1763</v>
      </c>
      <c r="K16" s="1682" t="s">
        <v>1764</v>
      </c>
      <c r="L16" s="1682" t="s">
        <v>1765</v>
      </c>
      <c r="M16" s="1682" t="s">
        <v>1766</v>
      </c>
      <c r="N16" s="1682" t="str">
        <f>+BSCY</f>
        <v>As At 31st March 2025</v>
      </c>
      <c r="O16" s="1372" t="str">
        <f>+BSPY</f>
        <v>As At 31st March 2024</v>
      </c>
      <c r="P16" s="1682" t="s">
        <v>1767</v>
      </c>
      <c r="Q16" s="1682" t="s">
        <v>1768</v>
      </c>
      <c r="R16" s="1682" t="s">
        <v>1769</v>
      </c>
      <c r="S16" s="1682" t="s">
        <v>1770</v>
      </c>
      <c r="T16" s="1682" t="s">
        <v>1771</v>
      </c>
      <c r="U16" s="1682" t="s">
        <v>1772</v>
      </c>
      <c r="V16" s="1682" t="str">
        <f>+BSCY</f>
        <v>As At 31st March 2025</v>
      </c>
      <c r="W16" s="1372" t="str">
        <f>+BSCY</f>
        <v>As At 31st March 2025</v>
      </c>
      <c r="X16" s="1682" t="str">
        <f>BSPY</f>
        <v>As At 31st March 2024</v>
      </c>
      <c r="Y16" s="1683"/>
      <c r="Z16" s="1683"/>
      <c r="AA16" s="1683"/>
      <c r="AB16" s="1683"/>
      <c r="AC16" s="1683"/>
      <c r="AD16" s="1683"/>
      <c r="AE16" s="1683" t="str">
        <f>+IF(COUNTIF($AE$18:$AE$47,"Yes")=0,"No","Yes")</f>
        <v>Yes</v>
      </c>
      <c r="AF16" s="1683"/>
      <c r="AG16" s="1683"/>
      <c r="AH16" s="1683"/>
      <c r="AI16" s="1683"/>
      <c r="AJ16" s="1683"/>
      <c r="AK16" s="1683"/>
      <c r="AL16" s="1683"/>
    </row>
    <row r="17" spans="3:38" s="3" customFormat="1" hidden="1" x14ac:dyDescent="0.25">
      <c r="C17" s="1684"/>
      <c r="D17" s="1685"/>
      <c r="E17" s="1686"/>
      <c r="F17" s="1687"/>
      <c r="G17" s="1687"/>
      <c r="H17" s="1687"/>
      <c r="I17" s="1687"/>
      <c r="J17" s="1687"/>
      <c r="K17" s="1687"/>
      <c r="L17" s="1687"/>
      <c r="M17" s="1687"/>
      <c r="N17" s="1687"/>
      <c r="O17" s="1686"/>
      <c r="P17" s="1687"/>
      <c r="Q17" s="1687"/>
      <c r="R17" s="1687"/>
      <c r="S17" s="1687"/>
      <c r="T17" s="1687"/>
      <c r="U17" s="1687"/>
      <c r="V17" s="1687"/>
      <c r="W17" s="1686"/>
      <c r="X17" s="1687"/>
      <c r="Y17" s="1688"/>
      <c r="Z17" s="1688"/>
      <c r="AA17" s="1579"/>
      <c r="AB17" s="1579"/>
      <c r="AC17" s="1579"/>
      <c r="AD17" s="1579"/>
      <c r="AE17" s="1579" t="str">
        <f>+AE16</f>
        <v>Yes</v>
      </c>
      <c r="AF17" s="1579"/>
      <c r="AG17" s="1579"/>
      <c r="AH17" s="1579"/>
      <c r="AI17" s="1579"/>
      <c r="AJ17" s="1579"/>
      <c r="AK17" s="1579"/>
      <c r="AL17" s="1579"/>
    </row>
    <row r="18" spans="3:38" s="3" customFormat="1" hidden="1" x14ac:dyDescent="0.25">
      <c r="C18" s="824"/>
      <c r="D18" s="835" t="s">
        <v>1773</v>
      </c>
      <c r="E18" s="824">
        <f>-N19</f>
        <v>0</v>
      </c>
      <c r="F18" s="825"/>
      <c r="G18" s="825"/>
      <c r="H18" s="825"/>
      <c r="I18" s="825"/>
      <c r="J18" s="825"/>
      <c r="K18" s="825"/>
      <c r="L18" s="825"/>
      <c r="M18" s="825"/>
      <c r="N18" s="826">
        <f>SUM(E18:F18,H18:M18)-G18</f>
        <v>0</v>
      </c>
      <c r="O18" s="825"/>
      <c r="P18" s="826"/>
      <c r="Q18" s="826"/>
      <c r="R18" s="826"/>
      <c r="S18" s="826"/>
      <c r="T18" s="826"/>
      <c r="U18" s="826"/>
      <c r="V18" s="826">
        <f>SUM(O18:P18,R18:U18)-Q18</f>
        <v>0</v>
      </c>
      <c r="W18" s="825">
        <f>N18-V18</f>
        <v>0</v>
      </c>
      <c r="X18" s="826">
        <f>-W19</f>
        <v>0</v>
      </c>
      <c r="Y18" s="1579"/>
      <c r="Z18" s="1579"/>
      <c r="AA18" s="1579"/>
      <c r="AB18" s="1579"/>
      <c r="AC18" s="1579"/>
      <c r="AD18" s="1579"/>
      <c r="AE18" s="1579" t="str">
        <f>+IF(AND(W19=0,W18=0),"No","Yes")</f>
        <v>No</v>
      </c>
      <c r="AF18" s="1579"/>
      <c r="AG18" s="1579"/>
      <c r="AH18" s="1579"/>
      <c r="AI18" s="1579"/>
      <c r="AJ18" s="1579"/>
      <c r="AK18" s="1579"/>
      <c r="AL18" s="1579"/>
    </row>
    <row r="19" spans="3:38" s="3" customFormat="1" hidden="1" x14ac:dyDescent="0.25">
      <c r="C19" s="824"/>
      <c r="D19" s="1689" t="s">
        <v>1774</v>
      </c>
      <c r="E19" s="825"/>
      <c r="F19" s="826"/>
      <c r="G19" s="826"/>
      <c r="H19" s="826"/>
      <c r="I19" s="826"/>
      <c r="J19" s="826"/>
      <c r="K19" s="826"/>
      <c r="L19" s="826"/>
      <c r="M19" s="826"/>
      <c r="N19" s="827">
        <f>SUM(E19:F19,H19:M19)-G19</f>
        <v>0</v>
      </c>
      <c r="O19" s="825"/>
      <c r="P19" s="826"/>
      <c r="Q19" s="826"/>
      <c r="R19" s="826"/>
      <c r="S19" s="826"/>
      <c r="T19" s="826"/>
      <c r="U19" s="826"/>
      <c r="V19" s="826">
        <f>SUM(O19:P19,R19:U19)-Q19</f>
        <v>0</v>
      </c>
      <c r="W19" s="825">
        <f>N19-V19</f>
        <v>0</v>
      </c>
      <c r="X19" s="826"/>
      <c r="Y19" s="1579"/>
      <c r="Z19" s="1579"/>
      <c r="AA19" s="1579"/>
      <c r="AB19" s="1579"/>
      <c r="AC19" s="1579"/>
      <c r="AD19" s="1579"/>
      <c r="AE19" s="1579" t="str">
        <f>+AE18</f>
        <v>No</v>
      </c>
      <c r="AF19" s="1579"/>
      <c r="AG19" s="1579"/>
      <c r="AH19" s="1579"/>
      <c r="AI19" s="1579"/>
      <c r="AJ19" s="1579"/>
      <c r="AK19" s="1579"/>
      <c r="AL19" s="1579"/>
    </row>
    <row r="20" spans="3:38" s="3" customFormat="1" hidden="1" x14ac:dyDescent="0.25">
      <c r="C20" s="824"/>
      <c r="D20" s="1689"/>
      <c r="E20" s="825"/>
      <c r="F20" s="826"/>
      <c r="G20" s="826"/>
      <c r="H20" s="826"/>
      <c r="I20" s="826"/>
      <c r="J20" s="826"/>
      <c r="K20" s="826"/>
      <c r="L20" s="826"/>
      <c r="M20" s="826"/>
      <c r="N20" s="826"/>
      <c r="O20" s="825"/>
      <c r="P20" s="826"/>
      <c r="Q20" s="826"/>
      <c r="R20" s="826"/>
      <c r="S20" s="826"/>
      <c r="T20" s="826"/>
      <c r="U20" s="826"/>
      <c r="V20" s="826"/>
      <c r="W20" s="825"/>
      <c r="X20" s="826"/>
      <c r="Y20" s="1579"/>
      <c r="Z20" s="1579"/>
      <c r="AA20" s="1579"/>
      <c r="AB20" s="1579"/>
      <c r="AC20" s="1579"/>
      <c r="AD20" s="1579"/>
      <c r="AE20" s="1579" t="str">
        <f>+AE19</f>
        <v>No</v>
      </c>
      <c r="AF20" s="1579"/>
      <c r="AG20" s="1579"/>
      <c r="AH20" s="1579"/>
      <c r="AI20" s="1579"/>
      <c r="AJ20" s="1579"/>
      <c r="AK20" s="1579"/>
      <c r="AL20" s="1579"/>
    </row>
    <row r="21" spans="3:38" s="3" customFormat="1" hidden="1" x14ac:dyDescent="0.25">
      <c r="C21" s="824"/>
      <c r="D21" s="835" t="s">
        <v>1775</v>
      </c>
      <c r="E21" s="824">
        <f>-N22</f>
        <v>0</v>
      </c>
      <c r="F21" s="825"/>
      <c r="G21" s="825"/>
      <c r="H21" s="825"/>
      <c r="I21" s="825"/>
      <c r="J21" s="825"/>
      <c r="K21" s="825"/>
      <c r="L21" s="825"/>
      <c r="M21" s="825"/>
      <c r="N21" s="826">
        <f>SUM(E21:F21,H21:M21)-G21</f>
        <v>0</v>
      </c>
      <c r="O21" s="825"/>
      <c r="P21" s="826"/>
      <c r="Q21" s="826"/>
      <c r="R21" s="826"/>
      <c r="S21" s="826"/>
      <c r="T21" s="826"/>
      <c r="U21" s="826"/>
      <c r="V21" s="826">
        <f>SUM(O21:P21,R21:U21)-Q21</f>
        <v>0</v>
      </c>
      <c r="W21" s="825">
        <f>N21-V21</f>
        <v>0</v>
      </c>
      <c r="X21" s="826">
        <f>-W22</f>
        <v>0</v>
      </c>
      <c r="Y21" s="1579"/>
      <c r="Z21" s="1579"/>
      <c r="AA21" s="1579"/>
      <c r="AB21" s="1579"/>
      <c r="AC21" s="1579"/>
      <c r="AD21" s="1579"/>
      <c r="AE21" s="1579" t="str">
        <f>+IF(AND(W22=0,W21=0),"No","Yes")</f>
        <v>No</v>
      </c>
      <c r="AF21" s="1579"/>
      <c r="AG21" s="1579"/>
      <c r="AH21" s="1579"/>
      <c r="AI21" s="1579"/>
      <c r="AJ21" s="1579"/>
      <c r="AK21" s="1579"/>
      <c r="AL21" s="1579"/>
    </row>
    <row r="22" spans="3:38" s="3" customFormat="1" hidden="1" x14ac:dyDescent="0.25">
      <c r="C22" s="824"/>
      <c r="D22" s="1689" t="s">
        <v>1774</v>
      </c>
      <c r="E22" s="825"/>
      <c r="F22" s="826"/>
      <c r="G22" s="826"/>
      <c r="H22" s="826"/>
      <c r="I22" s="826"/>
      <c r="J22" s="826"/>
      <c r="K22" s="826"/>
      <c r="L22" s="826"/>
      <c r="M22" s="826"/>
      <c r="N22" s="827">
        <f>SUM(E22:F22,H22:M22)-G22</f>
        <v>0</v>
      </c>
      <c r="O22" s="825"/>
      <c r="P22" s="826"/>
      <c r="Q22" s="826"/>
      <c r="R22" s="826"/>
      <c r="S22" s="826"/>
      <c r="T22" s="826"/>
      <c r="U22" s="826"/>
      <c r="V22" s="826">
        <f>SUM(O22:P22,R22:U22)-Q22</f>
        <v>0</v>
      </c>
      <c r="W22" s="825">
        <f>N22-V22</f>
        <v>0</v>
      </c>
      <c r="X22" s="826"/>
      <c r="Y22" s="1579"/>
      <c r="Z22" s="1579"/>
      <c r="AA22" s="1579"/>
      <c r="AB22" s="1579"/>
      <c r="AC22" s="1579"/>
      <c r="AD22" s="1579"/>
      <c r="AE22" s="1579" t="str">
        <f>+AE21</f>
        <v>No</v>
      </c>
      <c r="AF22" s="1579"/>
      <c r="AG22" s="1579"/>
      <c r="AH22" s="1579"/>
      <c r="AI22" s="1579"/>
      <c r="AJ22" s="1579"/>
      <c r="AK22" s="1579"/>
      <c r="AL22" s="1579"/>
    </row>
    <row r="23" spans="3:38" s="3" customFormat="1" hidden="1" x14ac:dyDescent="0.25">
      <c r="C23" s="824"/>
      <c r="D23" s="1689"/>
      <c r="E23" s="825"/>
      <c r="F23" s="826"/>
      <c r="G23" s="826"/>
      <c r="H23" s="826"/>
      <c r="I23" s="826"/>
      <c r="J23" s="826"/>
      <c r="K23" s="826"/>
      <c r="L23" s="826"/>
      <c r="M23" s="826"/>
      <c r="N23" s="826"/>
      <c r="O23" s="825"/>
      <c r="P23" s="826"/>
      <c r="Q23" s="826"/>
      <c r="R23" s="826"/>
      <c r="S23" s="826"/>
      <c r="T23" s="826"/>
      <c r="U23" s="826"/>
      <c r="V23" s="826"/>
      <c r="W23" s="825"/>
      <c r="X23" s="826"/>
      <c r="Y23" s="1579"/>
      <c r="Z23" s="1579"/>
      <c r="AA23" s="1579"/>
      <c r="AB23" s="1579"/>
      <c r="AC23" s="1579"/>
      <c r="AD23" s="1579"/>
      <c r="AE23" s="1579" t="str">
        <f>+AE22</f>
        <v>No</v>
      </c>
      <c r="AF23" s="1579"/>
      <c r="AG23" s="1579"/>
      <c r="AH23" s="1579"/>
      <c r="AI23" s="1579"/>
      <c r="AJ23" s="1579"/>
      <c r="AK23" s="1579"/>
      <c r="AL23" s="1579"/>
    </row>
    <row r="24" spans="3:38" s="3" customFormat="1" x14ac:dyDescent="0.25">
      <c r="C24" s="824"/>
      <c r="D24" s="835" t="s">
        <v>3859</v>
      </c>
      <c r="E24" s="831">
        <v>0</v>
      </c>
      <c r="F24" s="1878">
        <v>0</v>
      </c>
      <c r="G24" s="1878">
        <v>0</v>
      </c>
      <c r="H24" s="825"/>
      <c r="I24" s="825"/>
      <c r="J24" s="825"/>
      <c r="K24" s="825"/>
      <c r="L24" s="825"/>
      <c r="M24" s="828">
        <v>0</v>
      </c>
      <c r="N24" s="826">
        <f>SUM(E24:F24,H24:M24)-G24</f>
        <v>0</v>
      </c>
      <c r="O24" s="1878">
        <v>0</v>
      </c>
      <c r="P24" s="1878">
        <f>+SUM('FAR Working'!M30)</f>
        <v>0</v>
      </c>
      <c r="Q24" s="1878">
        <v>0</v>
      </c>
      <c r="R24" s="826"/>
      <c r="S24" s="826"/>
      <c r="T24" s="826"/>
      <c r="U24" s="826"/>
      <c r="V24" s="826">
        <f>SUM(O24:P24,R24:U24)-Q24</f>
        <v>0</v>
      </c>
      <c r="W24" s="825">
        <f>N24-V24</f>
        <v>0</v>
      </c>
      <c r="X24" s="826">
        <f>-W25</f>
        <v>0</v>
      </c>
      <c r="Y24" s="1579"/>
      <c r="Z24" s="1579"/>
      <c r="AA24" s="1579"/>
      <c r="AB24" s="1579"/>
      <c r="AC24" s="1579"/>
      <c r="AD24" s="1579"/>
      <c r="AE24" s="1579" t="str">
        <f>+IF(AND(W25=0,W24=0),"No","Yes")</f>
        <v>No</v>
      </c>
      <c r="AF24" s="1579"/>
      <c r="AG24" s="1579"/>
      <c r="AH24" s="1579"/>
      <c r="AI24" s="1579"/>
      <c r="AJ24" s="1579"/>
      <c r="AK24" s="1579"/>
      <c r="AL24" s="1579"/>
    </row>
    <row r="25" spans="3:38" s="3" customFormat="1" x14ac:dyDescent="0.25">
      <c r="C25" s="824"/>
      <c r="D25" s="1689" t="s">
        <v>1774</v>
      </c>
      <c r="E25" s="2674">
        <f>(14500/100)*-1</f>
        <v>-145</v>
      </c>
      <c r="F25" s="1878">
        <v>0</v>
      </c>
      <c r="G25" s="1878">
        <f>14500/100*-1</f>
        <v>-145</v>
      </c>
      <c r="H25" s="826"/>
      <c r="I25" s="826"/>
      <c r="J25" s="826"/>
      <c r="K25" s="826"/>
      <c r="L25" s="826"/>
      <c r="M25" s="827">
        <v>0</v>
      </c>
      <c r="N25" s="827">
        <f>SUM(E25:F25,H25:M25)-G25</f>
        <v>0</v>
      </c>
      <c r="O25" s="1878">
        <f>13800/100*-1</f>
        <v>-138</v>
      </c>
      <c r="P25" s="1878">
        <v>0</v>
      </c>
      <c r="Q25" s="1878">
        <f>13800/100*-1</f>
        <v>-138</v>
      </c>
      <c r="R25" s="826"/>
      <c r="S25" s="826"/>
      <c r="T25" s="826"/>
      <c r="U25" s="826"/>
      <c r="V25" s="826">
        <f>SUM(O25:P25,R25:U25)-Q25</f>
        <v>0</v>
      </c>
      <c r="W25" s="825">
        <f>N25-V25</f>
        <v>0</v>
      </c>
      <c r="X25" s="826">
        <v>0</v>
      </c>
      <c r="Y25" s="1579"/>
      <c r="Z25" s="1579"/>
      <c r="AA25" s="1579"/>
      <c r="AB25" s="1579"/>
      <c r="AC25" s="1579"/>
      <c r="AD25" s="1579"/>
      <c r="AE25" s="1579" t="str">
        <f>+AE24</f>
        <v>No</v>
      </c>
      <c r="AF25" s="1579"/>
      <c r="AG25" s="1579"/>
      <c r="AH25" s="1579"/>
      <c r="AI25" s="1579"/>
      <c r="AJ25" s="1579"/>
      <c r="AK25" s="1579"/>
      <c r="AL25" s="1579"/>
    </row>
    <row r="26" spans="3:38" s="3" customFormat="1" x14ac:dyDescent="0.25">
      <c r="C26" s="824"/>
      <c r="D26" s="1577"/>
      <c r="E26" s="2675"/>
      <c r="F26" s="1878"/>
      <c r="G26" s="1878"/>
      <c r="H26" s="826"/>
      <c r="I26" s="826"/>
      <c r="J26" s="826"/>
      <c r="K26" s="826"/>
      <c r="L26" s="826"/>
      <c r="M26" s="827"/>
      <c r="N26" s="826"/>
      <c r="O26" s="2675"/>
      <c r="P26" s="1878"/>
      <c r="Q26" s="1878"/>
      <c r="R26" s="826"/>
      <c r="S26" s="826"/>
      <c r="T26" s="826"/>
      <c r="U26" s="826"/>
      <c r="V26" s="826"/>
      <c r="W26" s="825"/>
      <c r="X26" s="826"/>
      <c r="Y26" s="1579"/>
      <c r="Z26" s="1579"/>
      <c r="AA26" s="1579"/>
      <c r="AB26" s="1579"/>
      <c r="AC26" s="1579"/>
      <c r="AD26" s="1579"/>
      <c r="AE26" s="1579" t="str">
        <f>+AE25</f>
        <v>No</v>
      </c>
      <c r="AF26" s="1579"/>
      <c r="AG26" s="1579"/>
      <c r="AH26" s="1579"/>
      <c r="AI26" s="1579"/>
      <c r="AJ26" s="1579"/>
      <c r="AK26" s="1579"/>
      <c r="AL26" s="1579"/>
    </row>
    <row r="27" spans="3:38" s="3" customFormat="1" x14ac:dyDescent="0.25">
      <c r="C27" s="824"/>
      <c r="D27" s="835" t="s">
        <v>3860</v>
      </c>
      <c r="E27" s="2675">
        <f>7500/100</f>
        <v>75</v>
      </c>
      <c r="F27" s="1878">
        <v>0</v>
      </c>
      <c r="G27" s="1878">
        <v>0</v>
      </c>
      <c r="H27" s="828"/>
      <c r="I27" s="828"/>
      <c r="J27" s="828"/>
      <c r="K27" s="828"/>
      <c r="L27" s="828"/>
      <c r="M27" s="2675">
        <f>-108/100</f>
        <v>-1.08</v>
      </c>
      <c r="N27" s="827">
        <f>SUM(E27:F27,H27:M27)-G27</f>
        <v>73.92</v>
      </c>
      <c r="O27" s="1878">
        <f>5900/100</f>
        <v>59</v>
      </c>
      <c r="P27" s="1878">
        <f>+SUM('FAR Working'!M27)/100</f>
        <v>3.86</v>
      </c>
      <c r="Q27" s="1878">
        <v>0</v>
      </c>
      <c r="R27" s="827"/>
      <c r="S27" s="827"/>
      <c r="T27" s="827"/>
      <c r="U27" s="827"/>
      <c r="V27" s="827">
        <f>SUM(O27:P27,R27:U27)-Q27</f>
        <v>62.86</v>
      </c>
      <c r="W27" s="828">
        <f>N27-V27</f>
        <v>11.060000000000002</v>
      </c>
      <c r="X27" s="827">
        <f>+E27-O27</f>
        <v>16</v>
      </c>
      <c r="Y27" s="841" t="s">
        <v>3279</v>
      </c>
      <c r="Z27" s="1579">
        <f>P27*100</f>
        <v>386</v>
      </c>
      <c r="AA27" s="1579">
        <f>X27*100</f>
        <v>1600</v>
      </c>
      <c r="AB27" s="1664">
        <f>W27*100</f>
        <v>1106.0000000000002</v>
      </c>
      <c r="AC27" s="1579"/>
      <c r="AD27" s="1579"/>
      <c r="AE27" s="1579" t="str">
        <f>+IF(AND(W28=0,W27=0),"No","Yes")</f>
        <v>Yes</v>
      </c>
      <c r="AF27" s="1579"/>
      <c r="AG27" s="1579"/>
      <c r="AH27" s="1579"/>
      <c r="AI27" s="1579"/>
      <c r="AJ27" s="1579"/>
      <c r="AK27" s="1579"/>
      <c r="AL27" s="1579"/>
    </row>
    <row r="28" spans="3:38" s="3" customFormat="1" x14ac:dyDescent="0.25">
      <c r="C28" s="824"/>
      <c r="D28" s="1689" t="s">
        <v>1774</v>
      </c>
      <c r="E28" s="1878">
        <f>(7500/100)*-1</f>
        <v>-75</v>
      </c>
      <c r="F28" s="1878">
        <v>0</v>
      </c>
      <c r="G28" s="1878">
        <f t="shared" ref="G28" si="0">0/Rounding_factor</f>
        <v>0</v>
      </c>
      <c r="H28" s="826">
        <f t="shared" ref="H28:L28" si="1">0/Rounding_factor</f>
        <v>0</v>
      </c>
      <c r="I28" s="826">
        <f t="shared" si="1"/>
        <v>0</v>
      </c>
      <c r="J28" s="826">
        <f t="shared" si="1"/>
        <v>0</v>
      </c>
      <c r="K28" s="826">
        <f t="shared" si="1"/>
        <v>0</v>
      </c>
      <c r="L28" s="826">
        <f t="shared" si="1"/>
        <v>0</v>
      </c>
      <c r="M28" s="827">
        <v>0</v>
      </c>
      <c r="N28" s="827">
        <f>SUM(E28:F28,H28:M28)-G28</f>
        <v>-75</v>
      </c>
      <c r="O28" s="1878">
        <f>(5400/100)*-1</f>
        <v>-54</v>
      </c>
      <c r="P28" s="1878">
        <f>(500/100)*-1</f>
        <v>-5</v>
      </c>
      <c r="Q28" s="1878">
        <v>0</v>
      </c>
      <c r="R28" s="826">
        <f>0/Rounding_factor</f>
        <v>0</v>
      </c>
      <c r="S28" s="826">
        <f>0/Rounding_factor</f>
        <v>0</v>
      </c>
      <c r="T28" s="826">
        <f>0/Rounding_factor</f>
        <v>0</v>
      </c>
      <c r="U28" s="826">
        <f>0/Rounding_factor</f>
        <v>0</v>
      </c>
      <c r="V28" s="826">
        <f>SUM(O28:P28,R28:U28)-Q28</f>
        <v>-59</v>
      </c>
      <c r="W28" s="825">
        <f>N28-V28</f>
        <v>-16</v>
      </c>
      <c r="X28" s="827">
        <f>+E28-O28</f>
        <v>-21</v>
      </c>
      <c r="Y28" s="1579"/>
      <c r="Z28" s="1579"/>
      <c r="AA28" s="1579"/>
      <c r="AB28" s="1579"/>
      <c r="AC28" s="1579">
        <f>AA27-Z27</f>
        <v>1214</v>
      </c>
      <c r="AD28" s="1579"/>
      <c r="AE28" s="1579" t="str">
        <f>+AE27</f>
        <v>Yes</v>
      </c>
      <c r="AF28" s="1579"/>
      <c r="AG28" s="1579"/>
      <c r="AH28" s="1579"/>
      <c r="AI28" s="1579"/>
      <c r="AJ28" s="1579"/>
      <c r="AK28" s="1579"/>
      <c r="AL28" s="1579"/>
    </row>
    <row r="29" spans="3:38" s="3" customFormat="1" hidden="1" x14ac:dyDescent="0.25">
      <c r="C29" s="824"/>
      <c r="D29" s="1577"/>
      <c r="E29" s="2675"/>
      <c r="F29" s="1878"/>
      <c r="G29" s="1878"/>
      <c r="H29" s="827"/>
      <c r="I29" s="827"/>
      <c r="J29" s="827"/>
      <c r="K29" s="827"/>
      <c r="L29" s="827"/>
      <c r="M29" s="827"/>
      <c r="N29" s="827"/>
      <c r="O29" s="1878"/>
      <c r="P29" s="1878"/>
      <c r="Q29" s="1878"/>
      <c r="R29" s="827"/>
      <c r="S29" s="827"/>
      <c r="T29" s="827"/>
      <c r="U29" s="827"/>
      <c r="V29" s="827"/>
      <c r="W29" s="828"/>
      <c r="X29" s="827"/>
      <c r="Y29" s="1579"/>
      <c r="Z29" s="1579"/>
      <c r="AA29" s="1579"/>
      <c r="AB29" s="1579"/>
      <c r="AC29" s="1579"/>
      <c r="AD29" s="1579"/>
      <c r="AE29" s="1579" t="str">
        <f>+AE28</f>
        <v>Yes</v>
      </c>
      <c r="AF29" s="1579"/>
      <c r="AG29" s="1579"/>
      <c r="AH29" s="1579"/>
      <c r="AI29" s="1579"/>
      <c r="AJ29" s="1579"/>
      <c r="AK29" s="1579"/>
      <c r="AL29" s="1579"/>
    </row>
    <row r="30" spans="3:38" s="3" customFormat="1" hidden="1" x14ac:dyDescent="0.25">
      <c r="C30" s="824"/>
      <c r="D30" s="835" t="s">
        <v>1776</v>
      </c>
      <c r="E30" s="2675"/>
      <c r="F30" s="1878"/>
      <c r="G30" s="1878"/>
      <c r="H30" s="828"/>
      <c r="I30" s="828"/>
      <c r="J30" s="828"/>
      <c r="K30" s="828"/>
      <c r="L30" s="828"/>
      <c r="M30" s="828"/>
      <c r="N30" s="827">
        <f>SUM(E30:F30,H30:M30)-G30</f>
        <v>0</v>
      </c>
      <c r="O30" s="1878"/>
      <c r="P30" s="1878"/>
      <c r="Q30" s="1878"/>
      <c r="R30" s="827"/>
      <c r="S30" s="827"/>
      <c r="T30" s="827"/>
      <c r="U30" s="827"/>
      <c r="V30" s="827">
        <f>SUM(O30:P30,R30:U30)-Q30</f>
        <v>0</v>
      </c>
      <c r="W30" s="828">
        <f>N30-V30</f>
        <v>0</v>
      </c>
      <c r="X30" s="827">
        <f>+E30-O30</f>
        <v>0</v>
      </c>
      <c r="Y30" s="1579"/>
      <c r="Z30" s="1579"/>
      <c r="AA30" s="1579"/>
      <c r="AB30" s="1579"/>
      <c r="AC30" s="1579"/>
      <c r="AD30" s="1579"/>
      <c r="AE30" s="1579" t="str">
        <f>+IF(AND(W31=0,W30=0),"No","Yes")</f>
        <v>No</v>
      </c>
      <c r="AF30" s="1579"/>
      <c r="AG30" s="1579"/>
      <c r="AH30" s="1579"/>
      <c r="AI30" s="1579"/>
      <c r="AJ30" s="1579"/>
      <c r="AK30" s="1579"/>
      <c r="AL30" s="1579"/>
    </row>
    <row r="31" spans="3:38" s="3" customFormat="1" hidden="1" x14ac:dyDescent="0.25">
      <c r="C31" s="824"/>
      <c r="D31" s="1689" t="s">
        <v>1774</v>
      </c>
      <c r="E31" s="2675"/>
      <c r="F31" s="1878"/>
      <c r="G31" s="1878"/>
      <c r="H31" s="827"/>
      <c r="I31" s="827"/>
      <c r="J31" s="827"/>
      <c r="K31" s="827"/>
      <c r="L31" s="827"/>
      <c r="M31" s="827"/>
      <c r="N31" s="827">
        <f>SUM(E31:F31,H31:M31)-G31</f>
        <v>0</v>
      </c>
      <c r="O31" s="1878"/>
      <c r="P31" s="1878"/>
      <c r="Q31" s="1878"/>
      <c r="R31" s="827"/>
      <c r="S31" s="827"/>
      <c r="T31" s="827"/>
      <c r="U31" s="827"/>
      <c r="V31" s="827"/>
      <c r="W31" s="828">
        <f>N31-V31</f>
        <v>0</v>
      </c>
      <c r="X31" s="827">
        <f>+E31-O31</f>
        <v>0</v>
      </c>
      <c r="Y31" s="1579"/>
      <c r="Z31" s="1579"/>
      <c r="AA31" s="1579"/>
      <c r="AB31" s="1579"/>
      <c r="AC31" s="1579"/>
      <c r="AD31" s="1579"/>
      <c r="AE31" s="1579" t="str">
        <f>+AE30</f>
        <v>No</v>
      </c>
      <c r="AF31" s="1579"/>
      <c r="AG31" s="1579"/>
      <c r="AH31" s="1579"/>
      <c r="AI31" s="1579"/>
      <c r="AJ31" s="1579"/>
      <c r="AK31" s="1579"/>
      <c r="AL31" s="1579"/>
    </row>
    <row r="32" spans="3:38" s="3" customFormat="1" x14ac:dyDescent="0.25">
      <c r="C32" s="824"/>
      <c r="D32" s="1577"/>
      <c r="E32" s="2675"/>
      <c r="F32" s="1878"/>
      <c r="G32" s="1878"/>
      <c r="H32" s="827"/>
      <c r="I32" s="827"/>
      <c r="J32" s="827"/>
      <c r="K32" s="827"/>
      <c r="L32" s="827"/>
      <c r="M32" s="827"/>
      <c r="N32" s="827"/>
      <c r="O32" s="1878"/>
      <c r="P32" s="1878"/>
      <c r="Q32" s="1878"/>
      <c r="R32" s="827"/>
      <c r="S32" s="827"/>
      <c r="T32" s="827"/>
      <c r="U32" s="827"/>
      <c r="V32" s="827"/>
      <c r="W32" s="828"/>
      <c r="X32" s="827"/>
      <c r="Y32" s="1579"/>
      <c r="Z32" s="1579"/>
      <c r="AA32" s="1579"/>
      <c r="AB32" s="1579"/>
      <c r="AC32" s="1579">
        <f>AC28-AB27</f>
        <v>107.99999999999977</v>
      </c>
      <c r="AD32" s="1579"/>
      <c r="AE32" s="1579" t="str">
        <f>+AE31</f>
        <v>No</v>
      </c>
      <c r="AF32" s="1579"/>
      <c r="AG32" s="1579"/>
      <c r="AH32" s="1579"/>
      <c r="AI32" s="1579"/>
      <c r="AJ32" s="1579"/>
      <c r="AK32" s="1579"/>
      <c r="AL32" s="1579"/>
    </row>
    <row r="33" spans="3:38" s="3" customFormat="1" x14ac:dyDescent="0.25">
      <c r="C33" s="824"/>
      <c r="D33" s="835" t="s">
        <v>3861</v>
      </c>
      <c r="E33" s="2675">
        <f>112200/100</f>
        <v>1122</v>
      </c>
      <c r="F33" s="1878">
        <f>+SUM('FAR Working'!L33:L42)/100</f>
        <v>492.48099999999999</v>
      </c>
      <c r="G33" s="1878">
        <v>0</v>
      </c>
      <c r="H33" s="828"/>
      <c r="I33" s="828"/>
      <c r="J33" s="828"/>
      <c r="K33" s="828"/>
      <c r="L33" s="828"/>
      <c r="M33" s="2675">
        <f>-78/100</f>
        <v>-0.78</v>
      </c>
      <c r="N33" s="827">
        <f>SUM(E33:F33,H33:M33)-G33</f>
        <v>1613.701</v>
      </c>
      <c r="O33" s="1878">
        <f>100900/100</f>
        <v>1009</v>
      </c>
      <c r="P33" s="1878">
        <f>+SUM('FAR Working'!M33:M42)/100</f>
        <v>36.78</v>
      </c>
      <c r="Q33" s="1878">
        <v>0</v>
      </c>
      <c r="R33" s="827"/>
      <c r="S33" s="827"/>
      <c r="T33" s="827"/>
      <c r="U33" s="827"/>
      <c r="V33" s="827">
        <f>SUM(O33:P33,R33:U33)-Q33</f>
        <v>1045.78</v>
      </c>
      <c r="W33" s="828">
        <f>N33-V33</f>
        <v>567.92100000000005</v>
      </c>
      <c r="X33" s="827">
        <f>+E33-O33</f>
        <v>113</v>
      </c>
      <c r="Y33" s="841" t="s">
        <v>3280</v>
      </c>
      <c r="Z33" s="1579"/>
      <c r="AA33" s="1579"/>
      <c r="AB33" s="1579"/>
      <c r="AC33" s="1579"/>
      <c r="AD33" s="1579"/>
      <c r="AE33" s="1579" t="str">
        <f>+IF(AND(W34=0,W33=0),"No","Yes")</f>
        <v>Yes</v>
      </c>
      <c r="AF33" s="1579"/>
      <c r="AG33" s="1579"/>
      <c r="AH33" s="1579"/>
      <c r="AI33" s="1579"/>
      <c r="AJ33" s="1579"/>
      <c r="AK33" s="1579"/>
      <c r="AL33" s="1579"/>
    </row>
    <row r="34" spans="3:38" s="3" customFormat="1" x14ac:dyDescent="0.25">
      <c r="C34" s="824"/>
      <c r="D34" s="1689" t="s">
        <v>1774</v>
      </c>
      <c r="E34" s="1878">
        <f>(112200/100)*-1</f>
        <v>-1122</v>
      </c>
      <c r="F34" s="1878">
        <v>0</v>
      </c>
      <c r="G34" s="1878">
        <v>0</v>
      </c>
      <c r="H34" s="828"/>
      <c r="I34" s="828"/>
      <c r="J34" s="828"/>
      <c r="K34" s="828"/>
      <c r="L34" s="828"/>
      <c r="M34" s="828">
        <v>0</v>
      </c>
      <c r="N34" s="827">
        <f>(SUM(E34:F34,H34:M34)-G34)</f>
        <v>-1122</v>
      </c>
      <c r="O34" s="1878">
        <f>(92400/100)*-1</f>
        <v>-924</v>
      </c>
      <c r="P34" s="1878">
        <f>(8500/100)*-1</f>
        <v>-85</v>
      </c>
      <c r="Q34" s="1878">
        <v>0</v>
      </c>
      <c r="R34" s="827"/>
      <c r="S34" s="827"/>
      <c r="T34" s="827"/>
      <c r="U34" s="827"/>
      <c r="V34" s="827">
        <f>(SUM(O34:P34,R34:U34)-Q34)</f>
        <v>-1009</v>
      </c>
      <c r="W34" s="828">
        <f>(N34-V34)</f>
        <v>-113</v>
      </c>
      <c r="X34" s="827">
        <f>+(E34-O34)</f>
        <v>-198</v>
      </c>
      <c r="Y34" s="1579"/>
      <c r="Z34" s="1579"/>
      <c r="AA34" s="1579"/>
      <c r="AB34" s="1579" t="s">
        <v>3918</v>
      </c>
      <c r="AC34" s="1579">
        <f>+X27*100</f>
        <v>1600</v>
      </c>
      <c r="AD34" s="1579"/>
      <c r="AE34" s="1579" t="str">
        <f>+AE33</f>
        <v>Yes</v>
      </c>
      <c r="AF34" s="1579"/>
      <c r="AG34" s="1579"/>
      <c r="AH34" s="1579"/>
      <c r="AI34" s="1579"/>
      <c r="AJ34" s="1579"/>
      <c r="AK34" s="1579"/>
      <c r="AL34" s="1579"/>
    </row>
    <row r="35" spans="3:38" s="3" customFormat="1" hidden="1" x14ac:dyDescent="0.25">
      <c r="C35" s="824"/>
      <c r="D35" s="1577"/>
      <c r="E35" s="2675"/>
      <c r="F35" s="1878"/>
      <c r="G35" s="1878"/>
      <c r="H35" s="827"/>
      <c r="I35" s="827"/>
      <c r="J35" s="827"/>
      <c r="K35" s="827"/>
      <c r="L35" s="827"/>
      <c r="M35" s="827"/>
      <c r="N35" s="827"/>
      <c r="O35" s="1878"/>
      <c r="P35" s="1878"/>
      <c r="Q35" s="1878"/>
      <c r="R35" s="827"/>
      <c r="S35" s="827"/>
      <c r="T35" s="827"/>
      <c r="U35" s="827"/>
      <c r="V35" s="827"/>
      <c r="W35" s="828"/>
      <c r="X35" s="827"/>
      <c r="Y35" s="1579"/>
      <c r="Z35" s="1579"/>
      <c r="AA35" s="1579"/>
      <c r="AB35" s="1579"/>
      <c r="AC35" s="1579"/>
      <c r="AD35" s="1579"/>
      <c r="AE35" s="1579" t="str">
        <f>+AE34</f>
        <v>Yes</v>
      </c>
      <c r="AF35" s="1579"/>
      <c r="AG35" s="1579"/>
      <c r="AH35" s="1579"/>
      <c r="AI35" s="1579"/>
      <c r="AJ35" s="1579"/>
      <c r="AK35" s="1579"/>
      <c r="AL35" s="1579"/>
    </row>
    <row r="36" spans="3:38" s="3" customFormat="1" hidden="1" x14ac:dyDescent="0.25">
      <c r="C36" s="824"/>
      <c r="D36" s="835" t="s">
        <v>1777</v>
      </c>
      <c r="E36" s="2675"/>
      <c r="F36" s="1878"/>
      <c r="G36" s="1878"/>
      <c r="H36" s="828"/>
      <c r="I36" s="828"/>
      <c r="J36" s="828"/>
      <c r="K36" s="828"/>
      <c r="L36" s="828"/>
      <c r="M36" s="828"/>
      <c r="N36" s="827">
        <f>SUM(E36:F36,H36:M36)-G36</f>
        <v>0</v>
      </c>
      <c r="O36" s="1878"/>
      <c r="P36" s="1878"/>
      <c r="Q36" s="1878"/>
      <c r="R36" s="827"/>
      <c r="S36" s="827"/>
      <c r="T36" s="827"/>
      <c r="U36" s="827"/>
      <c r="V36" s="827">
        <f>SUM(O36:P36,R36:U36)-Q36</f>
        <v>0</v>
      </c>
      <c r="W36" s="828">
        <f>N36-V36</f>
        <v>0</v>
      </c>
      <c r="X36" s="827">
        <f>+E36-O36</f>
        <v>0</v>
      </c>
      <c r="Y36" s="1579"/>
      <c r="Z36" s="1579"/>
      <c r="AA36" s="1579"/>
      <c r="AB36" s="1579"/>
      <c r="AC36" s="1579"/>
      <c r="AD36" s="1579"/>
      <c r="AE36" s="1579" t="str">
        <f>+IF(AND(W37=0,W36=0),"No","Yes")</f>
        <v>No</v>
      </c>
      <c r="AF36" s="1579"/>
      <c r="AG36" s="1579"/>
      <c r="AH36" s="1579"/>
      <c r="AI36" s="1579"/>
      <c r="AJ36" s="1579"/>
      <c r="AK36" s="1579"/>
      <c r="AL36" s="1579"/>
    </row>
    <row r="37" spans="3:38" s="3" customFormat="1" hidden="1" x14ac:dyDescent="0.25">
      <c r="C37" s="824"/>
      <c r="D37" s="1689" t="s">
        <v>1774</v>
      </c>
      <c r="E37" s="2675"/>
      <c r="F37" s="1878"/>
      <c r="G37" s="1878"/>
      <c r="H37" s="827"/>
      <c r="I37" s="827"/>
      <c r="J37" s="827"/>
      <c r="K37" s="827"/>
      <c r="L37" s="827"/>
      <c r="M37" s="827"/>
      <c r="N37" s="827">
        <f>SUM(E37:F37,H37:M37)-G37</f>
        <v>0</v>
      </c>
      <c r="O37" s="1878"/>
      <c r="P37" s="1878"/>
      <c r="Q37" s="1878"/>
      <c r="R37" s="827"/>
      <c r="S37" s="827"/>
      <c r="T37" s="827"/>
      <c r="U37" s="827"/>
      <c r="V37" s="827"/>
      <c r="W37" s="828">
        <f>N37-V37</f>
        <v>0</v>
      </c>
      <c r="X37" s="827">
        <f>+E37-O37</f>
        <v>0</v>
      </c>
      <c r="Y37" s="1579"/>
      <c r="Z37" s="1579"/>
      <c r="AA37" s="1579"/>
      <c r="AB37" s="1579"/>
      <c r="AC37" s="1579"/>
      <c r="AD37" s="1579"/>
      <c r="AE37" s="1579" t="str">
        <f>+AE36</f>
        <v>No</v>
      </c>
      <c r="AF37" s="1579"/>
      <c r="AG37" s="1579"/>
      <c r="AH37" s="1579"/>
      <c r="AI37" s="1579"/>
      <c r="AJ37" s="1579"/>
      <c r="AK37" s="1579"/>
      <c r="AL37" s="1579"/>
    </row>
    <row r="38" spans="3:38" s="3" customFormat="1" x14ac:dyDescent="0.25">
      <c r="C38" s="824"/>
      <c r="D38" s="1577"/>
      <c r="E38" s="2675"/>
      <c r="F38" s="1878"/>
      <c r="G38" s="1878"/>
      <c r="H38" s="827"/>
      <c r="I38" s="827"/>
      <c r="J38" s="827"/>
      <c r="K38" s="827"/>
      <c r="L38" s="827"/>
      <c r="M38" s="827"/>
      <c r="N38" s="827"/>
      <c r="O38" s="1878"/>
      <c r="P38" s="1878"/>
      <c r="Q38" s="1878"/>
      <c r="R38" s="827"/>
      <c r="S38" s="827"/>
      <c r="T38" s="827"/>
      <c r="U38" s="827"/>
      <c r="V38" s="827"/>
      <c r="W38" s="828"/>
      <c r="X38" s="827"/>
      <c r="Y38" s="1579"/>
      <c r="Z38" s="1579"/>
      <c r="AA38" s="1579"/>
      <c r="AB38" s="1579" t="s">
        <v>3919</v>
      </c>
      <c r="AC38" s="1579"/>
      <c r="AD38" s="1579"/>
      <c r="AE38" s="1579" t="str">
        <f>+AE37</f>
        <v>No</v>
      </c>
      <c r="AF38" s="1579"/>
      <c r="AG38" s="1579"/>
      <c r="AH38" s="1579"/>
      <c r="AI38" s="1579"/>
      <c r="AJ38" s="1579"/>
      <c r="AK38" s="1579"/>
      <c r="AL38" s="1579"/>
    </row>
    <row r="39" spans="3:38" s="3" customFormat="1" x14ac:dyDescent="0.25">
      <c r="C39" s="824"/>
      <c r="D39" s="835" t="s">
        <v>3862</v>
      </c>
      <c r="E39" s="2675">
        <f>1000300/100</f>
        <v>10003</v>
      </c>
      <c r="F39" s="1878">
        <f>+SUM('FAR Working'!L8:L25)/100</f>
        <v>2100</v>
      </c>
      <c r="G39" s="1878">
        <v>0</v>
      </c>
      <c r="H39" s="828"/>
      <c r="I39" s="828"/>
      <c r="J39" s="828"/>
      <c r="K39" s="828"/>
      <c r="L39" s="828"/>
      <c r="M39" s="2675">
        <f>303/100</f>
        <v>3.03</v>
      </c>
      <c r="N39" s="827">
        <f>SUM(E39:F39,H39:M39)-G39</f>
        <v>12106.03</v>
      </c>
      <c r="O39" s="1878">
        <f>943100/100</f>
        <v>9431</v>
      </c>
      <c r="P39" s="1878">
        <f>+SUM('FAR Working'!M8:M25)/100</f>
        <v>850.19</v>
      </c>
      <c r="Q39" s="1878">
        <v>0</v>
      </c>
      <c r="R39" s="827"/>
      <c r="S39" s="827"/>
      <c r="T39" s="827"/>
      <c r="U39" s="827"/>
      <c r="V39" s="827">
        <f>SUM(O39:P39,R39:U39)-Q39</f>
        <v>10281.19</v>
      </c>
      <c r="W39" s="828">
        <f>N39-V39</f>
        <v>1824.8400000000001</v>
      </c>
      <c r="X39" s="827">
        <f>+E39-O39</f>
        <v>572</v>
      </c>
      <c r="Y39" s="841" t="s">
        <v>3281</v>
      </c>
      <c r="Z39" s="1579"/>
      <c r="AA39" s="1579"/>
      <c r="AB39" s="1579" t="s">
        <v>3920</v>
      </c>
      <c r="AC39" s="1579"/>
      <c r="AD39" s="1579"/>
      <c r="AE39" s="1579" t="str">
        <f>+IF(AND(W40=0,W39=0),"No","Yes")</f>
        <v>Yes</v>
      </c>
      <c r="AF39" s="1579"/>
      <c r="AG39" s="1579"/>
      <c r="AH39" s="1579"/>
      <c r="AI39" s="1579"/>
      <c r="AJ39" s="1579"/>
      <c r="AK39" s="1579"/>
      <c r="AL39" s="1579"/>
    </row>
    <row r="40" spans="3:38" s="3" customFormat="1" x14ac:dyDescent="0.25">
      <c r="C40" s="824"/>
      <c r="D40" s="1689" t="s">
        <v>1774</v>
      </c>
      <c r="E40" s="1878">
        <f>(1231900/100)*-1</f>
        <v>-12319</v>
      </c>
      <c r="F40" s="1878">
        <v>0</v>
      </c>
      <c r="G40" s="1878">
        <f>(231600/100)*-1</f>
        <v>-2316</v>
      </c>
      <c r="H40" s="828"/>
      <c r="I40" s="828"/>
      <c r="J40" s="828"/>
      <c r="K40" s="828"/>
      <c r="L40" s="828"/>
      <c r="M40" s="828">
        <v>0</v>
      </c>
      <c r="N40" s="827">
        <f>SUM(E40:F40,H40:M40)-G40</f>
        <v>-10003</v>
      </c>
      <c r="O40" s="1878">
        <f>(1125100/100)*-1</f>
        <v>-11251</v>
      </c>
      <c r="P40" s="1878">
        <f>(37700/100)*-1</f>
        <v>-377</v>
      </c>
      <c r="Q40" s="1878">
        <f>(219700/100)*-1</f>
        <v>-2197</v>
      </c>
      <c r="R40" s="827"/>
      <c r="S40" s="827"/>
      <c r="T40" s="827"/>
      <c r="U40" s="827"/>
      <c r="V40" s="827">
        <f>SUM(O40:P40,R40:U40)-Q40</f>
        <v>-9431</v>
      </c>
      <c r="W40" s="828">
        <f>N40-V40</f>
        <v>-572</v>
      </c>
      <c r="X40" s="827">
        <f>+E40-O40</f>
        <v>-1068</v>
      </c>
      <c r="Y40" s="1579"/>
      <c r="Z40" s="829"/>
      <c r="AA40" s="1579"/>
      <c r="AB40" s="1579" t="s">
        <v>3921</v>
      </c>
      <c r="AC40" s="1579">
        <f>+P27*100</f>
        <v>386</v>
      </c>
      <c r="AD40" s="1579"/>
      <c r="AE40" s="1579" t="str">
        <f>+AE39</f>
        <v>Yes</v>
      </c>
      <c r="AF40" s="1579"/>
      <c r="AG40" s="1579"/>
      <c r="AH40" s="1579"/>
      <c r="AI40" s="1579"/>
      <c r="AJ40" s="1579"/>
      <c r="AK40" s="1579"/>
      <c r="AL40" s="1579"/>
    </row>
    <row r="41" spans="3:38" s="3" customFormat="1" x14ac:dyDescent="0.25">
      <c r="C41" s="824"/>
      <c r="D41" s="1689"/>
      <c r="E41" s="828"/>
      <c r="F41" s="827"/>
      <c r="G41" s="827"/>
      <c r="H41" s="827"/>
      <c r="I41" s="827"/>
      <c r="J41" s="827"/>
      <c r="K41" s="827"/>
      <c r="L41" s="827"/>
      <c r="M41" s="827"/>
      <c r="N41" s="827"/>
      <c r="O41" s="828"/>
      <c r="P41" s="827"/>
      <c r="Q41" s="827"/>
      <c r="R41" s="827"/>
      <c r="S41" s="827"/>
      <c r="T41" s="827"/>
      <c r="U41" s="827"/>
      <c r="V41" s="827"/>
      <c r="W41" s="828"/>
      <c r="X41" s="827"/>
      <c r="Y41" s="1579"/>
      <c r="Z41" s="829"/>
      <c r="AA41" s="1579"/>
      <c r="AB41" s="1579"/>
      <c r="AC41" s="1579">
        <f>+AC34+AC38-AC39-AC40</f>
        <v>1214</v>
      </c>
      <c r="AD41" s="1579"/>
      <c r="AE41" s="1579" t="str">
        <f>+AE40</f>
        <v>Yes</v>
      </c>
      <c r="AF41" s="1579"/>
      <c r="AG41" s="1579"/>
      <c r="AH41" s="1579"/>
      <c r="AI41" s="1579"/>
      <c r="AJ41" s="1579"/>
      <c r="AK41" s="1579"/>
      <c r="AL41" s="1579"/>
    </row>
    <row r="42" spans="3:38" s="3" customFormat="1" hidden="1" x14ac:dyDescent="0.25">
      <c r="C42" s="824"/>
      <c r="D42" s="835" t="s">
        <v>1778</v>
      </c>
      <c r="E42" s="824">
        <f>-N43</f>
        <v>0</v>
      </c>
      <c r="F42" s="828"/>
      <c r="G42" s="828"/>
      <c r="H42" s="828"/>
      <c r="I42" s="828"/>
      <c r="J42" s="828"/>
      <c r="K42" s="828"/>
      <c r="L42" s="828"/>
      <c r="M42" s="828"/>
      <c r="N42" s="827">
        <f>SUM(E42:F42,H42:M42)-G42</f>
        <v>0</v>
      </c>
      <c r="O42" s="828">
        <f>-V43</f>
        <v>0</v>
      </c>
      <c r="P42" s="827"/>
      <c r="Q42" s="827"/>
      <c r="R42" s="827"/>
      <c r="S42" s="827"/>
      <c r="T42" s="827"/>
      <c r="U42" s="827"/>
      <c r="V42" s="827">
        <f>SUM(O42:P42,R42:U42)-Q42</f>
        <v>0</v>
      </c>
      <c r="W42" s="828">
        <f>N42-V42</f>
        <v>0</v>
      </c>
      <c r="X42" s="827">
        <f>+E42-O42</f>
        <v>0</v>
      </c>
      <c r="Y42" s="1579"/>
      <c r="Z42" s="1579"/>
      <c r="AA42" s="1579"/>
      <c r="AB42" s="1579"/>
      <c r="AC42" s="1579"/>
      <c r="AD42" s="1579"/>
      <c r="AE42" s="1579" t="str">
        <f>+IF(AND(W43=0,W42=0),"No","Yes")</f>
        <v>No</v>
      </c>
      <c r="AF42" s="1579"/>
      <c r="AG42" s="1579"/>
      <c r="AH42" s="1579"/>
      <c r="AI42" s="1579"/>
      <c r="AJ42" s="1579"/>
      <c r="AK42" s="1579"/>
      <c r="AL42" s="1579"/>
    </row>
    <row r="43" spans="3:38" s="3" customFormat="1" hidden="1" x14ac:dyDescent="0.25">
      <c r="C43" s="824"/>
      <c r="D43" s="1689" t="s">
        <v>1774</v>
      </c>
      <c r="E43" s="828"/>
      <c r="F43" s="828"/>
      <c r="G43" s="828"/>
      <c r="H43" s="828"/>
      <c r="I43" s="828"/>
      <c r="J43" s="828"/>
      <c r="K43" s="828"/>
      <c r="L43" s="828"/>
      <c r="M43" s="828"/>
      <c r="N43" s="827">
        <f>SUM(E43:F43,H43:M43)-G43</f>
        <v>0</v>
      </c>
      <c r="O43" s="828"/>
      <c r="P43" s="827"/>
      <c r="Q43" s="827"/>
      <c r="R43" s="827"/>
      <c r="S43" s="827"/>
      <c r="T43" s="827"/>
      <c r="U43" s="827"/>
      <c r="V43" s="827">
        <f>SUM(O43:P43,R43:U43)-Q43</f>
        <v>0</v>
      </c>
      <c r="W43" s="828">
        <f>N43-V43</f>
        <v>0</v>
      </c>
      <c r="X43" s="828">
        <f>+E43-O43</f>
        <v>0</v>
      </c>
      <c r="Y43" s="1579"/>
      <c r="Z43" s="1579"/>
      <c r="AA43" s="1579"/>
      <c r="AB43" s="1579"/>
      <c r="AC43" s="1579"/>
      <c r="AD43" s="1579"/>
      <c r="AE43" s="1579" t="str">
        <f>+AE42</f>
        <v>No</v>
      </c>
      <c r="AF43" s="1579"/>
      <c r="AG43" s="1579"/>
      <c r="AH43" s="1579"/>
      <c r="AI43" s="1579"/>
      <c r="AJ43" s="1579"/>
      <c r="AK43" s="1579"/>
      <c r="AL43" s="1579"/>
    </row>
    <row r="44" spans="3:38" s="3" customFormat="1" hidden="1" x14ac:dyDescent="0.25">
      <c r="C44" s="824"/>
      <c r="D44" s="1689"/>
      <c r="E44" s="825"/>
      <c r="F44" s="826"/>
      <c r="G44" s="826"/>
      <c r="H44" s="826"/>
      <c r="I44" s="826"/>
      <c r="J44" s="826"/>
      <c r="K44" s="826"/>
      <c r="L44" s="826"/>
      <c r="M44" s="826"/>
      <c r="N44" s="826"/>
      <c r="O44" s="825"/>
      <c r="P44" s="826"/>
      <c r="Q44" s="826"/>
      <c r="R44" s="826"/>
      <c r="S44" s="826"/>
      <c r="T44" s="826"/>
      <c r="U44" s="826"/>
      <c r="V44" s="826"/>
      <c r="W44" s="825"/>
      <c r="X44" s="826"/>
      <c r="Y44" s="1579"/>
      <c r="Z44" s="1579"/>
      <c r="AA44" s="1579"/>
      <c r="AB44" s="1579"/>
      <c r="AC44" s="1579"/>
      <c r="AD44" s="1579"/>
      <c r="AE44" s="1579" t="str">
        <f>+AE43</f>
        <v>No</v>
      </c>
      <c r="AF44" s="1579"/>
      <c r="AG44" s="1579"/>
      <c r="AH44" s="1579"/>
      <c r="AI44" s="1579"/>
      <c r="AJ44" s="1579"/>
      <c r="AK44" s="1579"/>
      <c r="AL44" s="1579"/>
    </row>
    <row r="45" spans="3:38" s="3" customFormat="1" x14ac:dyDescent="0.25">
      <c r="C45" s="824"/>
      <c r="D45" s="1577"/>
      <c r="E45" s="825"/>
      <c r="F45" s="826"/>
      <c r="G45" s="826"/>
      <c r="H45" s="826"/>
      <c r="I45" s="826"/>
      <c r="J45" s="826"/>
      <c r="K45" s="826"/>
      <c r="L45" s="826"/>
      <c r="M45" s="826"/>
      <c r="N45" s="826"/>
      <c r="O45" s="825"/>
      <c r="P45" s="826"/>
      <c r="Q45" s="826"/>
      <c r="R45" s="826"/>
      <c r="S45" s="826"/>
      <c r="T45" s="826"/>
      <c r="U45" s="826"/>
      <c r="V45" s="826"/>
      <c r="W45" s="825"/>
      <c r="X45" s="826"/>
      <c r="Y45" s="1579"/>
      <c r="Z45" s="1579"/>
      <c r="AA45" s="1579"/>
      <c r="AB45" s="1579"/>
      <c r="AC45" s="1579"/>
      <c r="AD45" s="1579"/>
      <c r="AE45" s="1579" t="str">
        <f>+AE43</f>
        <v>No</v>
      </c>
      <c r="AF45" s="1579"/>
      <c r="AG45" s="1579"/>
      <c r="AH45" s="1579"/>
      <c r="AI45" s="1579"/>
      <c r="AJ45" s="1579"/>
      <c r="AK45" s="1579"/>
      <c r="AL45" s="1579"/>
    </row>
    <row r="46" spans="3:38" s="3" customFormat="1" x14ac:dyDescent="0.25">
      <c r="C46" s="825"/>
      <c r="D46" s="1690" t="s">
        <v>35</v>
      </c>
      <c r="E46" s="832">
        <f t="shared" ref="E46:G47" si="2">E18+E21+E24+E27+E30+E33+E36+E39</f>
        <v>11200</v>
      </c>
      <c r="F46" s="832">
        <f t="shared" si="2"/>
        <v>2592.4809999999998</v>
      </c>
      <c r="G46" s="832">
        <f t="shared" si="2"/>
        <v>0</v>
      </c>
      <c r="H46" s="832">
        <f t="shared" ref="H46:M47" si="3">H18+H21+H24+H27+H30+H33+H36+H39+H42</f>
        <v>0</v>
      </c>
      <c r="I46" s="832">
        <f t="shared" si="3"/>
        <v>0</v>
      </c>
      <c r="J46" s="832">
        <f t="shared" si="3"/>
        <v>0</v>
      </c>
      <c r="K46" s="832">
        <f t="shared" si="3"/>
        <v>0</v>
      </c>
      <c r="L46" s="832">
        <f t="shared" si="3"/>
        <v>0</v>
      </c>
      <c r="M46" s="832">
        <f t="shared" si="3"/>
        <v>1.1699999999999997</v>
      </c>
      <c r="N46" s="832">
        <f t="shared" ref="N46:Q47" si="4">N18+N21+N24+N27+N30+N33+N36+N39</f>
        <v>13793.651000000002</v>
      </c>
      <c r="O46" s="832">
        <f t="shared" si="4"/>
        <v>10499</v>
      </c>
      <c r="P46" s="832">
        <f t="shared" si="4"/>
        <v>890.83</v>
      </c>
      <c r="Q46" s="832">
        <f t="shared" si="4"/>
        <v>0</v>
      </c>
      <c r="R46" s="832">
        <f t="shared" ref="R46:U47" si="5">R18+R21+R24+R27+R30+R33+R36+R39+R42</f>
        <v>0</v>
      </c>
      <c r="S46" s="832">
        <f t="shared" si="5"/>
        <v>0</v>
      </c>
      <c r="T46" s="832">
        <f t="shared" si="5"/>
        <v>0</v>
      </c>
      <c r="U46" s="832">
        <f t="shared" si="5"/>
        <v>0</v>
      </c>
      <c r="V46" s="832">
        <f>V18+V21+V24+V27+V30+V33+V36+V39</f>
        <v>11389.83</v>
      </c>
      <c r="W46" s="832">
        <f>W18+W21+W24+W27+W30+W33+W36+W39</f>
        <v>2403.8209999999999</v>
      </c>
      <c r="X46" s="2676">
        <f>+E46-O46</f>
        <v>701</v>
      </c>
      <c r="Y46" s="829"/>
      <c r="Z46" s="829"/>
      <c r="AA46" s="1579"/>
      <c r="AB46" s="1579"/>
      <c r="AC46" s="1579"/>
      <c r="AD46" s="1579"/>
      <c r="AE46" s="1579" t="str">
        <f>+IF(AND(W47=0,W46=0),"No","Yes")</f>
        <v>Yes</v>
      </c>
      <c r="AF46" s="1579"/>
      <c r="AG46" s="1579"/>
      <c r="AH46" s="1579"/>
      <c r="AI46" s="1579"/>
      <c r="AJ46" s="1579"/>
      <c r="AK46" s="1579"/>
      <c r="AL46" s="1579"/>
    </row>
    <row r="47" spans="3:38" s="3" customFormat="1" x14ac:dyDescent="0.25">
      <c r="C47" s="830"/>
      <c r="D47" s="1691" t="s">
        <v>1779</v>
      </c>
      <c r="E47" s="832">
        <f t="shared" si="2"/>
        <v>-13661</v>
      </c>
      <c r="F47" s="832">
        <f t="shared" si="2"/>
        <v>0</v>
      </c>
      <c r="G47" s="832">
        <f t="shared" si="2"/>
        <v>-2461</v>
      </c>
      <c r="H47" s="832">
        <f t="shared" si="3"/>
        <v>0</v>
      </c>
      <c r="I47" s="832">
        <f t="shared" si="3"/>
        <v>0</v>
      </c>
      <c r="J47" s="832">
        <f t="shared" si="3"/>
        <v>0</v>
      </c>
      <c r="K47" s="832">
        <f t="shared" si="3"/>
        <v>0</v>
      </c>
      <c r="L47" s="832">
        <f t="shared" si="3"/>
        <v>0</v>
      </c>
      <c r="M47" s="832">
        <f t="shared" si="3"/>
        <v>0</v>
      </c>
      <c r="N47" s="832">
        <f t="shared" si="4"/>
        <v>-11200</v>
      </c>
      <c r="O47" s="832">
        <f t="shared" si="4"/>
        <v>-12367</v>
      </c>
      <c r="P47" s="832">
        <f t="shared" si="4"/>
        <v>-467</v>
      </c>
      <c r="Q47" s="832">
        <f t="shared" si="4"/>
        <v>-2335</v>
      </c>
      <c r="R47" s="832">
        <f t="shared" si="5"/>
        <v>0</v>
      </c>
      <c r="S47" s="832">
        <f t="shared" si="5"/>
        <v>0</v>
      </c>
      <c r="T47" s="832">
        <f t="shared" si="5"/>
        <v>0</v>
      </c>
      <c r="U47" s="832">
        <f t="shared" si="5"/>
        <v>0</v>
      </c>
      <c r="V47" s="832">
        <f>V19+V22+V25+V28+V31+V34+V37+V40</f>
        <v>-10499</v>
      </c>
      <c r="W47" s="2677">
        <f>N47-V47</f>
        <v>-701</v>
      </c>
      <c r="X47" s="832">
        <f>+(X40+X34+X28)</f>
        <v>-1287</v>
      </c>
      <c r="Y47" s="1579"/>
      <c r="Z47" s="1579"/>
      <c r="AA47" s="1579"/>
      <c r="AB47" s="1579"/>
      <c r="AC47" s="1579"/>
      <c r="AD47" s="1579"/>
      <c r="AE47" s="1579" t="str">
        <f>+AE46</f>
        <v>Yes</v>
      </c>
      <c r="AF47" s="1579"/>
      <c r="AG47" s="1579"/>
      <c r="AH47" s="1579"/>
      <c r="AI47" s="1579"/>
      <c r="AJ47" s="1579"/>
      <c r="AK47" s="1579"/>
      <c r="AL47" s="1579"/>
    </row>
    <row r="48" spans="3:38" x14ac:dyDescent="0.3">
      <c r="C48" s="1673"/>
      <c r="D48" s="1692"/>
      <c r="E48" s="1692"/>
      <c r="F48" s="1692"/>
      <c r="G48" s="1692"/>
      <c r="H48" s="1692"/>
      <c r="I48" s="1692"/>
      <c r="J48" s="1692"/>
      <c r="K48" s="1692"/>
      <c r="L48" s="1692"/>
      <c r="M48" s="1692"/>
      <c r="N48" s="1692"/>
    </row>
    <row r="49" spans="3:38" x14ac:dyDescent="0.25">
      <c r="F49" s="841"/>
      <c r="H49" s="1209"/>
      <c r="I49" s="1209"/>
      <c r="J49" s="1209"/>
      <c r="K49" s="1209"/>
      <c r="L49" s="1209"/>
      <c r="M49" s="1209"/>
      <c r="N49" s="1209"/>
      <c r="O49" s="1209"/>
      <c r="P49" s="1209"/>
      <c r="Q49" s="1209"/>
      <c r="R49" s="1209"/>
      <c r="S49" s="1209"/>
      <c r="T49" s="1209"/>
      <c r="U49" s="1209"/>
      <c r="V49" s="1209"/>
      <c r="W49" s="1209"/>
      <c r="X49" s="1209"/>
    </row>
    <row r="50" spans="3:38" x14ac:dyDescent="0.25">
      <c r="C50" s="2670" t="s">
        <v>1780</v>
      </c>
      <c r="D50" s="2413"/>
      <c r="E50" s="2867" t="s">
        <v>1756</v>
      </c>
      <c r="F50" s="2868"/>
      <c r="G50" s="2868"/>
      <c r="H50" s="2868"/>
      <c r="I50" s="2868"/>
      <c r="J50" s="2868"/>
      <c r="K50" s="2868"/>
      <c r="L50" s="2868"/>
      <c r="M50" s="2868"/>
      <c r="N50" s="2868"/>
      <c r="O50" s="2867" t="s">
        <v>1781</v>
      </c>
      <c r="P50" s="2868"/>
      <c r="Q50" s="2868"/>
      <c r="R50" s="2868"/>
      <c r="S50" s="2868"/>
      <c r="T50" s="2868"/>
      <c r="U50" s="2868"/>
      <c r="V50" s="2868"/>
      <c r="W50" s="2867" t="s">
        <v>1758</v>
      </c>
      <c r="X50" s="2868"/>
      <c r="AE50" s="841" t="str">
        <f>+AE51</f>
        <v>Yes</v>
      </c>
    </row>
    <row r="51" spans="3:38" s="3" customFormat="1" ht="79.150000000000006" customHeight="1" x14ac:dyDescent="0.25">
      <c r="C51" s="1680"/>
      <c r="D51" s="1681" t="s">
        <v>98</v>
      </c>
      <c r="E51" s="1372" t="str">
        <f>BSPY</f>
        <v>As At 31st March 2024</v>
      </c>
      <c r="F51" s="1682" t="s">
        <v>182</v>
      </c>
      <c r="G51" s="1682" t="s">
        <v>1760</v>
      </c>
      <c r="H51" s="1682" t="s">
        <v>1761</v>
      </c>
      <c r="I51" s="1682" t="s">
        <v>1762</v>
      </c>
      <c r="J51" s="1682" t="s">
        <v>1763</v>
      </c>
      <c r="K51" s="1682" t="s">
        <v>1764</v>
      </c>
      <c r="L51" s="1682" t="s">
        <v>1765</v>
      </c>
      <c r="M51" s="1682" t="s">
        <v>1766</v>
      </c>
      <c r="N51" s="1682" t="str">
        <f>+BSCY</f>
        <v>As At 31st March 2025</v>
      </c>
      <c r="O51" s="1372" t="str">
        <f>+BSPY</f>
        <v>As At 31st March 2024</v>
      </c>
      <c r="P51" s="1682" t="s">
        <v>1767</v>
      </c>
      <c r="Q51" s="1682" t="s">
        <v>1768</v>
      </c>
      <c r="R51" s="1682" t="s">
        <v>1769</v>
      </c>
      <c r="S51" s="1682" t="s">
        <v>1770</v>
      </c>
      <c r="T51" s="1682" t="s">
        <v>1771</v>
      </c>
      <c r="U51" s="1682" t="s">
        <v>1772</v>
      </c>
      <c r="V51" s="1682" t="str">
        <f>+BSCY</f>
        <v>As At 31st March 2025</v>
      </c>
      <c r="W51" s="1372" t="str">
        <f>+BSCY</f>
        <v>As At 31st March 2025</v>
      </c>
      <c r="X51" s="1682" t="str">
        <f>BSPY</f>
        <v>As At 31st March 2024</v>
      </c>
      <c r="Y51" s="1579"/>
      <c r="Z51" s="1579"/>
      <c r="AA51" s="1579"/>
      <c r="AB51" s="1579"/>
      <c r="AC51" s="1579"/>
      <c r="AD51" s="1579"/>
      <c r="AE51" s="1579" t="str">
        <f>+IF(COUNTIF($AE$54:$AE$119,"Yes")=0,"No","Yes")</f>
        <v>Yes</v>
      </c>
      <c r="AF51" s="1579"/>
      <c r="AG51" s="1579"/>
      <c r="AH51" s="1579"/>
      <c r="AI51" s="1579"/>
      <c r="AJ51" s="1579"/>
      <c r="AK51" s="1579"/>
      <c r="AL51" s="1579"/>
    </row>
    <row r="52" spans="3:38" x14ac:dyDescent="0.25">
      <c r="C52" s="1693"/>
      <c r="D52" s="1694"/>
      <c r="E52" s="824"/>
      <c r="F52" s="824"/>
      <c r="G52" s="825"/>
      <c r="H52" s="825"/>
      <c r="I52" s="825"/>
      <c r="K52" s="825"/>
      <c r="L52" s="825"/>
      <c r="M52" s="825"/>
      <c r="N52" s="1695"/>
      <c r="O52" s="1209"/>
      <c r="P52" s="824"/>
      <c r="Q52" s="825"/>
      <c r="R52" s="825"/>
      <c r="S52" s="825"/>
      <c r="T52" s="825"/>
      <c r="U52" s="825"/>
      <c r="V52" s="825"/>
      <c r="W52" s="1695"/>
      <c r="X52" s="1695"/>
      <c r="AE52" s="841" t="str">
        <f>+AE51</f>
        <v>Yes</v>
      </c>
    </row>
    <row r="53" spans="3:38" hidden="1" x14ac:dyDescent="0.25">
      <c r="C53" s="1696">
        <v>1</v>
      </c>
      <c r="D53" s="1694" t="s">
        <v>1782</v>
      </c>
      <c r="E53" s="824"/>
      <c r="F53" s="824"/>
      <c r="G53" s="835"/>
      <c r="H53" s="835"/>
      <c r="I53" s="835"/>
      <c r="K53" s="835"/>
      <c r="L53" s="835"/>
      <c r="M53" s="835"/>
      <c r="N53" s="835"/>
      <c r="O53" s="1209"/>
      <c r="P53" s="824"/>
      <c r="Q53" s="835"/>
      <c r="R53" s="835"/>
      <c r="S53" s="835"/>
      <c r="T53" s="835"/>
      <c r="U53" s="835"/>
      <c r="V53" s="835"/>
      <c r="W53" s="835"/>
      <c r="X53" s="835"/>
      <c r="AE53" s="841" t="str">
        <f>+AE52</f>
        <v>Yes</v>
      </c>
    </row>
    <row r="54" spans="3:38" hidden="1" x14ac:dyDescent="0.25">
      <c r="C54" s="1697"/>
      <c r="D54" s="835" t="s">
        <v>1783</v>
      </c>
      <c r="E54" s="1878">
        <f>207400/100</f>
        <v>2074</v>
      </c>
      <c r="F54" s="824">
        <v>0</v>
      </c>
      <c r="G54" s="835">
        <v>0</v>
      </c>
      <c r="H54" s="835">
        <v>0</v>
      </c>
      <c r="I54" s="835">
        <v>0</v>
      </c>
      <c r="J54" s="836">
        <v>0</v>
      </c>
      <c r="K54" s="835">
        <v>0</v>
      </c>
      <c r="L54" s="835">
        <v>0</v>
      </c>
      <c r="M54" s="1878">
        <f>111/100</f>
        <v>1.1100000000000001</v>
      </c>
      <c r="N54" s="825">
        <f>SUM(E54:F54,H54:M54)-G54</f>
        <v>2075.11</v>
      </c>
      <c r="O54" s="828">
        <f>196000/100</f>
        <v>1960</v>
      </c>
      <c r="P54" s="824">
        <f>+SUM('FAR Working'!M44:M50)/100</f>
        <v>10.48</v>
      </c>
      <c r="Q54" s="835">
        <v>0</v>
      </c>
      <c r="R54" s="835">
        <v>0</v>
      </c>
      <c r="S54" s="835">
        <v>0</v>
      </c>
      <c r="T54" s="835">
        <v>0</v>
      </c>
      <c r="U54" s="835">
        <v>0</v>
      </c>
      <c r="V54" s="826">
        <f>SUM(O54:P54,R54:U54)-Q54</f>
        <v>1970.48</v>
      </c>
      <c r="W54" s="825">
        <f>(N54-V54)</f>
        <v>104.63000000000011</v>
      </c>
      <c r="X54" s="835">
        <f>W55</f>
        <v>114</v>
      </c>
      <c r="Y54" s="841" t="s">
        <v>3282</v>
      </c>
      <c r="AE54" s="1579" t="str">
        <f>+IF(AND(W55=0,W54=0),"No","Yes")</f>
        <v>Yes</v>
      </c>
    </row>
    <row r="55" spans="3:38" hidden="1" x14ac:dyDescent="0.25">
      <c r="C55" s="1697"/>
      <c r="D55" s="1689" t="s">
        <v>1774</v>
      </c>
      <c r="E55" s="1878">
        <f>525900/100</f>
        <v>5259</v>
      </c>
      <c r="F55" s="827">
        <v>0</v>
      </c>
      <c r="G55" s="827">
        <f>318500/100</f>
        <v>3185</v>
      </c>
      <c r="H55" s="828">
        <v>0</v>
      </c>
      <c r="I55" s="828">
        <v>0</v>
      </c>
      <c r="J55" s="828">
        <v>0</v>
      </c>
      <c r="K55" s="828">
        <v>0</v>
      </c>
      <c r="L55" s="828">
        <v>0</v>
      </c>
      <c r="M55" s="835">
        <v>0</v>
      </c>
      <c r="N55" s="827">
        <f>SUM(E55:F55,H55:M55)-G55</f>
        <v>2074</v>
      </c>
      <c r="O55" s="828">
        <f>493400/100</f>
        <v>4934</v>
      </c>
      <c r="P55" s="1878">
        <f>4100/100</f>
        <v>41</v>
      </c>
      <c r="Q55" s="827">
        <f>301500/100</f>
        <v>3015</v>
      </c>
      <c r="R55" s="827">
        <v>0</v>
      </c>
      <c r="S55" s="827">
        <v>0</v>
      </c>
      <c r="T55" s="827">
        <v>0</v>
      </c>
      <c r="U55" s="827">
        <v>0</v>
      </c>
      <c r="V55" s="826">
        <f>SUM(O55:P55,R55:U55)-Q55</f>
        <v>1960</v>
      </c>
      <c r="W55" s="828">
        <f>N55-V55</f>
        <v>114</v>
      </c>
      <c r="X55" s="1878">
        <f>32500/100</f>
        <v>325</v>
      </c>
      <c r="AE55" s="1579" t="str">
        <f>+AE54</f>
        <v>Yes</v>
      </c>
    </row>
    <row r="56" spans="3:38" hidden="1" x14ac:dyDescent="0.25">
      <c r="C56" s="1697"/>
      <c r="D56" s="1689"/>
      <c r="E56" s="824"/>
      <c r="F56" s="824"/>
      <c r="G56" s="835"/>
      <c r="H56" s="835"/>
      <c r="I56" s="835"/>
      <c r="K56" s="835"/>
      <c r="L56" s="835"/>
      <c r="M56" s="835"/>
      <c r="N56" s="835"/>
      <c r="O56" s="1209"/>
      <c r="P56" s="824"/>
      <c r="Q56" s="835"/>
      <c r="R56" s="835"/>
      <c r="S56" s="835"/>
      <c r="T56" s="835"/>
      <c r="U56" s="835"/>
      <c r="V56" s="835"/>
      <c r="W56" s="835"/>
      <c r="X56" s="835"/>
      <c r="AE56" s="841" t="str">
        <f>+AE55</f>
        <v>Yes</v>
      </c>
    </row>
    <row r="57" spans="3:38" hidden="1" x14ac:dyDescent="0.25">
      <c r="C57" s="1697"/>
      <c r="D57" s="835" t="s">
        <v>1784</v>
      </c>
      <c r="E57" s="824">
        <f>-N58</f>
        <v>0</v>
      </c>
      <c r="F57" s="824"/>
      <c r="G57" s="835"/>
      <c r="H57" s="835"/>
      <c r="I57" s="835"/>
      <c r="J57" s="836"/>
      <c r="K57" s="835"/>
      <c r="L57" s="835"/>
      <c r="M57" s="835"/>
      <c r="N57" s="825">
        <f>SUM(E57:F57,H57:M57)-G57</f>
        <v>0</v>
      </c>
      <c r="O57" s="838"/>
      <c r="P57" s="824"/>
      <c r="Q57" s="835"/>
      <c r="R57" s="835"/>
      <c r="S57" s="835"/>
      <c r="T57" s="835"/>
      <c r="U57" s="835"/>
      <c r="V57" s="826">
        <f>SUM(O57:P57,R57:U57)-Q57</f>
        <v>0</v>
      </c>
      <c r="W57" s="825">
        <f>N57-V57</f>
        <v>0</v>
      </c>
      <c r="X57" s="835"/>
      <c r="AE57" s="1579" t="str">
        <f>+IF(AND(W58=0,W57=0),"No","Yes")</f>
        <v>No</v>
      </c>
    </row>
    <row r="58" spans="3:38" hidden="1" x14ac:dyDescent="0.25">
      <c r="C58" s="1697"/>
      <c r="D58" s="1689" t="s">
        <v>1774</v>
      </c>
      <c r="E58" s="824"/>
      <c r="F58" s="824"/>
      <c r="G58" s="835"/>
      <c r="H58" s="835"/>
      <c r="I58" s="835"/>
      <c r="J58" s="836"/>
      <c r="K58" s="835"/>
      <c r="L58" s="835"/>
      <c r="M58" s="835"/>
      <c r="N58" s="825">
        <f>SUM(E58:F58,H58:M58)-G58</f>
        <v>0</v>
      </c>
      <c r="O58" s="1209"/>
      <c r="P58" s="824"/>
      <c r="Q58" s="835"/>
      <c r="R58" s="835"/>
      <c r="S58" s="835"/>
      <c r="T58" s="835"/>
      <c r="U58" s="835"/>
      <c r="V58" s="835"/>
      <c r="W58" s="835"/>
      <c r="X58" s="835"/>
      <c r="AE58" s="1579" t="str">
        <f>+AE57</f>
        <v>No</v>
      </c>
    </row>
    <row r="59" spans="3:38" hidden="1" x14ac:dyDescent="0.25">
      <c r="C59" s="1697"/>
      <c r="D59" s="1689"/>
      <c r="E59" s="824"/>
      <c r="F59" s="824"/>
      <c r="G59" s="835"/>
      <c r="H59" s="835"/>
      <c r="I59" s="835"/>
      <c r="K59" s="835"/>
      <c r="L59" s="835"/>
      <c r="M59" s="835"/>
      <c r="N59" s="835"/>
      <c r="O59" s="1209"/>
      <c r="P59" s="824"/>
      <c r="Q59" s="835"/>
      <c r="R59" s="835"/>
      <c r="S59" s="835"/>
      <c r="T59" s="835"/>
      <c r="U59" s="835"/>
      <c r="V59" s="835"/>
      <c r="W59" s="835"/>
      <c r="X59" s="835"/>
      <c r="AE59" s="841" t="str">
        <f>+AE58</f>
        <v>No</v>
      </c>
    </row>
    <row r="60" spans="3:38" hidden="1" x14ac:dyDescent="0.25">
      <c r="C60" s="1697"/>
      <c r="D60" s="835" t="s">
        <v>1785</v>
      </c>
      <c r="E60" s="824">
        <f>-N61</f>
        <v>0</v>
      </c>
      <c r="F60" s="824"/>
      <c r="G60" s="835"/>
      <c r="H60" s="835"/>
      <c r="I60" s="835"/>
      <c r="J60" s="836"/>
      <c r="K60" s="835"/>
      <c r="L60" s="835"/>
      <c r="M60" s="835"/>
      <c r="N60" s="825">
        <f>SUM(E60:F60,H60:M60)-G60</f>
        <v>0</v>
      </c>
      <c r="O60" s="838"/>
      <c r="P60" s="824"/>
      <c r="Q60" s="835"/>
      <c r="R60" s="835"/>
      <c r="S60" s="835"/>
      <c r="T60" s="835"/>
      <c r="U60" s="835"/>
      <c r="V60" s="826">
        <f>SUM(O60:P60,R60:U60)-Q60</f>
        <v>0</v>
      </c>
      <c r="W60" s="825">
        <f>N60-V60</f>
        <v>0</v>
      </c>
      <c r="X60" s="835"/>
      <c r="AE60" s="1579" t="str">
        <f>+IF(AND(W61=0,W60=0),"No","Yes")</f>
        <v>No</v>
      </c>
    </row>
    <row r="61" spans="3:38" hidden="1" x14ac:dyDescent="0.25">
      <c r="C61" s="1697"/>
      <c r="D61" s="1689" t="s">
        <v>1774</v>
      </c>
      <c r="E61" s="824"/>
      <c r="F61" s="824"/>
      <c r="G61" s="835"/>
      <c r="H61" s="835"/>
      <c r="I61" s="835"/>
      <c r="K61" s="835"/>
      <c r="L61" s="835"/>
      <c r="M61" s="835"/>
      <c r="N61" s="827">
        <f>SUM(E61:F61,H61:M61)-G61</f>
        <v>0</v>
      </c>
      <c r="O61" s="1209"/>
      <c r="P61" s="824"/>
      <c r="Q61" s="835"/>
      <c r="R61" s="835"/>
      <c r="S61" s="835"/>
      <c r="T61" s="835"/>
      <c r="U61" s="835"/>
      <c r="V61" s="835"/>
      <c r="W61" s="835"/>
      <c r="X61" s="835"/>
      <c r="AE61" s="1579" t="str">
        <f>+AE60</f>
        <v>No</v>
      </c>
    </row>
    <row r="62" spans="3:38" hidden="1" x14ac:dyDescent="0.25">
      <c r="C62" s="1697"/>
      <c r="D62" s="1689"/>
      <c r="E62" s="824"/>
      <c r="F62" s="824"/>
      <c r="G62" s="835"/>
      <c r="H62" s="835"/>
      <c r="I62" s="835"/>
      <c r="K62" s="835"/>
      <c r="L62" s="835"/>
      <c r="M62" s="835"/>
      <c r="N62" s="835"/>
      <c r="O62" s="1209"/>
      <c r="P62" s="824"/>
      <c r="Q62" s="835"/>
      <c r="R62" s="835"/>
      <c r="S62" s="835"/>
      <c r="T62" s="835"/>
      <c r="U62" s="835"/>
      <c r="V62" s="835"/>
      <c r="W62" s="835"/>
      <c r="X62" s="835"/>
      <c r="AE62" s="841" t="str">
        <f>+AE61</f>
        <v>No</v>
      </c>
    </row>
    <row r="63" spans="3:38" ht="33" hidden="1" x14ac:dyDescent="0.25">
      <c r="C63" s="1697"/>
      <c r="D63" s="835" t="s">
        <v>1786</v>
      </c>
      <c r="E63" s="824">
        <f>-N64</f>
        <v>0</v>
      </c>
      <c r="F63" s="824"/>
      <c r="G63" s="835"/>
      <c r="H63" s="835"/>
      <c r="I63" s="835"/>
      <c r="J63" s="836"/>
      <c r="K63" s="835"/>
      <c r="L63" s="835"/>
      <c r="M63" s="835"/>
      <c r="N63" s="825">
        <f>SUM(E63:F63,H63:M63)-G63</f>
        <v>0</v>
      </c>
      <c r="O63" s="838"/>
      <c r="P63" s="824"/>
      <c r="Q63" s="835"/>
      <c r="R63" s="835"/>
      <c r="S63" s="835"/>
      <c r="T63" s="835"/>
      <c r="U63" s="835"/>
      <c r="V63" s="826">
        <f>SUM(O63:P63,R63:U63)-Q63</f>
        <v>0</v>
      </c>
      <c r="W63" s="825">
        <f>N63-V63</f>
        <v>0</v>
      </c>
      <c r="X63" s="835"/>
      <c r="AE63" s="1579" t="str">
        <f>+IF(AND(W64=0,W63=0),"No","Yes")</f>
        <v>No</v>
      </c>
    </row>
    <row r="64" spans="3:38" hidden="1" x14ac:dyDescent="0.25">
      <c r="C64" s="1697"/>
      <c r="D64" s="1689" t="s">
        <v>1774</v>
      </c>
      <c r="E64" s="824"/>
      <c r="F64" s="824"/>
      <c r="G64" s="835"/>
      <c r="H64" s="835"/>
      <c r="I64" s="835"/>
      <c r="K64" s="835"/>
      <c r="L64" s="835"/>
      <c r="M64" s="835"/>
      <c r="N64" s="827">
        <f>SUM(E64:F64,H64:M64)-G64</f>
        <v>0</v>
      </c>
      <c r="O64" s="1209"/>
      <c r="P64" s="824"/>
      <c r="Q64" s="835"/>
      <c r="R64" s="835"/>
      <c r="S64" s="835"/>
      <c r="T64" s="835"/>
      <c r="U64" s="835"/>
      <c r="V64" s="835"/>
      <c r="W64" s="835"/>
      <c r="X64" s="835"/>
      <c r="AE64" s="1579" t="str">
        <f>+AE63</f>
        <v>No</v>
      </c>
    </row>
    <row r="65" spans="3:38" hidden="1" x14ac:dyDescent="0.25">
      <c r="C65" s="1697"/>
      <c r="D65" s="1689"/>
      <c r="E65" s="824"/>
      <c r="F65" s="824"/>
      <c r="G65" s="835"/>
      <c r="H65" s="835"/>
      <c r="I65" s="835"/>
      <c r="K65" s="835"/>
      <c r="L65" s="835"/>
      <c r="M65" s="835"/>
      <c r="N65" s="825"/>
      <c r="O65" s="1209"/>
      <c r="P65" s="824"/>
      <c r="Q65" s="835"/>
      <c r="R65" s="835"/>
      <c r="S65" s="835"/>
      <c r="T65" s="835"/>
      <c r="U65" s="835"/>
      <c r="V65" s="835"/>
      <c r="W65" s="835"/>
      <c r="X65" s="835"/>
      <c r="AE65" s="841" t="str">
        <f>+AE64</f>
        <v>No</v>
      </c>
    </row>
    <row r="66" spans="3:38" hidden="1" x14ac:dyDescent="0.25">
      <c r="C66" s="1697"/>
      <c r="D66" s="835" t="s">
        <v>1787</v>
      </c>
      <c r="E66" s="824">
        <f>-N67</f>
        <v>0</v>
      </c>
      <c r="F66" s="824"/>
      <c r="G66" s="835"/>
      <c r="H66" s="835"/>
      <c r="I66" s="835"/>
      <c r="J66" s="836"/>
      <c r="K66" s="835"/>
      <c r="L66" s="835"/>
      <c r="M66" s="835"/>
      <c r="N66" s="825">
        <f>SUM(E66:F66,H66:M66)-G66</f>
        <v>0</v>
      </c>
      <c r="O66" s="838"/>
      <c r="P66" s="824"/>
      <c r="Q66" s="835"/>
      <c r="R66" s="835"/>
      <c r="S66" s="835"/>
      <c r="T66" s="835"/>
      <c r="U66" s="835"/>
      <c r="V66" s="826">
        <f>SUM(O66:P66,R66:U66)-Q66</f>
        <v>0</v>
      </c>
      <c r="W66" s="825">
        <f>N66-V66</f>
        <v>0</v>
      </c>
      <c r="X66" s="835"/>
      <c r="AE66" s="1579" t="str">
        <f>+IF(AND(W67=0,W66=0),"No","Yes")</f>
        <v>No</v>
      </c>
    </row>
    <row r="67" spans="3:38" hidden="1" x14ac:dyDescent="0.25">
      <c r="C67" s="1697"/>
      <c r="D67" s="1689" t="s">
        <v>1774</v>
      </c>
      <c r="E67" s="824"/>
      <c r="F67" s="824"/>
      <c r="G67" s="835"/>
      <c r="H67" s="835"/>
      <c r="I67" s="835"/>
      <c r="K67" s="835"/>
      <c r="L67" s="835"/>
      <c r="M67" s="835"/>
      <c r="N67" s="827">
        <f>SUM(E67:F67,H67:M67)-G67</f>
        <v>0</v>
      </c>
      <c r="O67" s="1209"/>
      <c r="P67" s="824"/>
      <c r="Q67" s="835"/>
      <c r="R67" s="835"/>
      <c r="S67" s="835"/>
      <c r="T67" s="835"/>
      <c r="U67" s="835"/>
      <c r="V67" s="835"/>
      <c r="W67" s="835"/>
      <c r="X67" s="835"/>
      <c r="AE67" s="1579" t="str">
        <f>+AE66</f>
        <v>No</v>
      </c>
    </row>
    <row r="68" spans="3:38" hidden="1" x14ac:dyDescent="0.25">
      <c r="C68" s="1697"/>
      <c r="D68" s="1689"/>
      <c r="E68" s="824"/>
      <c r="F68" s="824"/>
      <c r="G68" s="835"/>
      <c r="H68" s="835"/>
      <c r="I68" s="835"/>
      <c r="K68" s="835"/>
      <c r="L68" s="835"/>
      <c r="M68" s="835"/>
      <c r="N68" s="835"/>
      <c r="O68" s="1209"/>
      <c r="P68" s="824"/>
      <c r="Q68" s="835"/>
      <c r="R68" s="835"/>
      <c r="S68" s="835"/>
      <c r="T68" s="835"/>
      <c r="U68" s="835"/>
      <c r="V68" s="835"/>
      <c r="W68" s="835"/>
      <c r="X68" s="835"/>
      <c r="AE68" s="841" t="str">
        <f>+AE67</f>
        <v>No</v>
      </c>
    </row>
    <row r="69" spans="3:38" hidden="1" x14ac:dyDescent="0.25">
      <c r="C69" s="1697"/>
      <c r="D69" s="835" t="s">
        <v>1788</v>
      </c>
      <c r="E69" s="824">
        <f>-N70</f>
        <v>0</v>
      </c>
      <c r="F69" s="824"/>
      <c r="G69" s="835"/>
      <c r="H69" s="835"/>
      <c r="I69" s="835"/>
      <c r="J69" s="836"/>
      <c r="K69" s="835"/>
      <c r="L69" s="835"/>
      <c r="M69" s="835"/>
      <c r="N69" s="825">
        <f>SUM(E69:F69,H69:M69)-G69</f>
        <v>0</v>
      </c>
      <c r="O69" s="838"/>
      <c r="P69" s="824"/>
      <c r="Q69" s="835"/>
      <c r="R69" s="835"/>
      <c r="S69" s="835"/>
      <c r="T69" s="835"/>
      <c r="U69" s="835"/>
      <c r="V69" s="826">
        <f>SUM(O69:P69,R69:U69)-Q69</f>
        <v>0</v>
      </c>
      <c r="W69" s="825">
        <f>N69-V69</f>
        <v>0</v>
      </c>
      <c r="X69" s="835"/>
      <c r="AE69" s="1579" t="str">
        <f>+IF(AND(W70=0,W69=0),"No","Yes")</f>
        <v>No</v>
      </c>
    </row>
    <row r="70" spans="3:38" hidden="1" x14ac:dyDescent="0.25">
      <c r="C70" s="1697"/>
      <c r="D70" s="1689" t="s">
        <v>1774</v>
      </c>
      <c r="E70" s="824"/>
      <c r="F70" s="824"/>
      <c r="G70" s="835"/>
      <c r="H70" s="835"/>
      <c r="I70" s="835"/>
      <c r="K70" s="835"/>
      <c r="L70" s="835"/>
      <c r="M70" s="835"/>
      <c r="N70" s="827">
        <f>SUM(E70:F70,H70:M70)-G70</f>
        <v>0</v>
      </c>
      <c r="O70" s="1209"/>
      <c r="P70" s="824"/>
      <c r="Q70" s="835"/>
      <c r="R70" s="835"/>
      <c r="S70" s="835"/>
      <c r="T70" s="835"/>
      <c r="U70" s="835"/>
      <c r="V70" s="835"/>
      <c r="W70" s="835"/>
      <c r="X70" s="835"/>
      <c r="AE70" s="1579" t="str">
        <f>+AE69</f>
        <v>No</v>
      </c>
    </row>
    <row r="71" spans="3:38" hidden="1" x14ac:dyDescent="0.25">
      <c r="C71" s="1697"/>
      <c r="D71" s="1689"/>
      <c r="E71" s="824"/>
      <c r="F71" s="824"/>
      <c r="G71" s="835"/>
      <c r="H71" s="835"/>
      <c r="I71" s="835"/>
      <c r="K71" s="835"/>
      <c r="L71" s="835"/>
      <c r="M71" s="835"/>
      <c r="N71" s="835"/>
      <c r="O71" s="1209"/>
      <c r="P71" s="824"/>
      <c r="Q71" s="835"/>
      <c r="R71" s="835"/>
      <c r="S71" s="835"/>
      <c r="T71" s="835"/>
      <c r="U71" s="835"/>
      <c r="V71" s="835"/>
      <c r="W71" s="835"/>
      <c r="X71" s="835"/>
      <c r="AE71" s="841" t="str">
        <f>+AE70</f>
        <v>No</v>
      </c>
    </row>
    <row r="72" spans="3:38" s="32" customFormat="1" hidden="1" x14ac:dyDescent="0.25">
      <c r="C72" s="1697"/>
      <c r="D72" s="835" t="s">
        <v>1969</v>
      </c>
      <c r="E72" s="824">
        <f>-N73</f>
        <v>0</v>
      </c>
      <c r="F72" s="824"/>
      <c r="G72" s="835"/>
      <c r="H72" s="835"/>
      <c r="I72" s="835"/>
      <c r="J72" s="836"/>
      <c r="K72" s="835"/>
      <c r="L72" s="835"/>
      <c r="M72" s="835"/>
      <c r="N72" s="825">
        <f>SUM(E72:F72,H72:M72)-G72</f>
        <v>0</v>
      </c>
      <c r="O72" s="838"/>
      <c r="P72" s="824"/>
      <c r="Q72" s="835"/>
      <c r="R72" s="835"/>
      <c r="S72" s="835"/>
      <c r="T72" s="835"/>
      <c r="U72" s="835"/>
      <c r="V72" s="826">
        <f>SUM(O72:P72,R72:U72)-Q72</f>
        <v>0</v>
      </c>
      <c r="W72" s="825">
        <f>N72-V72</f>
        <v>0</v>
      </c>
      <c r="X72" s="835"/>
      <c r="Y72" s="1523"/>
      <c r="Z72" s="1523"/>
      <c r="AA72" s="1523"/>
      <c r="AB72" s="1523"/>
      <c r="AC72" s="1523"/>
      <c r="AD72" s="1523"/>
      <c r="AE72" s="1579" t="str">
        <f>+IF(AND(W73=0,W72=0),"No","Yes")</f>
        <v>No</v>
      </c>
      <c r="AF72" s="1523"/>
      <c r="AG72" s="1523"/>
      <c r="AH72" s="1523"/>
      <c r="AI72" s="1523"/>
      <c r="AJ72" s="1523"/>
      <c r="AK72" s="1523"/>
      <c r="AL72" s="1523"/>
    </row>
    <row r="73" spans="3:38" hidden="1" x14ac:dyDescent="0.25">
      <c r="C73" s="1697"/>
      <c r="D73" s="1689" t="s">
        <v>1774</v>
      </c>
      <c r="E73" s="824"/>
      <c r="F73" s="824"/>
      <c r="G73" s="835"/>
      <c r="H73" s="835"/>
      <c r="I73" s="835"/>
      <c r="K73" s="835"/>
      <c r="L73" s="835"/>
      <c r="M73" s="835"/>
      <c r="N73" s="827">
        <f>SUM(E73:F73,H73:M73)-G73</f>
        <v>0</v>
      </c>
      <c r="O73" s="1209"/>
      <c r="P73" s="824"/>
      <c r="Q73" s="835"/>
      <c r="R73" s="835"/>
      <c r="S73" s="835"/>
      <c r="T73" s="835"/>
      <c r="U73" s="835"/>
      <c r="V73" s="835"/>
      <c r="W73" s="835"/>
      <c r="X73" s="835"/>
      <c r="AE73" s="1579" t="str">
        <f>+AE72</f>
        <v>No</v>
      </c>
    </row>
    <row r="74" spans="3:38" hidden="1" x14ac:dyDescent="0.25">
      <c r="C74" s="1697"/>
      <c r="D74" s="1689"/>
      <c r="E74" s="824"/>
      <c r="F74" s="824"/>
      <c r="G74" s="835"/>
      <c r="H74" s="835"/>
      <c r="I74" s="835"/>
      <c r="K74" s="835"/>
      <c r="L74" s="835"/>
      <c r="M74" s="835"/>
      <c r="N74" s="842"/>
      <c r="O74" s="1209"/>
      <c r="P74" s="824"/>
      <c r="Q74" s="835"/>
      <c r="R74" s="835"/>
      <c r="S74" s="835"/>
      <c r="T74" s="835"/>
      <c r="U74" s="835"/>
      <c r="V74" s="835"/>
      <c r="W74" s="842"/>
      <c r="X74" s="835"/>
      <c r="AE74" s="841" t="str">
        <f>+AE73</f>
        <v>No</v>
      </c>
    </row>
    <row r="75" spans="3:38" hidden="1" x14ac:dyDescent="0.25">
      <c r="C75" s="1697"/>
      <c r="D75" s="1698" t="s">
        <v>1789</v>
      </c>
      <c r="E75" s="843">
        <f>E54+E57+E60+E63+E66+E69+E72</f>
        <v>2074</v>
      </c>
      <c r="F75" s="843">
        <f t="shared" ref="F75:X75" si="6">F54+F57+F60+F63+F66+F69+F72</f>
        <v>0</v>
      </c>
      <c r="G75" s="843">
        <f t="shared" si="6"/>
        <v>0</v>
      </c>
      <c r="H75" s="843">
        <f t="shared" si="6"/>
        <v>0</v>
      </c>
      <c r="I75" s="843">
        <f t="shared" si="6"/>
        <v>0</v>
      </c>
      <c r="J75" s="843">
        <f t="shared" si="6"/>
        <v>0</v>
      </c>
      <c r="K75" s="843">
        <f t="shared" si="6"/>
        <v>0</v>
      </c>
      <c r="L75" s="843">
        <f t="shared" si="6"/>
        <v>0</v>
      </c>
      <c r="M75" s="843">
        <f t="shared" si="6"/>
        <v>1.1100000000000001</v>
      </c>
      <c r="N75" s="843">
        <f t="shared" si="6"/>
        <v>2075.11</v>
      </c>
      <c r="O75" s="843">
        <f t="shared" si="6"/>
        <v>1960</v>
      </c>
      <c r="P75" s="843">
        <f>P54+P57+P60+P63+P66+P69+P72</f>
        <v>10.48</v>
      </c>
      <c r="Q75" s="843">
        <f t="shared" si="6"/>
        <v>0</v>
      </c>
      <c r="R75" s="843">
        <f t="shared" si="6"/>
        <v>0</v>
      </c>
      <c r="S75" s="843">
        <f t="shared" si="6"/>
        <v>0</v>
      </c>
      <c r="T75" s="843">
        <f t="shared" si="6"/>
        <v>0</v>
      </c>
      <c r="U75" s="843">
        <f t="shared" si="6"/>
        <v>0</v>
      </c>
      <c r="V75" s="843">
        <f t="shared" si="6"/>
        <v>1970.48</v>
      </c>
      <c r="W75" s="843">
        <f t="shared" si="6"/>
        <v>104.63000000000011</v>
      </c>
      <c r="X75" s="843">
        <f t="shared" si="6"/>
        <v>114</v>
      </c>
      <c r="AE75" s="1579" t="str">
        <f>+IF(AND(W76=0,W75=0),"No","Yes")</f>
        <v>Yes</v>
      </c>
    </row>
    <row r="76" spans="3:38" hidden="1" x14ac:dyDescent="0.25">
      <c r="C76" s="1697"/>
      <c r="D76" s="1690" t="s">
        <v>1774</v>
      </c>
      <c r="E76" s="832">
        <f>E55+E58+E61+E64+E67+E70+E73</f>
        <v>5259</v>
      </c>
      <c r="F76" s="832">
        <f t="shared" ref="F76:X76" si="7">F55+F58+F61+F64+F67+F70+F73</f>
        <v>0</v>
      </c>
      <c r="G76" s="832">
        <f t="shared" si="7"/>
        <v>3185</v>
      </c>
      <c r="H76" s="832">
        <f t="shared" si="7"/>
        <v>0</v>
      </c>
      <c r="I76" s="832">
        <f t="shared" si="7"/>
        <v>0</v>
      </c>
      <c r="J76" s="832">
        <f t="shared" si="7"/>
        <v>0</v>
      </c>
      <c r="K76" s="832">
        <f t="shared" si="7"/>
        <v>0</v>
      </c>
      <c r="L76" s="832">
        <f t="shared" si="7"/>
        <v>0</v>
      </c>
      <c r="M76" s="832">
        <f t="shared" si="7"/>
        <v>0</v>
      </c>
      <c r="N76" s="832">
        <f t="shared" si="7"/>
        <v>2074</v>
      </c>
      <c r="O76" s="832">
        <f t="shared" si="7"/>
        <v>4934</v>
      </c>
      <c r="P76" s="832">
        <f t="shared" si="7"/>
        <v>41</v>
      </c>
      <c r="Q76" s="832">
        <f t="shared" si="7"/>
        <v>3015</v>
      </c>
      <c r="R76" s="832">
        <f t="shared" si="7"/>
        <v>0</v>
      </c>
      <c r="S76" s="832">
        <f t="shared" si="7"/>
        <v>0</v>
      </c>
      <c r="T76" s="832">
        <f t="shared" si="7"/>
        <v>0</v>
      </c>
      <c r="U76" s="832">
        <f t="shared" si="7"/>
        <v>0</v>
      </c>
      <c r="V76" s="832">
        <f t="shared" si="7"/>
        <v>1960</v>
      </c>
      <c r="W76" s="832">
        <f t="shared" si="7"/>
        <v>114</v>
      </c>
      <c r="X76" s="832">
        <f t="shared" si="7"/>
        <v>325</v>
      </c>
      <c r="Y76" s="841">
        <f>+W75+W46</f>
        <v>2508.451</v>
      </c>
      <c r="AE76" s="1579" t="str">
        <f>+AE75</f>
        <v>Yes</v>
      </c>
    </row>
    <row r="77" spans="3:38" hidden="1" x14ac:dyDescent="0.25">
      <c r="C77" s="1697"/>
      <c r="D77" s="835"/>
      <c r="E77" s="824"/>
      <c r="F77" s="824"/>
      <c r="G77" s="835"/>
      <c r="H77" s="835"/>
      <c r="I77" s="835"/>
      <c r="J77" s="836"/>
      <c r="K77" s="835"/>
      <c r="L77" s="835"/>
      <c r="M77" s="835"/>
      <c r="N77" s="837"/>
      <c r="O77" s="838"/>
      <c r="P77" s="824"/>
      <c r="Q77" s="835"/>
      <c r="R77" s="835"/>
      <c r="S77" s="835"/>
      <c r="T77" s="835"/>
      <c r="U77" s="835"/>
      <c r="V77" s="835"/>
      <c r="W77" s="837"/>
      <c r="X77" s="835"/>
      <c r="AE77" s="841" t="str">
        <f>+AE78</f>
        <v>Yes</v>
      </c>
    </row>
    <row r="78" spans="3:38" hidden="1" x14ac:dyDescent="0.25">
      <c r="C78" s="1696">
        <v>1</v>
      </c>
      <c r="D78" s="1694" t="s">
        <v>170</v>
      </c>
      <c r="E78" s="824"/>
      <c r="F78" s="824"/>
      <c r="G78" s="835"/>
      <c r="H78" s="835"/>
      <c r="I78" s="835"/>
      <c r="J78" s="836"/>
      <c r="K78" s="835"/>
      <c r="L78" s="835"/>
      <c r="M78" s="835"/>
      <c r="N78" s="835"/>
      <c r="O78" s="838"/>
      <c r="P78" s="824"/>
      <c r="Q78" s="835"/>
      <c r="R78" s="835"/>
      <c r="S78" s="835"/>
      <c r="T78" s="835"/>
      <c r="U78" s="835"/>
      <c r="V78" s="835"/>
      <c r="W78" s="835"/>
      <c r="X78" s="835"/>
      <c r="AE78" s="841" t="str">
        <f>+IF(COUNTIF($AE$79:$AE$107,"Yes")=0,"No","Yes")</f>
        <v>Yes</v>
      </c>
    </row>
    <row r="79" spans="3:38" hidden="1" x14ac:dyDescent="0.25">
      <c r="C79" s="1697"/>
      <c r="D79" s="835" t="s">
        <v>1790</v>
      </c>
      <c r="E79" s="824">
        <f>-N80</f>
        <v>0</v>
      </c>
      <c r="F79" s="824"/>
      <c r="G79" s="835"/>
      <c r="H79" s="835"/>
      <c r="I79" s="835"/>
      <c r="J79" s="836"/>
      <c r="K79" s="835"/>
      <c r="L79" s="835"/>
      <c r="M79" s="835"/>
      <c r="N79" s="825">
        <f>SUM(E79:F79,H79:M79)-G79</f>
        <v>0</v>
      </c>
      <c r="O79" s="839">
        <f>-V80</f>
        <v>0</v>
      </c>
      <c r="P79" s="824"/>
      <c r="Q79" s="835"/>
      <c r="R79" s="835"/>
      <c r="S79" s="835"/>
      <c r="T79" s="835"/>
      <c r="U79" s="835"/>
      <c r="V79" s="826">
        <f>SUM(O79:P79,R79:U79)-Q79</f>
        <v>0</v>
      </c>
      <c r="W79" s="825">
        <f>N79-V79</f>
        <v>0</v>
      </c>
      <c r="X79" s="825">
        <f>+E79-O79</f>
        <v>0</v>
      </c>
      <c r="AE79" s="1579" t="str">
        <f>+IF(AND(W80=0,W79=0),"No","Yes")</f>
        <v>No</v>
      </c>
    </row>
    <row r="80" spans="3:38" hidden="1" x14ac:dyDescent="0.25">
      <c r="C80" s="1697"/>
      <c r="D80" s="1689" t="s">
        <v>1774</v>
      </c>
      <c r="E80" s="824"/>
      <c r="F80" s="824"/>
      <c r="G80" s="835"/>
      <c r="H80" s="835"/>
      <c r="I80" s="835"/>
      <c r="J80" s="836"/>
      <c r="K80" s="835"/>
      <c r="L80" s="835"/>
      <c r="M80" s="835"/>
      <c r="N80" s="825">
        <f>SUM(E80:F80,H80:M80)-G80</f>
        <v>0</v>
      </c>
      <c r="O80" s="838"/>
      <c r="P80" s="824"/>
      <c r="Q80" s="835"/>
      <c r="R80" s="835"/>
      <c r="S80" s="835"/>
      <c r="T80" s="835"/>
      <c r="U80" s="835"/>
      <c r="V80" s="826">
        <f>SUM(O80:P80,R80:U80)-Q80</f>
        <v>0</v>
      </c>
      <c r="W80" s="825">
        <f>N80-V80</f>
        <v>0</v>
      </c>
      <c r="X80" s="825">
        <f t="shared" ref="X80:X109" si="8">+E80-O80</f>
        <v>0</v>
      </c>
      <c r="AE80" s="1579" t="str">
        <f>+AE79</f>
        <v>No</v>
      </c>
    </row>
    <row r="81" spans="3:31" hidden="1" x14ac:dyDescent="0.25">
      <c r="C81" s="1697"/>
      <c r="D81" s="1689"/>
      <c r="E81" s="824"/>
      <c r="F81" s="824"/>
      <c r="G81" s="835"/>
      <c r="H81" s="835"/>
      <c r="I81" s="835"/>
      <c r="J81" s="836"/>
      <c r="K81" s="835"/>
      <c r="L81" s="835"/>
      <c r="M81" s="835"/>
      <c r="N81" s="835"/>
      <c r="O81" s="838"/>
      <c r="P81" s="824"/>
      <c r="Q81" s="835"/>
      <c r="R81" s="835"/>
      <c r="S81" s="835"/>
      <c r="T81" s="835"/>
      <c r="U81" s="835"/>
      <c r="V81" s="835"/>
      <c r="W81" s="825"/>
      <c r="X81" s="825">
        <f t="shared" si="8"/>
        <v>0</v>
      </c>
      <c r="AE81" s="841" t="str">
        <f>+AE80</f>
        <v>No</v>
      </c>
    </row>
    <row r="82" spans="3:31" hidden="1" x14ac:dyDescent="0.25">
      <c r="C82" s="1697"/>
      <c r="D82" s="835" t="s">
        <v>1791</v>
      </c>
      <c r="E82" s="824">
        <f>-N83</f>
        <v>0</v>
      </c>
      <c r="F82" s="824"/>
      <c r="G82" s="824"/>
      <c r="H82" s="824"/>
      <c r="I82" s="824"/>
      <c r="J82" s="824"/>
      <c r="K82" s="824"/>
      <c r="L82" s="824"/>
      <c r="M82" s="824"/>
      <c r="N82" s="825">
        <f>SUM(E82:F82,H82:M82)-G82</f>
        <v>0</v>
      </c>
      <c r="O82" s="838"/>
      <c r="P82" s="824"/>
      <c r="Q82" s="835"/>
      <c r="R82" s="835"/>
      <c r="S82" s="835"/>
      <c r="T82" s="835"/>
      <c r="U82" s="835"/>
      <c r="V82" s="826">
        <f>SUM(O82:P82,R82:U82)-Q82</f>
        <v>0</v>
      </c>
      <c r="W82" s="825">
        <f>N82-V82</f>
        <v>0</v>
      </c>
      <c r="X82" s="825">
        <f t="shared" si="8"/>
        <v>0</v>
      </c>
      <c r="AE82" s="1579" t="str">
        <f>+IF(AND(W83=0,W82=0),"No","Yes")</f>
        <v>No</v>
      </c>
    </row>
    <row r="83" spans="3:31" hidden="1" x14ac:dyDescent="0.25">
      <c r="C83" s="1697"/>
      <c r="D83" s="1689" t="s">
        <v>1774</v>
      </c>
      <c r="E83" s="824"/>
      <c r="F83" s="824"/>
      <c r="G83" s="835"/>
      <c r="H83" s="835"/>
      <c r="I83" s="835"/>
      <c r="J83" s="836"/>
      <c r="K83" s="835"/>
      <c r="L83" s="835"/>
      <c r="M83" s="835"/>
      <c r="N83" s="825">
        <f>SUM(E83:F83,H83:M83)-G83</f>
        <v>0</v>
      </c>
      <c r="O83" s="838"/>
      <c r="P83" s="824"/>
      <c r="Q83" s="835"/>
      <c r="R83" s="835"/>
      <c r="S83" s="835"/>
      <c r="T83" s="835"/>
      <c r="U83" s="835"/>
      <c r="V83" s="835"/>
      <c r="W83" s="825"/>
      <c r="X83" s="825">
        <f t="shared" si="8"/>
        <v>0</v>
      </c>
      <c r="AE83" s="1579" t="str">
        <f>+AE82</f>
        <v>No</v>
      </c>
    </row>
    <row r="84" spans="3:31" hidden="1" x14ac:dyDescent="0.25">
      <c r="C84" s="1697"/>
      <c r="D84" s="1689"/>
      <c r="E84" s="824"/>
      <c r="F84" s="824"/>
      <c r="G84" s="835"/>
      <c r="H84" s="835"/>
      <c r="I84" s="835"/>
      <c r="J84" s="836"/>
      <c r="K84" s="835"/>
      <c r="L84" s="835"/>
      <c r="M84" s="835"/>
      <c r="N84" s="835"/>
      <c r="O84" s="838"/>
      <c r="P84" s="824"/>
      <c r="Q84" s="835"/>
      <c r="R84" s="835"/>
      <c r="S84" s="835"/>
      <c r="T84" s="835"/>
      <c r="U84" s="835"/>
      <c r="V84" s="835"/>
      <c r="W84" s="825"/>
      <c r="X84" s="825">
        <f t="shared" si="8"/>
        <v>0</v>
      </c>
      <c r="AE84" s="841" t="str">
        <f>+AE83</f>
        <v>No</v>
      </c>
    </row>
    <row r="85" spans="3:31" x14ac:dyDescent="0.25">
      <c r="C85" s="1697"/>
      <c r="D85" s="835" t="s">
        <v>1783</v>
      </c>
      <c r="E85" s="824">
        <f>-N86</f>
        <v>2074</v>
      </c>
      <c r="F85" s="824">
        <v>0</v>
      </c>
      <c r="G85" s="824">
        <f>-E85</f>
        <v>-2074</v>
      </c>
      <c r="H85" s="824">
        <v>0</v>
      </c>
      <c r="I85" s="824">
        <v>0</v>
      </c>
      <c r="J85" s="824">
        <v>0</v>
      </c>
      <c r="K85" s="824">
        <v>0</v>
      </c>
      <c r="L85" s="824">
        <v>0</v>
      </c>
      <c r="M85" s="824">
        <v>0</v>
      </c>
      <c r="N85" s="824">
        <v>0</v>
      </c>
      <c r="O85" s="824">
        <f>-V86</f>
        <v>1960</v>
      </c>
      <c r="P85" s="824">
        <v>0</v>
      </c>
      <c r="Q85" s="824">
        <f>-O85</f>
        <v>-1960</v>
      </c>
      <c r="R85" s="824">
        <v>0</v>
      </c>
      <c r="S85" s="824">
        <v>0</v>
      </c>
      <c r="T85" s="824">
        <v>0</v>
      </c>
      <c r="U85" s="824">
        <v>0</v>
      </c>
      <c r="V85" s="824">
        <v>0</v>
      </c>
      <c r="W85" s="824">
        <v>0</v>
      </c>
      <c r="X85" s="825">
        <v>0</v>
      </c>
      <c r="AE85" s="1579" t="str">
        <f>+IF(AND(W86=0,W85=0),"No","Yes")</f>
        <v>Yes</v>
      </c>
    </row>
    <row r="86" spans="3:31" x14ac:dyDescent="0.25">
      <c r="C86" s="1697"/>
      <c r="D86" s="1689" t="s">
        <v>1774</v>
      </c>
      <c r="E86" s="824">
        <f>-525900/100</f>
        <v>-5259</v>
      </c>
      <c r="F86" s="824">
        <v>0</v>
      </c>
      <c r="G86" s="835">
        <f>-318500/100</f>
        <v>-3185</v>
      </c>
      <c r="H86" s="835"/>
      <c r="I86" s="835"/>
      <c r="J86" s="836"/>
      <c r="K86" s="835"/>
      <c r="L86" s="835"/>
      <c r="M86" s="835"/>
      <c r="N86" s="825">
        <f>-207400/100</f>
        <v>-2074</v>
      </c>
      <c r="O86" s="838">
        <f>-493400/100</f>
        <v>-4934</v>
      </c>
      <c r="P86" s="824">
        <v>-41</v>
      </c>
      <c r="Q86" s="835">
        <f>-301500/100</f>
        <v>-3015</v>
      </c>
      <c r="R86" s="835"/>
      <c r="S86" s="835"/>
      <c r="T86" s="835"/>
      <c r="U86" s="835"/>
      <c r="V86" s="835">
        <f>+O86+P86-Q86</f>
        <v>-1960</v>
      </c>
      <c r="W86" s="825">
        <f>+N86-V86</f>
        <v>-114</v>
      </c>
      <c r="X86" s="825">
        <f t="shared" si="8"/>
        <v>-325</v>
      </c>
      <c r="AE86" s="1579" t="str">
        <f>+AE85</f>
        <v>Yes</v>
      </c>
    </row>
    <row r="87" spans="3:31" x14ac:dyDescent="0.25">
      <c r="C87" s="1697"/>
      <c r="D87" s="1689"/>
      <c r="E87" s="824"/>
      <c r="F87" s="824"/>
      <c r="G87" s="835"/>
      <c r="H87" s="835"/>
      <c r="I87" s="835"/>
      <c r="J87" s="836"/>
      <c r="K87" s="835"/>
      <c r="L87" s="835"/>
      <c r="M87" s="835"/>
      <c r="N87" s="835"/>
      <c r="O87" s="838"/>
      <c r="P87" s="824"/>
      <c r="Q87" s="835"/>
      <c r="R87" s="835"/>
      <c r="S87" s="835"/>
      <c r="T87" s="835"/>
      <c r="U87" s="835"/>
      <c r="V87" s="835"/>
      <c r="W87" s="825"/>
      <c r="X87" s="825">
        <f t="shared" si="8"/>
        <v>0</v>
      </c>
      <c r="AE87" s="841" t="str">
        <f>+AE86</f>
        <v>Yes</v>
      </c>
    </row>
    <row r="88" spans="3:31" hidden="1" x14ac:dyDescent="0.25">
      <c r="C88" s="1697"/>
      <c r="D88" s="835" t="s">
        <v>1792</v>
      </c>
      <c r="E88" s="824">
        <f>-N89</f>
        <v>0</v>
      </c>
      <c r="F88" s="824"/>
      <c r="G88" s="824"/>
      <c r="H88" s="824"/>
      <c r="I88" s="824"/>
      <c r="J88" s="824"/>
      <c r="K88" s="824"/>
      <c r="L88" s="824"/>
      <c r="M88" s="824"/>
      <c r="N88" s="825">
        <f>SUM(E88:F88,H88:M88)-G88</f>
        <v>0</v>
      </c>
      <c r="O88" s="838"/>
      <c r="P88" s="824"/>
      <c r="Q88" s="835"/>
      <c r="R88" s="835"/>
      <c r="S88" s="835"/>
      <c r="T88" s="835"/>
      <c r="U88" s="835"/>
      <c r="V88" s="826">
        <f>SUM(O88:P88,R88:U88)-Q88</f>
        <v>0</v>
      </c>
      <c r="W88" s="825">
        <f>N88-V88</f>
        <v>0</v>
      </c>
      <c r="X88" s="825">
        <f t="shared" si="8"/>
        <v>0</v>
      </c>
      <c r="AE88" s="1579" t="str">
        <f>+IF(AND(W89=0,W88=0),"No","Yes")</f>
        <v>No</v>
      </c>
    </row>
    <row r="89" spans="3:31" hidden="1" x14ac:dyDescent="0.25">
      <c r="C89" s="1697"/>
      <c r="D89" s="1689" t="s">
        <v>1774</v>
      </c>
      <c r="E89" s="824"/>
      <c r="F89" s="824"/>
      <c r="G89" s="835"/>
      <c r="H89" s="835"/>
      <c r="I89" s="835"/>
      <c r="J89" s="836"/>
      <c r="K89" s="835"/>
      <c r="L89" s="835"/>
      <c r="M89" s="835"/>
      <c r="N89" s="825">
        <f>SUM(E89:F89,H89:M89)-G89</f>
        <v>0</v>
      </c>
      <c r="O89" s="838"/>
      <c r="P89" s="824"/>
      <c r="Q89" s="835"/>
      <c r="R89" s="835"/>
      <c r="S89" s="835"/>
      <c r="T89" s="835"/>
      <c r="U89" s="835"/>
      <c r="V89" s="835"/>
      <c r="W89" s="825"/>
      <c r="X89" s="825">
        <f t="shared" si="8"/>
        <v>0</v>
      </c>
      <c r="AE89" s="1579" t="str">
        <f>+AE88</f>
        <v>No</v>
      </c>
    </row>
    <row r="90" spans="3:31" hidden="1" x14ac:dyDescent="0.25">
      <c r="C90" s="1697"/>
      <c r="D90" s="1689"/>
      <c r="E90" s="824"/>
      <c r="F90" s="824"/>
      <c r="G90" s="835"/>
      <c r="H90" s="835"/>
      <c r="I90" s="835"/>
      <c r="J90" s="836"/>
      <c r="K90" s="835"/>
      <c r="L90" s="835"/>
      <c r="M90" s="835"/>
      <c r="N90" s="835"/>
      <c r="O90" s="838"/>
      <c r="P90" s="824"/>
      <c r="Q90" s="835"/>
      <c r="R90" s="835"/>
      <c r="S90" s="835"/>
      <c r="T90" s="835"/>
      <c r="U90" s="835"/>
      <c r="V90" s="835"/>
      <c r="W90" s="825"/>
      <c r="X90" s="825">
        <f t="shared" si="8"/>
        <v>0</v>
      </c>
      <c r="AE90" s="841" t="str">
        <f>+AE89</f>
        <v>No</v>
      </c>
    </row>
    <row r="91" spans="3:31" hidden="1" x14ac:dyDescent="0.25">
      <c r="C91" s="1697"/>
      <c r="D91" s="835" t="s">
        <v>1793</v>
      </c>
      <c r="E91" s="824">
        <f>-N92</f>
        <v>0</v>
      </c>
      <c r="F91" s="824"/>
      <c r="G91" s="824"/>
      <c r="H91" s="824"/>
      <c r="I91" s="824"/>
      <c r="J91" s="824"/>
      <c r="K91" s="824"/>
      <c r="L91" s="824"/>
      <c r="M91" s="824"/>
      <c r="N91" s="825">
        <f>SUM(E91:F91,H91:M91)-G91</f>
        <v>0</v>
      </c>
      <c r="O91" s="838"/>
      <c r="P91" s="824"/>
      <c r="Q91" s="835"/>
      <c r="R91" s="835"/>
      <c r="S91" s="835"/>
      <c r="T91" s="835"/>
      <c r="U91" s="835"/>
      <c r="V91" s="826">
        <f>SUM(O91:P91,R91:U91)-Q91</f>
        <v>0</v>
      </c>
      <c r="W91" s="825">
        <f>N91-V91</f>
        <v>0</v>
      </c>
      <c r="X91" s="825">
        <f t="shared" si="8"/>
        <v>0</v>
      </c>
      <c r="AE91" s="1579" t="str">
        <f>+IF(AND(W92=0,W91=0),"No","Yes")</f>
        <v>No</v>
      </c>
    </row>
    <row r="92" spans="3:31" hidden="1" x14ac:dyDescent="0.25">
      <c r="C92" s="1697"/>
      <c r="D92" s="1689" t="s">
        <v>1774</v>
      </c>
      <c r="E92" s="824"/>
      <c r="F92" s="824"/>
      <c r="G92" s="835"/>
      <c r="H92" s="835"/>
      <c r="I92" s="835"/>
      <c r="J92" s="836"/>
      <c r="K92" s="835"/>
      <c r="L92" s="835"/>
      <c r="M92" s="835"/>
      <c r="N92" s="825">
        <f>SUM(E92:F92,H92:M92)-G92</f>
        <v>0</v>
      </c>
      <c r="O92" s="838"/>
      <c r="P92" s="824"/>
      <c r="Q92" s="835"/>
      <c r="R92" s="835"/>
      <c r="S92" s="835"/>
      <c r="T92" s="835"/>
      <c r="U92" s="835"/>
      <c r="V92" s="835"/>
      <c r="W92" s="825"/>
      <c r="X92" s="825">
        <f t="shared" si="8"/>
        <v>0</v>
      </c>
      <c r="AE92" s="1579" t="str">
        <f>+AE91</f>
        <v>No</v>
      </c>
    </row>
    <row r="93" spans="3:31" hidden="1" x14ac:dyDescent="0.25">
      <c r="C93" s="1697"/>
      <c r="D93" s="1689"/>
      <c r="E93" s="824"/>
      <c r="F93" s="824"/>
      <c r="G93" s="835"/>
      <c r="H93" s="835"/>
      <c r="I93" s="835"/>
      <c r="J93" s="836"/>
      <c r="K93" s="835"/>
      <c r="L93" s="835"/>
      <c r="M93" s="835"/>
      <c r="N93" s="825"/>
      <c r="O93" s="838"/>
      <c r="P93" s="824"/>
      <c r="Q93" s="835"/>
      <c r="R93" s="835"/>
      <c r="S93" s="835"/>
      <c r="T93" s="835"/>
      <c r="U93" s="835"/>
      <c r="V93" s="835"/>
      <c r="W93" s="825"/>
      <c r="X93" s="825">
        <f t="shared" si="8"/>
        <v>0</v>
      </c>
      <c r="AE93" s="841" t="str">
        <f>+AE92</f>
        <v>No</v>
      </c>
    </row>
    <row r="94" spans="3:31" ht="33" hidden="1" x14ac:dyDescent="0.25">
      <c r="C94" s="835"/>
      <c r="D94" s="835" t="s">
        <v>1794</v>
      </c>
      <c r="E94" s="824">
        <f>-N95</f>
        <v>0</v>
      </c>
      <c r="F94" s="824"/>
      <c r="G94" s="824"/>
      <c r="H94" s="824"/>
      <c r="I94" s="824"/>
      <c r="J94" s="824"/>
      <c r="K94" s="824"/>
      <c r="L94" s="824"/>
      <c r="M94" s="824"/>
      <c r="N94" s="825">
        <f>SUM(E94:F94,H94:M94)-G94</f>
        <v>0</v>
      </c>
      <c r="O94" s="838"/>
      <c r="P94" s="824"/>
      <c r="Q94" s="835"/>
      <c r="R94" s="835"/>
      <c r="S94" s="835"/>
      <c r="T94" s="835"/>
      <c r="U94" s="835"/>
      <c r="V94" s="826">
        <f>SUM(O94:P94,R94:U94)-Q94</f>
        <v>0</v>
      </c>
      <c r="W94" s="825">
        <f>N94-V94</f>
        <v>0</v>
      </c>
      <c r="X94" s="825">
        <f t="shared" si="8"/>
        <v>0</v>
      </c>
      <c r="AE94" s="1579" t="str">
        <f>+IF(AND(W95=0,W94=0),"No","Yes")</f>
        <v>No</v>
      </c>
    </row>
    <row r="95" spans="3:31" hidden="1" x14ac:dyDescent="0.25">
      <c r="C95" s="1697"/>
      <c r="D95" s="1689" t="s">
        <v>1774</v>
      </c>
      <c r="E95" s="824"/>
      <c r="F95" s="824"/>
      <c r="G95" s="835"/>
      <c r="H95" s="835"/>
      <c r="I95" s="835"/>
      <c r="J95" s="836"/>
      <c r="K95" s="835"/>
      <c r="L95" s="835"/>
      <c r="M95" s="835"/>
      <c r="N95" s="825">
        <f>SUM(E95:F95,H95:M95)-G95</f>
        <v>0</v>
      </c>
      <c r="O95" s="838"/>
      <c r="P95" s="824"/>
      <c r="Q95" s="835"/>
      <c r="R95" s="835"/>
      <c r="S95" s="835"/>
      <c r="T95" s="835"/>
      <c r="U95" s="835"/>
      <c r="V95" s="835"/>
      <c r="W95" s="825"/>
      <c r="X95" s="825">
        <f t="shared" si="8"/>
        <v>0</v>
      </c>
      <c r="AE95" s="1579" t="str">
        <f>+AE94</f>
        <v>No</v>
      </c>
    </row>
    <row r="96" spans="3:31" hidden="1" x14ac:dyDescent="0.25">
      <c r="C96" s="1697"/>
      <c r="D96" s="1689"/>
      <c r="E96" s="824"/>
      <c r="F96" s="824"/>
      <c r="G96" s="835"/>
      <c r="H96" s="835"/>
      <c r="I96" s="835"/>
      <c r="J96" s="836"/>
      <c r="K96" s="835"/>
      <c r="L96" s="835"/>
      <c r="M96" s="835"/>
      <c r="N96" s="835"/>
      <c r="O96" s="838"/>
      <c r="P96" s="824"/>
      <c r="Q96" s="835"/>
      <c r="R96" s="835"/>
      <c r="S96" s="835"/>
      <c r="T96" s="835"/>
      <c r="U96" s="835"/>
      <c r="V96" s="835"/>
      <c r="W96" s="825"/>
      <c r="X96" s="825">
        <f t="shared" si="8"/>
        <v>0</v>
      </c>
      <c r="AE96" s="841" t="str">
        <f>+AE95</f>
        <v>No</v>
      </c>
    </row>
    <row r="97" spans="3:31" hidden="1" x14ac:dyDescent="0.25">
      <c r="C97" s="835"/>
      <c r="D97" s="835" t="s">
        <v>1795</v>
      </c>
      <c r="E97" s="824">
        <f>-N98</f>
        <v>0</v>
      </c>
      <c r="F97" s="824"/>
      <c r="G97" s="824"/>
      <c r="H97" s="824"/>
      <c r="I97" s="824"/>
      <c r="J97" s="824"/>
      <c r="K97" s="824"/>
      <c r="L97" s="824"/>
      <c r="M97" s="824"/>
      <c r="N97" s="825">
        <f>SUM(E97:F97,H97:M97)-G97</f>
        <v>0</v>
      </c>
      <c r="O97" s="838"/>
      <c r="P97" s="824"/>
      <c r="Q97" s="835"/>
      <c r="R97" s="835"/>
      <c r="S97" s="835"/>
      <c r="T97" s="835"/>
      <c r="U97" s="835"/>
      <c r="V97" s="826">
        <f>SUM(O97:P97,R97:U97)-Q97</f>
        <v>0</v>
      </c>
      <c r="W97" s="825">
        <f>N97-V97</f>
        <v>0</v>
      </c>
      <c r="X97" s="825">
        <f t="shared" si="8"/>
        <v>0</v>
      </c>
      <c r="AE97" s="1579" t="str">
        <f>+IF(AND(W98=0,W97=0),"No","Yes")</f>
        <v>No</v>
      </c>
    </row>
    <row r="98" spans="3:31" hidden="1" x14ac:dyDescent="0.25">
      <c r="C98" s="1697"/>
      <c r="D98" s="1689" t="s">
        <v>1774</v>
      </c>
      <c r="E98" s="824"/>
      <c r="F98" s="824"/>
      <c r="G98" s="835"/>
      <c r="H98" s="835"/>
      <c r="I98" s="835"/>
      <c r="J98" s="836"/>
      <c r="K98" s="835"/>
      <c r="L98" s="835"/>
      <c r="M98" s="835"/>
      <c r="N98" s="825">
        <f>SUM(E98:F98,H98:M98)-G98</f>
        <v>0</v>
      </c>
      <c r="O98" s="838"/>
      <c r="P98" s="824"/>
      <c r="Q98" s="835"/>
      <c r="R98" s="835"/>
      <c r="S98" s="835"/>
      <c r="T98" s="835"/>
      <c r="U98" s="835"/>
      <c r="V98" s="835"/>
      <c r="W98" s="825"/>
      <c r="X98" s="825">
        <f t="shared" si="8"/>
        <v>0</v>
      </c>
      <c r="AE98" s="1579" t="str">
        <f>+AE97</f>
        <v>No</v>
      </c>
    </row>
    <row r="99" spans="3:31" hidden="1" x14ac:dyDescent="0.25">
      <c r="C99" s="1697"/>
      <c r="D99" s="1689"/>
      <c r="E99" s="824"/>
      <c r="F99" s="824"/>
      <c r="G99" s="835"/>
      <c r="H99" s="835"/>
      <c r="I99" s="835"/>
      <c r="J99" s="836"/>
      <c r="K99" s="835"/>
      <c r="L99" s="835"/>
      <c r="M99" s="835"/>
      <c r="N99" s="835"/>
      <c r="O99" s="838"/>
      <c r="P99" s="824"/>
      <c r="Q99" s="835"/>
      <c r="R99" s="835"/>
      <c r="S99" s="835"/>
      <c r="T99" s="835"/>
      <c r="U99" s="835"/>
      <c r="V99" s="835"/>
      <c r="W99" s="825"/>
      <c r="X99" s="825">
        <f t="shared" si="8"/>
        <v>0</v>
      </c>
      <c r="AE99" s="841" t="str">
        <f>+AE98</f>
        <v>No</v>
      </c>
    </row>
    <row r="100" spans="3:31" hidden="1" x14ac:dyDescent="0.25">
      <c r="C100" s="835"/>
      <c r="D100" s="835" t="s">
        <v>1796</v>
      </c>
      <c r="E100" s="824">
        <f>-N101</f>
        <v>0</v>
      </c>
      <c r="F100" s="824"/>
      <c r="G100" s="824"/>
      <c r="H100" s="824"/>
      <c r="I100" s="824"/>
      <c r="J100" s="824"/>
      <c r="K100" s="824"/>
      <c r="L100" s="824"/>
      <c r="M100" s="824"/>
      <c r="N100" s="825">
        <f>SUM(E100:F100,H100:M100)-G100</f>
        <v>0</v>
      </c>
      <c r="O100" s="838"/>
      <c r="P100" s="824"/>
      <c r="Q100" s="835"/>
      <c r="R100" s="835"/>
      <c r="S100" s="835"/>
      <c r="T100" s="835"/>
      <c r="U100" s="835"/>
      <c r="V100" s="826">
        <f>SUM(O100:P100,R100:U100)-Q100</f>
        <v>0</v>
      </c>
      <c r="W100" s="825">
        <f>N100-V100</f>
        <v>0</v>
      </c>
      <c r="X100" s="825">
        <f t="shared" si="8"/>
        <v>0</v>
      </c>
      <c r="AE100" s="1579" t="str">
        <f>+IF(AND(W101=0,W100=0),"No","Yes")</f>
        <v>No</v>
      </c>
    </row>
    <row r="101" spans="3:31" hidden="1" x14ac:dyDescent="0.25">
      <c r="C101" s="1697"/>
      <c r="D101" s="1689" t="s">
        <v>1774</v>
      </c>
      <c r="E101" s="824"/>
      <c r="F101" s="824"/>
      <c r="G101" s="835"/>
      <c r="H101" s="835"/>
      <c r="I101" s="835"/>
      <c r="J101" s="836"/>
      <c r="K101" s="835"/>
      <c r="L101" s="835"/>
      <c r="M101" s="835"/>
      <c r="N101" s="825">
        <f>SUM(E101:F101,H101:M101)-G101</f>
        <v>0</v>
      </c>
      <c r="O101" s="838"/>
      <c r="P101" s="824"/>
      <c r="Q101" s="835"/>
      <c r="R101" s="835"/>
      <c r="S101" s="835"/>
      <c r="T101" s="835"/>
      <c r="U101" s="835"/>
      <c r="V101" s="835"/>
      <c r="W101" s="825"/>
      <c r="X101" s="825">
        <f t="shared" si="8"/>
        <v>0</v>
      </c>
      <c r="AE101" s="1579" t="str">
        <f>+AE100</f>
        <v>No</v>
      </c>
    </row>
    <row r="102" spans="3:31" hidden="1" x14ac:dyDescent="0.25">
      <c r="C102" s="1697"/>
      <c r="D102" s="1689"/>
      <c r="E102" s="824"/>
      <c r="F102" s="824"/>
      <c r="G102" s="835"/>
      <c r="H102" s="835"/>
      <c r="I102" s="835"/>
      <c r="J102" s="836"/>
      <c r="K102" s="835"/>
      <c r="L102" s="835"/>
      <c r="M102" s="835"/>
      <c r="N102" s="835"/>
      <c r="O102" s="838"/>
      <c r="P102" s="824"/>
      <c r="Q102" s="835"/>
      <c r="R102" s="835"/>
      <c r="S102" s="835"/>
      <c r="T102" s="835"/>
      <c r="U102" s="835"/>
      <c r="V102" s="835"/>
      <c r="W102" s="825"/>
      <c r="X102" s="825"/>
      <c r="AE102" s="841" t="str">
        <f>+AE101</f>
        <v>No</v>
      </c>
    </row>
    <row r="103" spans="3:31" hidden="1" x14ac:dyDescent="0.25">
      <c r="C103" s="1697"/>
      <c r="D103" s="835" t="s">
        <v>1797</v>
      </c>
      <c r="E103" s="824">
        <f>-N104</f>
        <v>0</v>
      </c>
      <c r="F103" s="824"/>
      <c r="G103" s="824"/>
      <c r="H103" s="824"/>
      <c r="I103" s="824"/>
      <c r="J103" s="824"/>
      <c r="K103" s="824"/>
      <c r="L103" s="824"/>
      <c r="M103" s="824"/>
      <c r="N103" s="825">
        <f>SUM(E103:F103,H103:M103)-G103</f>
        <v>0</v>
      </c>
      <c r="O103" s="838">
        <f>-V104</f>
        <v>0</v>
      </c>
      <c r="P103" s="824"/>
      <c r="Q103" s="835"/>
      <c r="R103" s="835"/>
      <c r="S103" s="835"/>
      <c r="T103" s="835"/>
      <c r="U103" s="835"/>
      <c r="V103" s="826">
        <f>SUM(O103:P103,R103:U103)-Q103</f>
        <v>0</v>
      </c>
      <c r="W103" s="825">
        <f>N103-V103</f>
        <v>0</v>
      </c>
      <c r="X103" s="825">
        <f t="shared" si="8"/>
        <v>0</v>
      </c>
      <c r="AE103" s="1579" t="str">
        <f>+IF(AND(W104=0,W103=0),"No","Yes")</f>
        <v>No</v>
      </c>
    </row>
    <row r="104" spans="3:31" hidden="1" x14ac:dyDescent="0.25">
      <c r="C104" s="1697"/>
      <c r="D104" s="1689" t="s">
        <v>1774</v>
      </c>
      <c r="E104" s="824"/>
      <c r="F104" s="824"/>
      <c r="G104" s="835"/>
      <c r="H104" s="835"/>
      <c r="I104" s="835"/>
      <c r="J104" s="836"/>
      <c r="K104" s="835"/>
      <c r="L104" s="835"/>
      <c r="M104" s="835"/>
      <c r="N104" s="825">
        <f>SUM(E104:F104,H104:M104)-G104</f>
        <v>0</v>
      </c>
      <c r="O104" s="838"/>
      <c r="P104" s="824"/>
      <c r="Q104" s="835"/>
      <c r="R104" s="835"/>
      <c r="S104" s="835"/>
      <c r="T104" s="835"/>
      <c r="U104" s="835"/>
      <c r="V104" s="826">
        <f>SUM(O104:P104,R104:U104)-Q104</f>
        <v>0</v>
      </c>
      <c r="W104" s="825">
        <f>N104-V104</f>
        <v>0</v>
      </c>
      <c r="X104" s="825">
        <f t="shared" si="8"/>
        <v>0</v>
      </c>
      <c r="AE104" s="1579" t="str">
        <f>+AE103</f>
        <v>No</v>
      </c>
    </row>
    <row r="105" spans="3:31" hidden="1" x14ac:dyDescent="0.25">
      <c r="C105" s="1697"/>
      <c r="D105" s="1689"/>
      <c r="E105" s="824"/>
      <c r="F105" s="824"/>
      <c r="G105" s="835"/>
      <c r="H105" s="835"/>
      <c r="I105" s="835"/>
      <c r="J105" s="836"/>
      <c r="K105" s="835"/>
      <c r="L105" s="835"/>
      <c r="M105" s="835"/>
      <c r="N105" s="835"/>
      <c r="O105" s="838"/>
      <c r="P105" s="824"/>
      <c r="Q105" s="835"/>
      <c r="R105" s="835"/>
      <c r="S105" s="835"/>
      <c r="T105" s="835"/>
      <c r="U105" s="835"/>
      <c r="V105" s="835"/>
      <c r="W105" s="825"/>
      <c r="X105" s="825"/>
      <c r="AE105" s="841" t="str">
        <f>+AE104</f>
        <v>No</v>
      </c>
    </row>
    <row r="106" spans="3:31" hidden="1" x14ac:dyDescent="0.25">
      <c r="C106" s="835"/>
      <c r="D106" s="835" t="s">
        <v>1798</v>
      </c>
      <c r="E106" s="824">
        <f>-N107</f>
        <v>0</v>
      </c>
      <c r="F106" s="824"/>
      <c r="G106" s="824"/>
      <c r="H106" s="824"/>
      <c r="I106" s="824"/>
      <c r="J106" s="824"/>
      <c r="K106" s="824"/>
      <c r="L106" s="824"/>
      <c r="M106" s="824"/>
      <c r="N106" s="825">
        <f>SUM(E106:F106,H106:M106)-G106</f>
        <v>0</v>
      </c>
      <c r="O106" s="838">
        <f>-V107</f>
        <v>0</v>
      </c>
      <c r="P106" s="824"/>
      <c r="Q106" s="835"/>
      <c r="R106" s="835"/>
      <c r="S106" s="835"/>
      <c r="T106" s="835"/>
      <c r="U106" s="835"/>
      <c r="V106" s="826">
        <f>SUM(O106:P106,R106:U106)-Q106</f>
        <v>0</v>
      </c>
      <c r="W106" s="825">
        <f>N106-V106</f>
        <v>0</v>
      </c>
      <c r="X106" s="825">
        <f t="shared" si="8"/>
        <v>0</v>
      </c>
      <c r="AE106" s="1579" t="str">
        <f>+IF(AND(W107=0,W106=0),"No","Yes")</f>
        <v>No</v>
      </c>
    </row>
    <row r="107" spans="3:31" hidden="1" x14ac:dyDescent="0.25">
      <c r="C107" s="1697"/>
      <c r="D107" s="1689" t="s">
        <v>1774</v>
      </c>
      <c r="E107" s="824"/>
      <c r="F107" s="824"/>
      <c r="G107" s="824"/>
      <c r="H107" s="824"/>
      <c r="I107" s="824"/>
      <c r="J107" s="824"/>
      <c r="K107" s="824"/>
      <c r="L107" s="824"/>
      <c r="M107" s="824"/>
      <c r="N107" s="825">
        <f>SUM(E107:F107,H107:M107)-G107</f>
        <v>0</v>
      </c>
      <c r="O107" s="838"/>
      <c r="P107" s="824"/>
      <c r="Q107" s="835"/>
      <c r="R107" s="835"/>
      <c r="S107" s="835"/>
      <c r="T107" s="835"/>
      <c r="U107" s="835"/>
      <c r="V107" s="826">
        <f>SUM(O107:P107,R107:U107)-Q107</f>
        <v>0</v>
      </c>
      <c r="W107" s="825">
        <f>N107-V107</f>
        <v>0</v>
      </c>
      <c r="X107" s="825">
        <f t="shared" si="8"/>
        <v>0</v>
      </c>
      <c r="AE107" s="1579" t="str">
        <f>+AE106</f>
        <v>No</v>
      </c>
    </row>
    <row r="108" spans="3:31" x14ac:dyDescent="0.25">
      <c r="C108" s="1697"/>
      <c r="D108" s="1689"/>
      <c r="E108" s="824"/>
      <c r="F108" s="824"/>
      <c r="G108" s="835"/>
      <c r="H108" s="835"/>
      <c r="I108" s="835"/>
      <c r="J108" s="836"/>
      <c r="K108" s="835"/>
      <c r="L108" s="835"/>
      <c r="M108" s="835"/>
      <c r="N108" s="842"/>
      <c r="O108" s="838"/>
      <c r="P108" s="824"/>
      <c r="Q108" s="835"/>
      <c r="R108" s="835"/>
      <c r="S108" s="835"/>
      <c r="T108" s="835"/>
      <c r="U108" s="835"/>
      <c r="V108" s="835"/>
      <c r="W108" s="830"/>
      <c r="X108" s="830"/>
      <c r="AE108" s="841" t="str">
        <f>+AE107</f>
        <v>No</v>
      </c>
    </row>
    <row r="109" spans="3:31" hidden="1" x14ac:dyDescent="0.25">
      <c r="C109" s="1697"/>
      <c r="D109" s="1698" t="s">
        <v>1799</v>
      </c>
      <c r="E109" s="843">
        <f t="shared" ref="E109:M110" si="9">E79+E82+E85+E88+E91+E94+E97+E100+E106+E103</f>
        <v>2074</v>
      </c>
      <c r="F109" s="843">
        <f t="shared" si="9"/>
        <v>0</v>
      </c>
      <c r="G109" s="843">
        <f t="shared" si="9"/>
        <v>-2074</v>
      </c>
      <c r="H109" s="843">
        <f t="shared" ref="H109:M109" si="10">H79+H82+H85+H88+H91+H94+H97+H100+H106</f>
        <v>0</v>
      </c>
      <c r="I109" s="843">
        <f t="shared" si="10"/>
        <v>0</v>
      </c>
      <c r="J109" s="843">
        <f t="shared" si="10"/>
        <v>0</v>
      </c>
      <c r="K109" s="843">
        <f t="shared" si="10"/>
        <v>0</v>
      </c>
      <c r="L109" s="843">
        <f t="shared" si="10"/>
        <v>0</v>
      </c>
      <c r="M109" s="843">
        <f t="shared" si="10"/>
        <v>0</v>
      </c>
      <c r="N109" s="843">
        <f t="shared" ref="N109:V109" si="11">N79+N82+N85+N88+N91+N94+N97+N100+N106+N103</f>
        <v>0</v>
      </c>
      <c r="O109" s="843">
        <f t="shared" si="11"/>
        <v>1960</v>
      </c>
      <c r="P109" s="843">
        <f>P79+P82+P85+P88+P91+P94+P97+P100+P106+P103</f>
        <v>0</v>
      </c>
      <c r="Q109" s="843">
        <f t="shared" si="11"/>
        <v>-1960</v>
      </c>
      <c r="R109" s="843">
        <f t="shared" si="11"/>
        <v>0</v>
      </c>
      <c r="S109" s="843">
        <f t="shared" si="11"/>
        <v>0</v>
      </c>
      <c r="T109" s="843">
        <f t="shared" si="11"/>
        <v>0</v>
      </c>
      <c r="U109" s="843">
        <f t="shared" si="11"/>
        <v>0</v>
      </c>
      <c r="V109" s="843">
        <f t="shared" si="11"/>
        <v>0</v>
      </c>
      <c r="W109" s="843">
        <f>W79+W82+W85+W88+W91+W94+W97+W100+W106+W103</f>
        <v>0</v>
      </c>
      <c r="X109" s="825">
        <f t="shared" si="8"/>
        <v>114</v>
      </c>
      <c r="AE109" s="1579" t="str">
        <f>+IF(AND(W110=0,W109=0),"No","Yes")</f>
        <v>Yes</v>
      </c>
    </row>
    <row r="110" spans="3:31" hidden="1" x14ac:dyDescent="0.25">
      <c r="C110" s="1697"/>
      <c r="D110" s="1690" t="s">
        <v>1774</v>
      </c>
      <c r="E110" s="832">
        <f>E80+E83+E86+E89+E92+E95+E98+E101+E107+E104</f>
        <v>-5259</v>
      </c>
      <c r="F110" s="832">
        <f t="shared" si="9"/>
        <v>0</v>
      </c>
      <c r="G110" s="832">
        <f t="shared" si="9"/>
        <v>-3185</v>
      </c>
      <c r="H110" s="832">
        <f t="shared" si="9"/>
        <v>0</v>
      </c>
      <c r="I110" s="832">
        <f t="shared" si="9"/>
        <v>0</v>
      </c>
      <c r="J110" s="832">
        <f t="shared" si="9"/>
        <v>0</v>
      </c>
      <c r="K110" s="832">
        <f t="shared" si="9"/>
        <v>0</v>
      </c>
      <c r="L110" s="832">
        <f t="shared" si="9"/>
        <v>0</v>
      </c>
      <c r="M110" s="832">
        <f t="shared" si="9"/>
        <v>0</v>
      </c>
      <c r="N110" s="832">
        <f>N80+N83+N86+N89+N92+N95+N98+N101+N107+N104</f>
        <v>-2074</v>
      </c>
      <c r="O110" s="832">
        <f>O80+O83+O86+O89+O92+O95+O98+O101+O107+O104</f>
        <v>-4934</v>
      </c>
      <c r="P110" s="832">
        <f t="shared" ref="P110:V110" si="12">P80+P83+P86+P89+P92+P95+P98+P101+P107+P104</f>
        <v>-41</v>
      </c>
      <c r="Q110" s="832">
        <f t="shared" si="12"/>
        <v>-3015</v>
      </c>
      <c r="R110" s="832">
        <f t="shared" si="12"/>
        <v>0</v>
      </c>
      <c r="S110" s="832">
        <f t="shared" si="12"/>
        <v>0</v>
      </c>
      <c r="T110" s="832">
        <f t="shared" si="12"/>
        <v>0</v>
      </c>
      <c r="U110" s="832">
        <f t="shared" si="12"/>
        <v>0</v>
      </c>
      <c r="V110" s="832">
        <f t="shared" si="12"/>
        <v>-1960</v>
      </c>
      <c r="W110" s="832">
        <f>W80+W83+W86+W89+W92+W95+W98+W101+W107+W104</f>
        <v>-114</v>
      </c>
      <c r="X110" s="832">
        <f>+X86</f>
        <v>-325</v>
      </c>
      <c r="AE110" s="1579" t="str">
        <f>+AE109</f>
        <v>Yes</v>
      </c>
    </row>
    <row r="111" spans="3:31" hidden="1" x14ac:dyDescent="0.25">
      <c r="C111" s="1697"/>
      <c r="D111" s="1690"/>
      <c r="E111" s="832"/>
      <c r="F111" s="832"/>
      <c r="G111" s="832"/>
      <c r="H111" s="832"/>
      <c r="I111" s="832"/>
      <c r="J111" s="832"/>
      <c r="K111" s="832"/>
      <c r="L111" s="832"/>
      <c r="M111" s="832"/>
      <c r="N111" s="832"/>
      <c r="O111" s="831"/>
      <c r="P111" s="831"/>
      <c r="Q111" s="831"/>
      <c r="R111" s="831"/>
      <c r="S111" s="831"/>
      <c r="T111" s="831"/>
      <c r="U111" s="831"/>
      <c r="V111" s="831"/>
      <c r="W111" s="831"/>
      <c r="X111" s="831"/>
      <c r="AE111" s="1579"/>
    </row>
    <row r="112" spans="3:31" x14ac:dyDescent="0.25">
      <c r="C112" s="1697"/>
      <c r="D112" s="1690" t="s">
        <v>1800</v>
      </c>
      <c r="E112" s="832">
        <f>+E109</f>
        <v>2074</v>
      </c>
      <c r="F112" s="832">
        <f t="shared" ref="F112:X112" si="13">+F109</f>
        <v>0</v>
      </c>
      <c r="G112" s="832">
        <f t="shared" si="13"/>
        <v>-2074</v>
      </c>
      <c r="H112" s="832">
        <f t="shared" si="13"/>
        <v>0</v>
      </c>
      <c r="I112" s="832">
        <f t="shared" si="13"/>
        <v>0</v>
      </c>
      <c r="J112" s="832">
        <f t="shared" si="13"/>
        <v>0</v>
      </c>
      <c r="K112" s="832">
        <f t="shared" si="13"/>
        <v>0</v>
      </c>
      <c r="L112" s="832">
        <f t="shared" si="13"/>
        <v>0</v>
      </c>
      <c r="M112" s="832">
        <f t="shared" si="13"/>
        <v>0</v>
      </c>
      <c r="N112" s="832">
        <f t="shared" si="13"/>
        <v>0</v>
      </c>
      <c r="O112" s="832">
        <f t="shared" si="13"/>
        <v>1960</v>
      </c>
      <c r="P112" s="832">
        <f t="shared" si="13"/>
        <v>0</v>
      </c>
      <c r="Q112" s="832">
        <f t="shared" si="13"/>
        <v>-1960</v>
      </c>
      <c r="R112" s="832">
        <f t="shared" si="13"/>
        <v>0</v>
      </c>
      <c r="S112" s="832">
        <f t="shared" si="13"/>
        <v>0</v>
      </c>
      <c r="T112" s="832">
        <f t="shared" si="13"/>
        <v>0</v>
      </c>
      <c r="U112" s="832">
        <f t="shared" si="13"/>
        <v>0</v>
      </c>
      <c r="V112" s="832">
        <f t="shared" si="13"/>
        <v>0</v>
      </c>
      <c r="W112" s="832">
        <f t="shared" si="13"/>
        <v>0</v>
      </c>
      <c r="X112" s="832">
        <f t="shared" si="13"/>
        <v>114</v>
      </c>
      <c r="Y112" s="841">
        <f>+Y76*100</f>
        <v>250845.1</v>
      </c>
      <c r="AE112" s="1579" t="str">
        <f>+IF(AND(W113=0,W112=0),"No","Yes")</f>
        <v>Yes</v>
      </c>
    </row>
    <row r="113" spans="3:38" x14ac:dyDescent="0.25">
      <c r="C113" s="2657"/>
      <c r="D113" s="1690" t="s">
        <v>1774</v>
      </c>
      <c r="E113" s="832">
        <f>+E110</f>
        <v>-5259</v>
      </c>
      <c r="F113" s="832">
        <f t="shared" ref="F113:X113" si="14">+F110</f>
        <v>0</v>
      </c>
      <c r="G113" s="832">
        <f t="shared" si="14"/>
        <v>-3185</v>
      </c>
      <c r="H113" s="832">
        <f t="shared" si="14"/>
        <v>0</v>
      </c>
      <c r="I113" s="832">
        <f t="shared" si="14"/>
        <v>0</v>
      </c>
      <c r="J113" s="832">
        <f t="shared" si="14"/>
        <v>0</v>
      </c>
      <c r="K113" s="832">
        <f t="shared" si="14"/>
        <v>0</v>
      </c>
      <c r="L113" s="832">
        <f t="shared" si="14"/>
        <v>0</v>
      </c>
      <c r="M113" s="832">
        <f t="shared" si="14"/>
        <v>0</v>
      </c>
      <c r="N113" s="832">
        <f t="shared" si="14"/>
        <v>-2074</v>
      </c>
      <c r="O113" s="832">
        <f t="shared" si="14"/>
        <v>-4934</v>
      </c>
      <c r="P113" s="832">
        <f t="shared" si="14"/>
        <v>-41</v>
      </c>
      <c r="Q113" s="832">
        <f t="shared" si="14"/>
        <v>-3015</v>
      </c>
      <c r="R113" s="832">
        <f t="shared" si="14"/>
        <v>0</v>
      </c>
      <c r="S113" s="832">
        <f t="shared" si="14"/>
        <v>0</v>
      </c>
      <c r="T113" s="832">
        <f t="shared" si="14"/>
        <v>0</v>
      </c>
      <c r="U113" s="832">
        <f t="shared" si="14"/>
        <v>0</v>
      </c>
      <c r="V113" s="832">
        <f t="shared" si="14"/>
        <v>-1960</v>
      </c>
      <c r="W113" s="832">
        <f t="shared" si="14"/>
        <v>-114</v>
      </c>
      <c r="X113" s="832">
        <f t="shared" si="14"/>
        <v>-325</v>
      </c>
      <c r="AE113" s="1579" t="str">
        <f>+AE112</f>
        <v>Yes</v>
      </c>
    </row>
    <row r="114" spans="3:38" x14ac:dyDescent="0.25">
      <c r="C114" s="1688"/>
      <c r="D114" s="1699"/>
      <c r="E114" s="1172"/>
      <c r="F114" s="1172"/>
      <c r="G114" s="1172"/>
      <c r="H114" s="1172"/>
      <c r="I114" s="1172"/>
      <c r="J114" s="1172"/>
      <c r="K114" s="1172"/>
      <c r="L114" s="1172"/>
      <c r="M114" s="1172"/>
      <c r="N114" s="1172"/>
      <c r="O114" s="1172"/>
      <c r="P114" s="1172"/>
      <c r="Q114" s="1172"/>
      <c r="R114" s="1172"/>
      <c r="S114" s="1172"/>
      <c r="T114" s="1172"/>
      <c r="U114" s="1172"/>
      <c r="V114" s="1172"/>
      <c r="W114" s="1172"/>
      <c r="X114" s="1172"/>
      <c r="AE114" s="1579" t="str">
        <f>+AE113</f>
        <v>Yes</v>
      </c>
    </row>
    <row r="115" spans="3:38" x14ac:dyDescent="0.25">
      <c r="C115" s="1688"/>
      <c r="D115" s="1699"/>
      <c r="E115" s="1172"/>
      <c r="F115" s="1172"/>
      <c r="G115" s="1172"/>
      <c r="H115" s="1172"/>
      <c r="I115" s="1172"/>
      <c r="J115" s="1172"/>
      <c r="K115" s="1172"/>
      <c r="L115" s="1172"/>
      <c r="M115" s="1172"/>
      <c r="N115" s="1172"/>
      <c r="O115" s="1172"/>
      <c r="P115" s="1172"/>
      <c r="Q115" s="1172"/>
      <c r="R115" s="1172"/>
      <c r="S115" s="1172"/>
      <c r="T115" s="1172"/>
      <c r="U115" s="1172"/>
      <c r="V115" s="1172"/>
      <c r="W115" s="1172"/>
      <c r="X115" s="1172"/>
      <c r="AE115" s="1579">
        <f>+AE116</f>
        <v>0</v>
      </c>
    </row>
    <row r="116" spans="3:38" x14ac:dyDescent="0.25">
      <c r="C116" s="1700"/>
      <c r="D116" s="1394" t="str">
        <f>+"Note "&amp;'Balance Sheet'!E45&amp;IF(AE51="Yes","C","B")&amp;" Depreciation and Amortization Expenses"</f>
        <v>Note 8C Depreciation and Amortization Expenses</v>
      </c>
      <c r="E116" s="841"/>
      <c r="F116" s="841"/>
      <c r="G116" s="1701"/>
      <c r="H116" s="1701"/>
      <c r="I116" s="1701"/>
      <c r="J116" s="1701"/>
      <c r="K116" s="1701"/>
      <c r="L116" s="1701"/>
      <c r="M116" s="1701"/>
      <c r="N116" s="1701"/>
      <c r="O116" s="1701"/>
      <c r="P116" s="1701"/>
      <c r="Q116" s="1701"/>
      <c r="R116" s="1701"/>
      <c r="S116" s="1701"/>
      <c r="T116" s="1701"/>
      <c r="U116" s="1701"/>
      <c r="V116" s="1701"/>
      <c r="W116" s="1701"/>
      <c r="X116" s="1701"/>
      <c r="Y116" s="836"/>
      <c r="Z116" s="836"/>
      <c r="AA116" s="836"/>
      <c r="AB116" s="836"/>
      <c r="AC116" s="836"/>
      <c r="AD116" s="836"/>
      <c r="AE116" s="836"/>
      <c r="AF116" s="836"/>
      <c r="AG116" s="836"/>
      <c r="AH116" s="836"/>
      <c r="AI116" s="836"/>
      <c r="AJ116" s="836"/>
      <c r="AK116" s="836"/>
      <c r="AL116" s="836"/>
    </row>
    <row r="117" spans="3:38" x14ac:dyDescent="0.25">
      <c r="C117" s="1702"/>
      <c r="D117" s="1394"/>
      <c r="E117" s="841"/>
      <c r="F117" s="841"/>
      <c r="G117" s="1703"/>
      <c r="H117" s="1703"/>
      <c r="I117" s="1703"/>
      <c r="J117" s="1703"/>
      <c r="K117" s="1703"/>
      <c r="L117" s="1703"/>
      <c r="M117" s="1703"/>
      <c r="N117" s="1703"/>
      <c r="O117" s="1703"/>
      <c r="P117" s="1703"/>
      <c r="Q117" s="1703"/>
      <c r="R117" s="1703"/>
      <c r="S117" s="1703"/>
      <c r="T117" s="1703"/>
      <c r="U117" s="1703"/>
      <c r="V117" s="1703"/>
      <c r="W117" s="1703"/>
      <c r="X117" s="1703"/>
      <c r="Y117" s="836"/>
      <c r="Z117" s="836"/>
      <c r="AA117" s="836"/>
      <c r="AB117" s="836"/>
      <c r="AC117" s="836"/>
      <c r="AD117" s="836"/>
      <c r="AE117" s="829"/>
      <c r="AF117" s="836"/>
      <c r="AG117" s="836"/>
      <c r="AH117" s="836"/>
      <c r="AI117" s="836"/>
      <c r="AJ117" s="836"/>
      <c r="AK117" s="836"/>
      <c r="AL117" s="836"/>
    </row>
    <row r="118" spans="3:38" ht="45" x14ac:dyDescent="0.25">
      <c r="C118" s="1704"/>
      <c r="D118" s="2529" t="s">
        <v>20</v>
      </c>
      <c r="E118" s="2530" t="str">
        <f>+PLCY</f>
        <v>For the Year ended 31st March 2025</v>
      </c>
      <c r="F118" s="2530" t="str">
        <f>+PLPY</f>
        <v>For the Year ended 31st March 2024</v>
      </c>
      <c r="G118" s="1172"/>
      <c r="H118" s="1172"/>
      <c r="I118" s="1172"/>
      <c r="J118" s="1172"/>
      <c r="K118" s="1172"/>
      <c r="L118" s="1172"/>
      <c r="M118" s="1172"/>
      <c r="N118" s="1172"/>
      <c r="O118" s="1172"/>
      <c r="P118" s="1172"/>
      <c r="Q118" s="1172"/>
      <c r="R118" s="1172"/>
      <c r="S118" s="1172"/>
      <c r="T118" s="1172"/>
      <c r="U118" s="1172"/>
      <c r="V118" s="1172"/>
      <c r="W118" s="1172"/>
      <c r="X118" s="1172"/>
      <c r="Y118" s="836"/>
      <c r="Z118" s="836"/>
      <c r="AA118" s="836"/>
      <c r="AB118" s="836"/>
      <c r="AC118" s="836"/>
      <c r="AD118" s="836"/>
      <c r="AE118" s="829"/>
      <c r="AF118" s="836"/>
      <c r="AG118" s="836"/>
      <c r="AH118" s="836"/>
      <c r="AI118" s="836"/>
      <c r="AJ118" s="836"/>
      <c r="AK118" s="836"/>
      <c r="AL118" s="836"/>
    </row>
    <row r="119" spans="3:38" x14ac:dyDescent="0.25">
      <c r="C119" s="1704"/>
      <c r="D119" s="1207"/>
      <c r="E119" s="1179" t="s">
        <v>1801</v>
      </c>
      <c r="F119" s="1179" t="s">
        <v>1801</v>
      </c>
      <c r="G119" s="838"/>
      <c r="H119" s="838"/>
      <c r="I119" s="838"/>
      <c r="J119" s="838"/>
      <c r="K119" s="838"/>
      <c r="L119" s="838"/>
      <c r="M119" s="838"/>
      <c r="N119" s="838"/>
      <c r="O119" s="838"/>
      <c r="P119" s="838"/>
      <c r="Q119" s="1503"/>
      <c r="R119" s="1503"/>
      <c r="S119" s="1503"/>
      <c r="T119" s="1503"/>
      <c r="U119" s="1503"/>
      <c r="V119" s="838"/>
      <c r="W119" s="838"/>
      <c r="X119" s="838"/>
      <c r="Y119" s="836"/>
      <c r="Z119" s="836"/>
      <c r="AA119" s="836"/>
      <c r="AB119" s="836"/>
      <c r="AC119" s="836"/>
      <c r="AD119" s="836"/>
      <c r="AE119" s="829"/>
      <c r="AF119" s="836"/>
      <c r="AG119" s="836"/>
      <c r="AH119" s="836"/>
      <c r="AI119" s="836"/>
      <c r="AJ119" s="836"/>
      <c r="AK119" s="836"/>
      <c r="AL119" s="836"/>
    </row>
    <row r="120" spans="3:38" x14ac:dyDescent="0.25">
      <c r="C120" s="1503"/>
      <c r="D120" s="1576"/>
      <c r="E120" s="845"/>
      <c r="F120" s="846"/>
      <c r="G120" s="838"/>
      <c r="H120" s="838"/>
      <c r="I120" s="838"/>
      <c r="J120" s="838"/>
      <c r="K120" s="838"/>
      <c r="L120" s="838"/>
      <c r="M120" s="838"/>
      <c r="N120" s="838"/>
      <c r="O120" s="838"/>
      <c r="P120" s="838"/>
      <c r="Q120" s="1503"/>
      <c r="R120" s="1503"/>
      <c r="S120" s="1503"/>
      <c r="T120" s="1503"/>
      <c r="U120" s="1503"/>
      <c r="V120" s="838"/>
      <c r="W120" s="838"/>
      <c r="X120" s="838"/>
      <c r="Y120" s="836"/>
      <c r="Z120" s="836"/>
      <c r="AA120" s="836"/>
      <c r="AB120" s="836"/>
      <c r="AC120" s="836"/>
      <c r="AD120" s="836"/>
      <c r="AE120" s="829"/>
      <c r="AF120" s="836"/>
      <c r="AG120" s="836"/>
      <c r="AH120" s="836"/>
      <c r="AI120" s="836"/>
      <c r="AJ120" s="836"/>
      <c r="AK120" s="836"/>
      <c r="AL120" s="836"/>
    </row>
    <row r="121" spans="3:38" x14ac:dyDescent="0.25">
      <c r="C121" s="1503"/>
      <c r="D121" s="1577" t="s">
        <v>1388</v>
      </c>
      <c r="E121" s="970">
        <f>+P46</f>
        <v>890.83</v>
      </c>
      <c r="F121" s="971">
        <f>-P47</f>
        <v>467</v>
      </c>
      <c r="G121" s="838"/>
      <c r="H121" s="838"/>
      <c r="I121" s="838"/>
      <c r="J121" s="838"/>
      <c r="K121" s="838"/>
      <c r="L121" s="838"/>
      <c r="M121" s="838"/>
      <c r="N121" s="838"/>
      <c r="O121" s="838"/>
      <c r="P121" s="838"/>
      <c r="Q121" s="1503"/>
      <c r="R121" s="1503"/>
      <c r="S121" s="1503"/>
      <c r="T121" s="1503"/>
      <c r="U121" s="1503"/>
      <c r="V121" s="838"/>
      <c r="W121" s="838"/>
      <c r="X121" s="838"/>
      <c r="Y121" s="836"/>
      <c r="Z121" s="836"/>
      <c r="AA121" s="836"/>
      <c r="AB121" s="836"/>
      <c r="AC121" s="836"/>
      <c r="AD121" s="836"/>
      <c r="AE121" s="836"/>
      <c r="AF121" s="836"/>
      <c r="AG121" s="836"/>
      <c r="AH121" s="836"/>
      <c r="AI121" s="836"/>
      <c r="AJ121" s="836"/>
      <c r="AK121" s="836"/>
      <c r="AL121" s="836"/>
    </row>
    <row r="122" spans="3:38" x14ac:dyDescent="0.25">
      <c r="C122" s="1503"/>
      <c r="D122" s="1577"/>
      <c r="E122" s="845"/>
      <c r="F122" s="846"/>
      <c r="G122" s="1172"/>
      <c r="H122" s="1172"/>
      <c r="I122" s="1172"/>
      <c r="J122" s="1172"/>
      <c r="K122" s="1172"/>
      <c r="L122" s="1172"/>
      <c r="M122" s="1172"/>
      <c r="N122" s="1172"/>
      <c r="O122" s="1172"/>
      <c r="P122" s="1172"/>
      <c r="Q122" s="1172"/>
      <c r="R122" s="1172"/>
      <c r="S122" s="1172"/>
      <c r="T122" s="1172"/>
      <c r="U122" s="1172"/>
      <c r="V122" s="1172"/>
      <c r="W122" s="1172"/>
      <c r="X122" s="838"/>
      <c r="Y122" s="836"/>
      <c r="Z122" s="836"/>
      <c r="AA122" s="836"/>
      <c r="AB122" s="836"/>
      <c r="AC122" s="836"/>
      <c r="AD122" s="836"/>
      <c r="AE122" s="829"/>
      <c r="AF122" s="836"/>
      <c r="AG122" s="836"/>
      <c r="AH122" s="836"/>
      <c r="AI122" s="836"/>
      <c r="AJ122" s="836"/>
      <c r="AK122" s="836"/>
      <c r="AL122" s="836"/>
    </row>
    <row r="123" spans="3:38" x14ac:dyDescent="0.25">
      <c r="C123" s="838"/>
      <c r="D123" s="1577" t="s">
        <v>1390</v>
      </c>
      <c r="E123" s="845">
        <f>+P112*0</f>
        <v>0</v>
      </c>
      <c r="F123" s="846">
        <f>-P113</f>
        <v>41</v>
      </c>
      <c r="G123" s="1172"/>
      <c r="H123" s="1172"/>
      <c r="I123" s="1172"/>
      <c r="J123" s="1172"/>
      <c r="K123" s="1172"/>
      <c r="L123" s="1172"/>
      <c r="M123" s="1172"/>
      <c r="N123" s="1172"/>
      <c r="O123" s="1172"/>
      <c r="P123" s="1172"/>
      <c r="Q123" s="1172"/>
      <c r="R123" s="1172"/>
      <c r="S123" s="1172"/>
      <c r="T123" s="1172"/>
      <c r="U123" s="1172"/>
      <c r="V123" s="1172"/>
      <c r="W123" s="1172"/>
      <c r="X123" s="1172"/>
      <c r="Y123" s="836"/>
      <c r="Z123" s="836"/>
      <c r="AA123" s="836"/>
      <c r="AB123" s="836"/>
      <c r="AC123" s="836"/>
      <c r="AD123" s="836"/>
      <c r="AE123" s="829"/>
      <c r="AF123" s="836"/>
      <c r="AG123" s="836"/>
      <c r="AH123" s="836"/>
      <c r="AI123" s="836"/>
      <c r="AJ123" s="836"/>
      <c r="AK123" s="836"/>
      <c r="AL123" s="836"/>
    </row>
    <row r="124" spans="3:38" x14ac:dyDescent="0.25">
      <c r="C124" s="838"/>
      <c r="D124" s="1705"/>
      <c r="E124" s="845"/>
      <c r="F124" s="846"/>
      <c r="G124" s="838"/>
      <c r="H124" s="836"/>
      <c r="I124" s="836"/>
      <c r="J124" s="836"/>
      <c r="K124" s="836"/>
      <c r="L124" s="836"/>
      <c r="M124" s="836"/>
      <c r="N124" s="838"/>
      <c r="O124" s="836"/>
      <c r="P124" s="836"/>
      <c r="Q124" s="836"/>
      <c r="R124" s="836"/>
      <c r="S124" s="836"/>
      <c r="T124" s="836"/>
      <c r="U124" s="836"/>
      <c r="V124" s="836"/>
      <c r="W124" s="836"/>
      <c r="X124" s="836"/>
      <c r="Y124" s="836"/>
      <c r="Z124" s="836"/>
      <c r="AA124" s="836"/>
      <c r="AB124" s="836"/>
      <c r="AC124" s="836"/>
      <c r="AD124" s="836"/>
      <c r="AE124" s="836"/>
      <c r="AF124" s="836"/>
      <c r="AG124" s="836"/>
      <c r="AH124" s="836"/>
      <c r="AI124" s="836"/>
      <c r="AJ124" s="836"/>
      <c r="AK124" s="836"/>
      <c r="AL124" s="836"/>
    </row>
    <row r="125" spans="3:38" ht="14.45" customHeight="1" x14ac:dyDescent="0.25">
      <c r="C125" s="1700"/>
      <c r="D125" s="1706" t="s">
        <v>35</v>
      </c>
      <c r="E125" s="986">
        <f>SUM(E121:E124)</f>
        <v>890.83</v>
      </c>
      <c r="F125" s="2512">
        <f>SUM(F121:F124)</f>
        <v>508</v>
      </c>
      <c r="G125" s="1701"/>
      <c r="H125" s="1701"/>
      <c r="I125" s="1701"/>
      <c r="J125" s="1701"/>
      <c r="K125" s="1701"/>
      <c r="L125" s="1701"/>
      <c r="M125" s="1701"/>
      <c r="N125" s="1701"/>
      <c r="O125" s="1701"/>
      <c r="P125" s="1701"/>
      <c r="Q125" s="1701"/>
      <c r="R125" s="1701"/>
      <c r="S125" s="1701"/>
      <c r="T125" s="1701"/>
      <c r="U125" s="1701"/>
      <c r="V125" s="1701"/>
      <c r="W125" s="1701"/>
      <c r="X125" s="1701"/>
      <c r="Y125" s="836"/>
      <c r="Z125" s="836"/>
      <c r="AA125" s="836"/>
      <c r="AB125" s="836"/>
      <c r="AC125" s="836"/>
      <c r="AD125" s="836"/>
      <c r="AE125" s="836"/>
      <c r="AF125" s="836"/>
      <c r="AG125" s="836"/>
      <c r="AH125" s="836"/>
      <c r="AI125" s="836"/>
      <c r="AJ125" s="836"/>
      <c r="AK125" s="836"/>
      <c r="AL125" s="836"/>
    </row>
    <row r="126" spans="3:38" x14ac:dyDescent="0.25">
      <c r="C126" s="1702"/>
      <c r="D126" s="1707"/>
      <c r="E126" s="1703"/>
      <c r="F126" s="1703"/>
      <c r="G126" s="1703"/>
      <c r="H126" s="1703"/>
      <c r="I126" s="1703"/>
      <c r="J126" s="1703"/>
      <c r="K126" s="1703"/>
      <c r="L126" s="1703"/>
      <c r="M126" s="1703"/>
      <c r="N126" s="1703"/>
      <c r="O126" s="1703"/>
      <c r="P126" s="1703"/>
      <c r="Q126" s="1703"/>
      <c r="R126" s="1703"/>
      <c r="S126" s="1703"/>
      <c r="T126" s="1703"/>
      <c r="U126" s="1703"/>
      <c r="V126" s="1703"/>
      <c r="W126" s="1703"/>
      <c r="X126" s="1703"/>
      <c r="Y126" s="836"/>
      <c r="Z126" s="836"/>
      <c r="AA126" s="836"/>
      <c r="AB126" s="836"/>
      <c r="AC126" s="836"/>
      <c r="AD126" s="836"/>
      <c r="AE126" s="829"/>
      <c r="AF126" s="836"/>
      <c r="AG126" s="836"/>
      <c r="AH126" s="836"/>
      <c r="AI126" s="836"/>
      <c r="AJ126" s="836"/>
      <c r="AK126" s="836"/>
      <c r="AL126" s="836"/>
    </row>
    <row r="127" spans="3:38" x14ac:dyDescent="0.25">
      <c r="C127" s="1704"/>
      <c r="D127" s="1699"/>
      <c r="E127" s="1172"/>
      <c r="F127" s="1172"/>
      <c r="G127" s="1172"/>
      <c r="H127" s="1172"/>
      <c r="I127" s="1172"/>
      <c r="J127" s="1172"/>
      <c r="K127" s="1172"/>
      <c r="L127" s="1172"/>
      <c r="M127" s="1172"/>
      <c r="N127" s="1172"/>
      <c r="O127" s="1172"/>
      <c r="P127" s="1172"/>
      <c r="Q127" s="1172"/>
      <c r="R127" s="1172"/>
      <c r="S127" s="1172"/>
      <c r="T127" s="1172"/>
      <c r="U127" s="1172"/>
      <c r="V127" s="1172"/>
      <c r="W127" s="1172"/>
      <c r="X127" s="1172"/>
      <c r="Y127" s="836"/>
      <c r="Z127" s="836"/>
      <c r="AA127" s="836"/>
      <c r="AB127" s="836"/>
      <c r="AC127" s="836"/>
      <c r="AD127" s="836"/>
      <c r="AE127" s="829"/>
      <c r="AF127" s="836"/>
      <c r="AG127" s="836"/>
      <c r="AH127" s="836"/>
      <c r="AI127" s="836"/>
      <c r="AJ127" s="836"/>
      <c r="AK127" s="836"/>
      <c r="AL127" s="836"/>
    </row>
    <row r="128" spans="3:38" x14ac:dyDescent="0.25">
      <c r="C128" s="1704"/>
      <c r="D128" s="1708"/>
      <c r="E128" s="838"/>
      <c r="F128" s="838"/>
      <c r="G128" s="838"/>
      <c r="H128" s="838"/>
      <c r="I128" s="838"/>
      <c r="J128" s="838"/>
      <c r="K128" s="838"/>
      <c r="L128" s="838"/>
      <c r="M128" s="838"/>
      <c r="N128" s="838"/>
      <c r="O128" s="838"/>
      <c r="P128" s="838"/>
      <c r="Q128" s="1503"/>
      <c r="R128" s="1503"/>
      <c r="S128" s="1503"/>
      <c r="T128" s="1503"/>
      <c r="U128" s="1503"/>
      <c r="V128" s="838"/>
      <c r="W128" s="838"/>
      <c r="X128" s="838"/>
      <c r="Y128" s="836"/>
      <c r="Z128" s="836"/>
      <c r="AA128" s="836"/>
      <c r="AB128" s="836"/>
      <c r="AC128" s="836"/>
      <c r="AD128" s="836"/>
      <c r="AE128" s="829"/>
      <c r="AF128" s="836"/>
      <c r="AG128" s="836"/>
      <c r="AH128" s="836"/>
      <c r="AI128" s="836"/>
      <c r="AJ128" s="836"/>
      <c r="AK128" s="836"/>
      <c r="AL128" s="836"/>
    </row>
    <row r="129" spans="3:38" x14ac:dyDescent="0.25">
      <c r="C129" s="1503"/>
      <c r="D129" s="1709"/>
      <c r="E129" s="838"/>
      <c r="F129" s="838"/>
      <c r="G129" s="838"/>
      <c r="H129" s="838"/>
      <c r="I129" s="838"/>
      <c r="J129" s="838"/>
      <c r="K129" s="838"/>
      <c r="L129" s="838"/>
      <c r="M129" s="838"/>
      <c r="N129" s="838"/>
      <c r="O129" s="838"/>
      <c r="P129" s="838"/>
      <c r="Q129" s="1503"/>
      <c r="R129" s="1503"/>
      <c r="S129" s="1503"/>
      <c r="T129" s="1503"/>
      <c r="U129" s="1503"/>
      <c r="V129" s="838"/>
      <c r="W129" s="838"/>
      <c r="X129" s="838"/>
      <c r="Y129" s="836"/>
      <c r="Z129" s="836"/>
      <c r="AA129" s="836"/>
      <c r="AB129" s="836"/>
      <c r="AC129" s="836"/>
      <c r="AD129" s="836"/>
      <c r="AE129" s="829"/>
      <c r="AF129" s="836"/>
      <c r="AG129" s="836"/>
      <c r="AH129" s="836"/>
      <c r="AI129" s="836"/>
      <c r="AJ129" s="836"/>
      <c r="AK129" s="836"/>
      <c r="AL129" s="836"/>
    </row>
    <row r="130" spans="3:38" x14ac:dyDescent="0.25">
      <c r="C130" s="1503"/>
      <c r="D130" s="1709"/>
      <c r="E130" s="838"/>
      <c r="F130" s="838"/>
      <c r="G130" s="838"/>
      <c r="H130" s="838"/>
      <c r="I130" s="838"/>
      <c r="J130" s="838"/>
      <c r="K130" s="838"/>
      <c r="L130" s="838"/>
      <c r="M130" s="838"/>
      <c r="N130" s="838"/>
      <c r="O130" s="838"/>
      <c r="P130" s="838"/>
      <c r="Q130" s="1503"/>
      <c r="R130" s="1503"/>
      <c r="S130" s="1503"/>
      <c r="T130" s="1503"/>
      <c r="U130" s="1503"/>
      <c r="V130" s="838"/>
      <c r="W130" s="838"/>
      <c r="X130" s="838"/>
      <c r="Y130" s="836"/>
      <c r="Z130" s="836"/>
      <c r="AA130" s="836"/>
      <c r="AB130" s="836"/>
      <c r="AC130" s="836"/>
      <c r="AD130" s="836"/>
      <c r="AE130" s="836"/>
      <c r="AF130" s="836"/>
      <c r="AG130" s="836"/>
      <c r="AH130" s="836"/>
      <c r="AI130" s="836"/>
      <c r="AJ130" s="836"/>
      <c r="AK130" s="836"/>
      <c r="AL130" s="836"/>
    </row>
    <row r="131" spans="3:38" x14ac:dyDescent="0.25">
      <c r="C131" s="1503"/>
      <c r="D131" s="1699"/>
      <c r="E131" s="1172"/>
      <c r="F131" s="1172"/>
      <c r="G131" s="1172"/>
      <c r="H131" s="1172"/>
      <c r="I131" s="1172"/>
      <c r="J131" s="1172"/>
      <c r="K131" s="1172"/>
      <c r="L131" s="1172"/>
      <c r="M131" s="1172"/>
      <c r="N131" s="1172"/>
      <c r="O131" s="1172"/>
      <c r="P131" s="1172"/>
      <c r="Q131" s="1172"/>
      <c r="R131" s="1172"/>
      <c r="S131" s="1172"/>
      <c r="T131" s="1172"/>
      <c r="U131" s="1172"/>
      <c r="V131" s="1172"/>
      <c r="W131" s="1172"/>
      <c r="X131" s="838"/>
      <c r="Y131" s="836"/>
      <c r="Z131" s="836"/>
      <c r="AA131" s="836"/>
      <c r="AB131" s="836"/>
      <c r="AC131" s="836"/>
      <c r="AD131" s="836"/>
      <c r="AE131" s="829"/>
      <c r="AF131" s="836"/>
      <c r="AG131" s="836"/>
      <c r="AH131" s="836"/>
      <c r="AI131" s="836"/>
      <c r="AJ131" s="836"/>
      <c r="AK131" s="836"/>
      <c r="AL131" s="836"/>
    </row>
    <row r="132" spans="3:38" x14ac:dyDescent="0.25">
      <c r="C132" s="838"/>
      <c r="D132" s="1699"/>
      <c r="E132" s="1172"/>
      <c r="F132" s="1172"/>
      <c r="G132" s="1172"/>
      <c r="H132" s="1172"/>
      <c r="I132" s="1172"/>
      <c r="J132" s="1172"/>
      <c r="K132" s="1172"/>
      <c r="L132" s="1172"/>
      <c r="M132" s="1172"/>
      <c r="N132" s="1172"/>
      <c r="O132" s="1172"/>
      <c r="P132" s="1172"/>
      <c r="Q132" s="1172"/>
      <c r="R132" s="1172"/>
      <c r="S132" s="1172"/>
      <c r="T132" s="1172"/>
      <c r="U132" s="1172"/>
      <c r="V132" s="1172"/>
      <c r="W132" s="1172"/>
      <c r="X132" s="1172"/>
      <c r="Y132" s="836"/>
      <c r="Z132" s="836"/>
      <c r="AA132" s="836"/>
      <c r="AB132" s="836"/>
      <c r="AC132" s="836"/>
      <c r="AD132" s="836"/>
      <c r="AE132" s="829"/>
      <c r="AF132" s="836"/>
      <c r="AG132" s="836"/>
      <c r="AH132" s="836"/>
      <c r="AI132" s="836"/>
      <c r="AJ132" s="836"/>
      <c r="AK132" s="836"/>
      <c r="AL132" s="836"/>
    </row>
    <row r="133" spans="3:38" x14ac:dyDescent="0.25">
      <c r="C133" s="838"/>
      <c r="D133" s="838"/>
      <c r="E133" s="838"/>
      <c r="F133" s="838"/>
      <c r="G133" s="838"/>
      <c r="H133" s="836"/>
      <c r="I133" s="836"/>
      <c r="J133" s="836"/>
      <c r="K133" s="836"/>
      <c r="L133" s="836"/>
      <c r="M133" s="836"/>
      <c r="N133" s="838"/>
      <c r="O133" s="836"/>
      <c r="P133" s="836"/>
      <c r="Q133" s="836"/>
      <c r="R133" s="836"/>
      <c r="S133" s="836"/>
      <c r="T133" s="836"/>
      <c r="U133" s="836"/>
      <c r="V133" s="836"/>
      <c r="W133" s="836"/>
      <c r="X133" s="836"/>
      <c r="Y133" s="836"/>
      <c r="Z133" s="836"/>
      <c r="AA133" s="836"/>
      <c r="AB133" s="836"/>
      <c r="AC133" s="836"/>
      <c r="AD133" s="836"/>
      <c r="AE133" s="836"/>
      <c r="AF133" s="836"/>
      <c r="AG133" s="836"/>
      <c r="AH133" s="836"/>
      <c r="AI133" s="836"/>
      <c r="AJ133" s="836"/>
      <c r="AK133" s="836"/>
      <c r="AL133" s="836"/>
    </row>
    <row r="134" spans="3:38" x14ac:dyDescent="0.25">
      <c r="C134" s="838"/>
      <c r="D134" s="838"/>
      <c r="E134" s="838"/>
      <c r="F134" s="838"/>
      <c r="G134" s="838"/>
      <c r="H134" s="836"/>
      <c r="I134" s="836"/>
      <c r="J134" s="836"/>
      <c r="K134" s="836"/>
      <c r="L134" s="836"/>
      <c r="M134" s="836"/>
      <c r="N134" s="838"/>
      <c r="O134" s="836"/>
      <c r="P134" s="836"/>
      <c r="Q134" s="836"/>
      <c r="R134" s="836"/>
      <c r="S134" s="836"/>
      <c r="T134" s="836"/>
      <c r="U134" s="836"/>
      <c r="V134" s="836"/>
      <c r="W134" s="836"/>
      <c r="X134" s="836"/>
      <c r="Y134" s="836"/>
      <c r="Z134" s="836"/>
      <c r="AA134" s="836"/>
      <c r="AB134" s="836"/>
      <c r="AC134" s="836"/>
      <c r="AD134" s="836"/>
      <c r="AE134" s="836"/>
      <c r="AF134" s="836"/>
      <c r="AG134" s="836"/>
      <c r="AH134" s="836"/>
      <c r="AI134" s="836"/>
      <c r="AJ134" s="836"/>
      <c r="AK134" s="836"/>
      <c r="AL134" s="836"/>
    </row>
    <row r="136" spans="3:38" x14ac:dyDescent="0.25">
      <c r="G136" s="841"/>
    </row>
    <row r="137" spans="3:38" x14ac:dyDescent="0.25">
      <c r="G137" s="841"/>
    </row>
    <row r="138" spans="3:38" x14ac:dyDescent="0.25">
      <c r="G138" s="1664"/>
    </row>
    <row r="139" spans="3:38" x14ac:dyDescent="0.25">
      <c r="G139" s="1579"/>
    </row>
    <row r="140" spans="3:38" x14ac:dyDescent="0.25">
      <c r="N140" s="1579"/>
    </row>
    <row r="141" spans="3:38" x14ac:dyDescent="0.25">
      <c r="Y141" s="1710"/>
    </row>
    <row r="142" spans="3:38" x14ac:dyDescent="0.25">
      <c r="Y142" s="1710"/>
    </row>
    <row r="143" spans="3:38" x14ac:dyDescent="0.25">
      <c r="Y143" s="1710"/>
    </row>
    <row r="144" spans="3:38" x14ac:dyDescent="0.25">
      <c r="G144" s="1579"/>
    </row>
    <row r="145" spans="3:31" x14ac:dyDescent="0.25">
      <c r="G145" s="1579"/>
    </row>
    <row r="148" spans="3:31" x14ac:dyDescent="0.25">
      <c r="D148" s="1673"/>
    </row>
    <row r="149" spans="3:31" x14ac:dyDescent="0.25">
      <c r="C149" s="841"/>
      <c r="H149" s="841" t="str" cm="1">
        <f t="array" ref="H149">IF(OR(SUMPRODUCT(--(H$52:H$113&lt;&gt;""), --(H$52:H$113&lt;&gt;0)) &gt; 0, SUMPRODUCT(--(H$17:H$47&lt;&gt;""), --(H$17:H$47&lt;&gt;0)) &gt; 0), "Yes", "No")</f>
        <v>No</v>
      </c>
      <c r="I149" s="841" t="str" cm="1">
        <f t="array" ref="I149">IF(OR(SUMPRODUCT(--(I$52:I$113&lt;&gt;""), --(I$52:I$113&lt;&gt;0)) &gt; 0, SUMPRODUCT(--(I$17:I$47&lt;&gt;""), --(I$17:I$47&lt;&gt;0)) &gt; 0), "Yes", "No")</f>
        <v>No</v>
      </c>
      <c r="J149" s="841" t="str" cm="1">
        <f t="array" ref="J149">IF(OR(SUMPRODUCT(--(J$52:J$113&lt;&gt;""), --(J$52:J$113&lt;&gt;0)) &gt; 0, SUMPRODUCT(--(J$17:J$47&lt;&gt;""), --(J$17:J$47&lt;&gt;0)) &gt; 0), "Yes", "No")</f>
        <v>No</v>
      </c>
      <c r="K149" s="841" t="str" cm="1">
        <f t="array" ref="K149">IF(OR(SUMPRODUCT(--(K$52:K$113&lt;&gt;""), --(K$52:K$113&lt;&gt;0)) &gt; 0, SUMPRODUCT(--(K$17:K$47&lt;&gt;""), --(K$17:K$47&lt;&gt;0)) &gt; 0), "Yes", "No")</f>
        <v>No</v>
      </c>
      <c r="L149" s="841" t="str" cm="1">
        <f t="array" ref="L149">IF(OR(SUMPRODUCT(--(L$52:L$113&lt;&gt;""), --(L$52:L$113&lt;&gt;0)) &gt; 0, SUMPRODUCT(--(L$17:L$47&lt;&gt;""), --(L$17:L$47&lt;&gt;0)) &gt; 0), "Yes", "No")</f>
        <v>No</v>
      </c>
      <c r="M149" s="841" t="str" cm="1">
        <f t="array" ref="M149">IF(OR(SUMPRODUCT(--(M$52:M$113&lt;&gt;""), --(M$52:M$113&lt;&gt;0)) &gt; 0, SUMPRODUCT(--(M$17:M$47&lt;&gt;""), --(M$17:M$47&lt;&gt;0)) &gt; 0), "Yes", "No")</f>
        <v>Yes</v>
      </c>
      <c r="N149" s="841" t="str" cm="1">
        <f t="array" ref="N149">IF(OR(SUMPRODUCT(--(N$52:N$113&lt;&gt;""), --(N$52:N$113&lt;&gt;0)) &gt; 0, SUMPRODUCT(--(N$17:N$47&lt;&gt;""), --(N$17:N$47&lt;&gt;0)) &gt; 0), "Yes", "No")</f>
        <v>Yes</v>
      </c>
      <c r="O149" s="841" t="str" cm="1">
        <f t="array" ref="O149">IF(OR(SUMPRODUCT(--(O$52:O$113&lt;&gt;""), --(O$52:O$113&lt;&gt;0)) &gt; 0, SUMPRODUCT(--(O$17:O$47&lt;&gt;""), --(O$17:O$47&lt;&gt;0)) &gt; 0), "Yes", "No")</f>
        <v>Yes</v>
      </c>
      <c r="P149" s="841" t="str" cm="1">
        <f t="array" ref="P149">IF(OR(SUMPRODUCT(--(P$52:P$113&lt;&gt;""), --(P$52:P$113&lt;&gt;0)) &gt; 0, SUMPRODUCT(--(P$17:P$47&lt;&gt;""), --(P$17:P$47&lt;&gt;0)) &gt; 0), "Yes", "No")</f>
        <v>Yes</v>
      </c>
      <c r="Q149" s="841" t="str" cm="1">
        <f t="array" ref="Q149">IF(OR(SUMPRODUCT(--(Q$52:Q$113&lt;&gt;""), --(Q$52:Q$113&lt;&gt;0)) &gt; 0, SUMPRODUCT(--(Q$17:Q$47&lt;&gt;""), --(Q$17:Q$47&lt;&gt;0)) &gt; 0), "Yes", "No")</f>
        <v>Yes</v>
      </c>
      <c r="R149" s="841" t="str" cm="1">
        <f t="array" ref="R149">IF(OR(SUMPRODUCT(--(R$52:R$113&lt;&gt;""), --(R$52:R$113&lt;&gt;0)) &gt; 0, SUMPRODUCT(--(R$17:R$47&lt;&gt;""), --(R$17:R$47&lt;&gt;0)) &gt; 0), "Yes", "No")</f>
        <v>No</v>
      </c>
      <c r="S149" s="841" t="str" cm="1">
        <f t="array" ref="S149">IF(OR(SUMPRODUCT(--(S$52:S$113&lt;&gt;""), --(S$52:S$113&lt;&gt;0)) &gt; 0, SUMPRODUCT(--(S$17:S$47&lt;&gt;""), --(S$17:S$47&lt;&gt;0)) &gt; 0), "Yes", "No")</f>
        <v>No</v>
      </c>
      <c r="T149" s="841" t="str" cm="1">
        <f t="array" ref="T149">IF(OR(SUMPRODUCT(--(T$52:T$113&lt;&gt;""), --(T$52:T$113&lt;&gt;0)) &gt; 0, SUMPRODUCT(--(T$17:T$47&lt;&gt;""), --(T$17:T$47&lt;&gt;0)) &gt; 0), "Yes", "No")</f>
        <v>No</v>
      </c>
      <c r="U149" s="841" t="str" cm="1">
        <f t="array" ref="U149">IF(OR(SUMPRODUCT(--(U$52:U$113&lt;&gt;""), --(U$52:U$113&lt;&gt;0)) &gt; 0, SUMPRODUCT(--(U$17:U$47&lt;&gt;""), --(U$17:U$47&lt;&gt;0)) &gt; 0), "Yes", "No")</f>
        <v>No</v>
      </c>
      <c r="V149" s="841" t="str" cm="1">
        <f t="array" ref="V149">IF(OR(SUMPRODUCT(--(V$52:V$113&lt;&gt;""), --(V$52:V$113&lt;&gt;0)) &gt; 0, SUMPRODUCT(--(V$17:V$47&lt;&gt;""), --(V$17:V$47&lt;&gt;0)) &gt; 0), "Yes", "No")</f>
        <v>Yes</v>
      </c>
      <c r="W149" s="841" t="str" cm="1">
        <f t="array" ref="W149">IF(OR(SUMPRODUCT(--(W$52:W$113&lt;&gt;""), --(W$52:W$113&lt;&gt;0)) &gt; 0, SUMPRODUCT(--(W$17:W$47&lt;&gt;""), --(W$17:W$47&lt;&gt;0)) &gt; 0), "Yes", "No")</f>
        <v>Yes</v>
      </c>
      <c r="X149" s="841" t="str" cm="1">
        <f t="array" ref="X149">IF(OR(SUMPRODUCT(--(X$52:X$113&lt;&gt;""), --(X$52:X$113&lt;&gt;0)) &gt; 0, SUMPRODUCT(--(X$17:X$47&lt;&gt;""), --(X$17:X$47&lt;&gt;0)) &gt; 0), "Yes", "No")</f>
        <v>Yes</v>
      </c>
      <c r="AE149" s="841" t="s">
        <v>990</v>
      </c>
    </row>
    <row r="150" spans="3:31" x14ac:dyDescent="0.25">
      <c r="C150" s="841"/>
    </row>
  </sheetData>
  <mergeCells count="9">
    <mergeCell ref="E50:N50"/>
    <mergeCell ref="O50:V50"/>
    <mergeCell ref="W50:X50"/>
    <mergeCell ref="C10:F10"/>
    <mergeCell ref="C13:E13"/>
    <mergeCell ref="E15:N15"/>
    <mergeCell ref="O15:V15"/>
    <mergeCell ref="W15:X15"/>
    <mergeCell ref="W14:X14"/>
  </mergeCells>
  <pageMargins left="0.25" right="0.25" top="0.75" bottom="0.75" header="0.3" footer="0.3"/>
  <pageSetup paperSize="9" scale="41"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4:AH404"/>
  <sheetViews>
    <sheetView showGridLines="0" view="pageBreakPreview" zoomScale="80" zoomScaleNormal="100" zoomScaleSheetLayoutView="80" workbookViewId="0">
      <pane ySplit="9" topLeftCell="A136" activePane="bottomLeft" state="frozen"/>
      <selection pane="bottomLeft" activeCell="E15" sqref="E15:E16 E21:E22 H25 H27"/>
    </sheetView>
  </sheetViews>
  <sheetFormatPr defaultColWidth="9.140625" defaultRowHeight="16.5" x14ac:dyDescent="0.3"/>
  <cols>
    <col min="1" max="2" width="3.7109375" style="14" customWidth="1"/>
    <col min="3" max="3" width="71.42578125" style="14" bestFit="1" customWidth="1"/>
    <col min="4" max="4" width="17.5703125" style="14" customWidth="1"/>
    <col min="5" max="6" width="18.85546875" style="1371" customWidth="1"/>
    <col min="7" max="7" width="3.85546875" style="14" customWidth="1"/>
    <col min="8" max="8" width="17.5703125" style="185" hidden="1" customWidth="1"/>
    <col min="9" max="9" width="10.5703125" style="221" hidden="1" customWidth="1"/>
    <col min="10" max="10" width="5.7109375" style="14" hidden="1" customWidth="1"/>
    <col min="11" max="11" width="17.5703125" style="14" bestFit="1" customWidth="1"/>
    <col min="12" max="12" width="16.28515625" style="1799" bestFit="1" customWidth="1"/>
    <col min="13" max="13" width="19.85546875" style="14" customWidth="1"/>
    <col min="14" max="14" width="100" style="14" bestFit="1" customWidth="1"/>
    <col min="15" max="15" width="3.140625" style="14" bestFit="1" customWidth="1"/>
    <col min="16" max="16" width="71" style="14" bestFit="1" customWidth="1"/>
    <col min="17" max="22" width="0" style="14" hidden="1" customWidth="1"/>
    <col min="23" max="23" width="5.85546875" style="14" hidden="1" customWidth="1"/>
    <col min="24" max="24" width="0" style="14" hidden="1" customWidth="1"/>
    <col min="25" max="25" width="24.42578125" style="14" bestFit="1" customWidth="1"/>
    <col min="26" max="26" width="0" style="14" hidden="1" customWidth="1"/>
    <col min="27" max="27" width="19.140625" style="14" bestFit="1" customWidth="1"/>
    <col min="28" max="28" width="17.42578125" style="14" bestFit="1" customWidth="1"/>
    <col min="29" max="29" width="0" style="14" hidden="1" customWidth="1"/>
    <col min="30" max="30" width="25.85546875" style="14" bestFit="1" customWidth="1"/>
    <col min="31" max="31" width="0" style="14" hidden="1" customWidth="1"/>
    <col min="32" max="32" width="95.7109375" style="14" bestFit="1" customWidth="1"/>
    <col min="33" max="16384" width="9.140625" style="14"/>
  </cols>
  <sheetData>
    <row r="4" spans="3:30" s="351" customFormat="1" x14ac:dyDescent="0.3">
      <c r="E4" s="1370"/>
      <c r="F4" s="1799"/>
      <c r="G4" s="14"/>
      <c r="H4" s="371"/>
      <c r="I4" s="371"/>
      <c r="L4" s="2368"/>
    </row>
    <row r="5" spans="3:30" s="351" customFormat="1" x14ac:dyDescent="0.3">
      <c r="E5" s="1799"/>
      <c r="F5" s="1370"/>
      <c r="H5" s="371"/>
      <c r="I5" s="371"/>
      <c r="L5" s="2368"/>
    </row>
    <row r="6" spans="3:30" s="351" customFormat="1" x14ac:dyDescent="0.3">
      <c r="E6" s="1370"/>
      <c r="F6" s="1370"/>
      <c r="G6" s="14"/>
      <c r="H6" s="371"/>
      <c r="I6" s="371"/>
      <c r="L6" s="2368"/>
    </row>
    <row r="8" spans="3:30" x14ac:dyDescent="0.3">
      <c r="C8" s="40" t="str">
        <f>Company_Name</f>
        <v>Sample Company</v>
      </c>
      <c r="D8" s="40"/>
      <c r="E8" s="1552"/>
      <c r="H8" s="228" t="s">
        <v>996</v>
      </c>
      <c r="I8" s="228" t="s">
        <v>1022</v>
      </c>
    </row>
    <row r="9" spans="3:30" x14ac:dyDescent="0.3">
      <c r="C9" s="40" t="s">
        <v>90</v>
      </c>
      <c r="D9" s="40"/>
      <c r="E9" s="1553"/>
      <c r="H9" s="221"/>
      <c r="Y9" s="1" t="s">
        <v>1749</v>
      </c>
      <c r="Z9" s="1"/>
      <c r="AA9" s="1" t="s">
        <v>1750</v>
      </c>
      <c r="AB9" s="1" t="s">
        <v>1751</v>
      </c>
      <c r="AC9" s="41"/>
      <c r="AD9" s="41" t="s">
        <v>1752</v>
      </c>
    </row>
    <row r="10" spans="3:30" x14ac:dyDescent="0.3">
      <c r="C10" s="222"/>
      <c r="D10" s="222"/>
      <c r="E10" s="1554"/>
      <c r="H10" s="221"/>
      <c r="I10" s="221" t="str">
        <f>IF(I13="No","No","Yes")</f>
        <v>Yes</v>
      </c>
    </row>
    <row r="11" spans="3:30" x14ac:dyDescent="0.3">
      <c r="C11" s="223" t="str">
        <f>"Note "&amp;'Profit and Loss'!E16 &amp;" - Revenue from operations"</f>
        <v>Note 15 - Revenue from operations</v>
      </c>
      <c r="D11" s="223"/>
      <c r="E11" s="1555"/>
      <c r="H11" s="228"/>
      <c r="I11" s="221" t="str">
        <f>IF(I13="No","No","Yes")</f>
        <v>Yes</v>
      </c>
    </row>
    <row r="12" spans="3:30" x14ac:dyDescent="0.3">
      <c r="C12" s="224"/>
      <c r="D12" s="224"/>
      <c r="E12" s="2883" t="str">
        <f>+'Profit and Loss'!G12</f>
        <v>Amount in Rs ' 00</v>
      </c>
      <c r="F12" s="2883"/>
      <c r="H12" s="221"/>
      <c r="I12" s="221" t="str">
        <f>IF(I13="No","No","Yes")</f>
        <v>Yes</v>
      </c>
    </row>
    <row r="13" spans="3:30" ht="45" x14ac:dyDescent="0.3">
      <c r="C13" s="2870" t="s">
        <v>20</v>
      </c>
      <c r="D13" s="2871"/>
      <c r="E13" s="1964" t="str">
        <f>PLCY</f>
        <v>For the Year ended 31st March 2025</v>
      </c>
      <c r="F13" s="1964" t="str">
        <f>PLPY</f>
        <v>For the Year ended 31st March 2024</v>
      </c>
      <c r="G13" s="385"/>
      <c r="H13" s="221"/>
      <c r="I13" s="185" t="str">
        <f>IF(AND(I14="No",I20="No",I25="No",I27="No"),"No","Yes")</f>
        <v>Yes</v>
      </c>
    </row>
    <row r="14" spans="3:30" s="225" customFormat="1" hidden="1" x14ac:dyDescent="0.3">
      <c r="C14" s="604" t="s">
        <v>3355</v>
      </c>
      <c r="D14" s="209"/>
      <c r="E14" s="1377"/>
      <c r="F14" s="1373"/>
      <c r="H14" s="372"/>
      <c r="I14" s="221" t="str">
        <f>IF(AND(I15="No",I16="No"),"No","Yes")</f>
        <v>Yes</v>
      </c>
      <c r="L14" s="2369"/>
      <c r="N14" s="14"/>
      <c r="O14" s="14"/>
    </row>
    <row r="15" spans="3:30" s="306" customFormat="1" hidden="1" x14ac:dyDescent="0.25">
      <c r="C15" s="660" t="s">
        <v>984</v>
      </c>
      <c r="D15" s="661"/>
      <c r="E15" s="1374">
        <f>-SUMIF('Master TB'!$E:$E,'Notes To P&amp;L'!H15,'Master TB'!$J:$J)</f>
        <v>1877056.2483999997</v>
      </c>
      <c r="F15" s="1374">
        <f>-SUMIF('Master TB'!$Q:$Q,'Notes To P&amp;L'!H15,'Master TB'!$V:$V)</f>
        <v>1516462.0366999998</v>
      </c>
      <c r="H15" s="373" t="s">
        <v>1021</v>
      </c>
      <c r="I15" s="376" t="str">
        <f>IF(AND(E15=0,F15=0),"No","Yes")</f>
        <v>Yes</v>
      </c>
      <c r="L15" s="2370"/>
      <c r="N15" s="307"/>
      <c r="O15" s="307"/>
    </row>
    <row r="16" spans="3:30" s="306" customFormat="1" hidden="1" x14ac:dyDescent="0.25">
      <c r="C16" s="660" t="s">
        <v>985</v>
      </c>
      <c r="D16" s="661"/>
      <c r="E16" s="1556">
        <f>-SUMIF('Master TB'!$E:$E,'Notes To P&amp;L'!H16,'Master TB'!$J:$J)</f>
        <v>16</v>
      </c>
      <c r="F16" s="1374">
        <f>-SUMIF('Master TB'!$Q:$Q,'Notes To P&amp;L'!H16,'Master TB'!$V:$V)</f>
        <v>13575.698999999999</v>
      </c>
      <c r="H16" s="373" t="s">
        <v>1020</v>
      </c>
      <c r="I16" s="376" t="str">
        <f>IF(AND(E16=0,F16=0),"No","Yes")</f>
        <v>Yes</v>
      </c>
      <c r="K16" s="306" t="s">
        <v>3805</v>
      </c>
      <c r="L16" s="2370"/>
      <c r="N16" s="307"/>
      <c r="O16" s="307"/>
    </row>
    <row r="17" spans="3:15" s="306" customFormat="1" x14ac:dyDescent="0.25">
      <c r="C17" s="660"/>
      <c r="D17" s="661"/>
      <c r="E17" s="1374"/>
      <c r="F17" s="1374"/>
      <c r="H17" s="373"/>
      <c r="I17" s="376"/>
      <c r="L17" s="2370"/>
      <c r="N17" s="307"/>
      <c r="O17" s="307"/>
    </row>
    <row r="18" spans="3:15" s="225" customFormat="1" x14ac:dyDescent="0.3">
      <c r="C18" s="141" t="s">
        <v>3863</v>
      </c>
      <c r="D18" s="41"/>
      <c r="E18" s="1376">
        <f>SUM(E15:E16)</f>
        <v>1877072.2483999997</v>
      </c>
      <c r="F18" s="2645">
        <f>SUM(F15:F16)</f>
        <v>1530037.7356999998</v>
      </c>
      <c r="H18" s="374"/>
      <c r="I18" s="221" t="str">
        <f>IF(AND(I16="No",I15="No"),"No","Yes")</f>
        <v>Yes</v>
      </c>
      <c r="L18" s="2369"/>
      <c r="N18" s="14"/>
      <c r="O18" s="14"/>
    </row>
    <row r="19" spans="3:15" s="225" customFormat="1" hidden="1" x14ac:dyDescent="0.3">
      <c r="C19" s="141"/>
      <c r="D19" s="50"/>
      <c r="E19" s="1376"/>
      <c r="F19" s="1376"/>
      <c r="H19" s="374"/>
      <c r="I19" s="221" t="str">
        <f>IF(I18="No","No","Yes")</f>
        <v>Yes</v>
      </c>
      <c r="L19" s="2369"/>
      <c r="N19" s="14"/>
      <c r="O19" s="14"/>
    </row>
    <row r="20" spans="3:15" hidden="1" x14ac:dyDescent="0.3">
      <c r="C20" s="380" t="str">
        <f>IF(I20="No","(b) Sale of services (Refer Note (ii) below)",IF(COUNTIF(I14,"Yes")=0,"(a) Sale of services (Refer Note (ii) below)",IF(COUNTIF(I14,"Yes")=1,"(b) Sale of services (Refer Note (ii) below)")))</f>
        <v>(b) Sale of services (Refer Note (ii) below)</v>
      </c>
      <c r="D20" s="305"/>
      <c r="E20" s="1377"/>
      <c r="F20" s="1377"/>
      <c r="H20" s="221"/>
      <c r="I20" s="221" t="str">
        <f>IF(AND(I21="No",I22="No"),"No","Yes")</f>
        <v>Yes</v>
      </c>
    </row>
    <row r="21" spans="3:15" hidden="1" x14ac:dyDescent="0.3">
      <c r="C21" s="660" t="s">
        <v>984</v>
      </c>
      <c r="D21" s="661"/>
      <c r="E21" s="1377">
        <f>-SUMIF('Master TB'!$E:$E,'Notes To P&amp;L'!H21,'Master TB'!$J:$J)</f>
        <v>1234466.1841000002</v>
      </c>
      <c r="F21" s="1374">
        <f>-SUMIF('Master TB'!$Q:$Q,'Notes To P&amp;L'!H21,'Master TB'!$V:$V)</f>
        <v>1491399.7089999998</v>
      </c>
      <c r="H21" s="372" t="s">
        <v>1019</v>
      </c>
      <c r="I21" s="376" t="str">
        <f>IF(AND(E21=0,F21=0),"No","Yes")</f>
        <v>Yes</v>
      </c>
    </row>
    <row r="22" spans="3:15" hidden="1" x14ac:dyDescent="0.3">
      <c r="C22" s="660" t="s">
        <v>985</v>
      </c>
      <c r="D22" s="661"/>
      <c r="E22" s="1377">
        <f>-SUMIF('Master TB'!$E:$E,'Notes To P&amp;L'!H22,'Master TB'!$J:$J)</f>
        <v>2073451.4101</v>
      </c>
      <c r="F22" s="1374">
        <f>-SUMIF('Master TB'!$Q:$Q,'Notes To P&amp;L'!H22,'Master TB'!$V:$V)</f>
        <v>1756550.5573000002</v>
      </c>
      <c r="H22" s="372" t="s">
        <v>1018</v>
      </c>
      <c r="I22" s="376" t="str">
        <f>IF(AND(E22=0,F22=0),"No","Yes")</f>
        <v>Yes</v>
      </c>
    </row>
    <row r="23" spans="3:15" x14ac:dyDescent="0.3">
      <c r="C23" s="380" t="s">
        <v>3864</v>
      </c>
      <c r="D23" s="305"/>
      <c r="E23" s="2645">
        <f>SUM(E21:E22)</f>
        <v>3307917.5942000002</v>
      </c>
      <c r="F23" s="2645">
        <f>SUM(F21:F22)</f>
        <v>3247950.2663000003</v>
      </c>
      <c r="H23" s="372"/>
      <c r="I23" s="221" t="str">
        <f>IF(AND(I22="No",I21="No"),"No",IF(AND(I21="No",I22="Yes"),"No",IF(AND(I21="Yes",I22="No"),"No","Yes")))</f>
        <v>Yes</v>
      </c>
    </row>
    <row r="24" spans="3:15" s="308" customFormat="1" hidden="1" x14ac:dyDescent="0.3">
      <c r="C24" s="662"/>
      <c r="D24" s="663"/>
      <c r="E24" s="1376"/>
      <c r="F24" s="1376"/>
      <c r="G24" s="386"/>
      <c r="H24" s="375"/>
      <c r="I24" s="221" t="str">
        <f>IF(I23="No","No","Yes")</f>
        <v>Yes</v>
      </c>
      <c r="L24" s="1799"/>
    </row>
    <row r="25" spans="3:15" hidden="1" x14ac:dyDescent="0.3">
      <c r="C25" s="186" t="e">
        <f ca="1">_xlfn.TEXTBEFORE(C20,")")&amp;"a) Grants or donations received"</f>
        <v>#NAME?</v>
      </c>
      <c r="D25" s="6"/>
      <c r="E25" s="1557">
        <f>-SUMIF('Master TB'!$E:$E,'Notes To P&amp;L'!H25,'Master TB'!$J:$J)</f>
        <v>0</v>
      </c>
      <c r="F25" s="1378">
        <f>-SUMIF('Master TB'!$Q:$Q,'Notes To P&amp;L'!H25,'Master TB'!$V:$V)</f>
        <v>0</v>
      </c>
      <c r="H25" s="372" t="s">
        <v>1017</v>
      </c>
      <c r="I25" s="185" t="str">
        <f>IF(AND(E25=0,F25=0),"No","Yes")</f>
        <v>No</v>
      </c>
    </row>
    <row r="26" spans="3:15" hidden="1" x14ac:dyDescent="0.3">
      <c r="C26" s="380"/>
      <c r="D26" s="305"/>
      <c r="E26" s="1376"/>
      <c r="F26" s="1376"/>
      <c r="H26" s="374"/>
      <c r="I26" s="221" t="str">
        <f>IF(I25="No","No","Yes")</f>
        <v>No</v>
      </c>
    </row>
    <row r="27" spans="3:15" x14ac:dyDescent="0.3">
      <c r="C27" s="141" t="s">
        <v>3865</v>
      </c>
      <c r="D27" s="50"/>
      <c r="E27" s="1558">
        <f>-SUMIF('Master TB'!$E:$E,'Notes To P&amp;L'!H27,'Master TB'!$J:$J)</f>
        <v>1409.5104000000001</v>
      </c>
      <c r="F27" s="1378">
        <f>-SUMIF('Master TB'!$Q:$Q,'Notes To P&amp;L'!H27,'Master TB'!$V:$V)</f>
        <v>1412.83</v>
      </c>
      <c r="H27" s="372" t="s">
        <v>1016</v>
      </c>
      <c r="I27" s="185" t="str">
        <f>IF(AND(E27=0,F27=0),"No","Yes")</f>
        <v>Yes</v>
      </c>
    </row>
    <row r="28" spans="3:15" x14ac:dyDescent="0.3">
      <c r="C28" s="141"/>
      <c r="D28" s="50"/>
      <c r="E28" s="1376"/>
      <c r="F28" s="1376"/>
      <c r="H28" s="221"/>
      <c r="I28" s="221" t="str">
        <f>IF(I27="No","No","Yes")</f>
        <v>Yes</v>
      </c>
    </row>
    <row r="29" spans="3:15" x14ac:dyDescent="0.3">
      <c r="C29" s="2884" t="s">
        <v>35</v>
      </c>
      <c r="D29" s="2884"/>
      <c r="E29" s="1973">
        <f>E18+E23+E25+E27-E386</f>
        <v>5127672.6129999999</v>
      </c>
      <c r="F29" s="1973">
        <f>F18+F23+F25+F27</f>
        <v>4779400.8320000004</v>
      </c>
      <c r="H29" s="221"/>
      <c r="I29" s="185" t="str">
        <f>IF(AND(E29=0,F29=0),"No","Yes")</f>
        <v>Yes</v>
      </c>
    </row>
    <row r="30" spans="3:15" x14ac:dyDescent="0.3">
      <c r="C30" s="225"/>
      <c r="D30" s="225"/>
      <c r="H30" s="221"/>
      <c r="I30" s="221" t="str">
        <f>IF(I29="No","No","Yes")</f>
        <v>Yes</v>
      </c>
    </row>
    <row r="31" spans="3:15" ht="45" hidden="1" x14ac:dyDescent="0.3">
      <c r="C31" s="2870" t="str">
        <f>+IF('Qualitative Disclosures'!C538=0,"",'Qualitative Disclosures'!C538)</f>
        <v>Particulars</v>
      </c>
      <c r="D31" s="2871"/>
      <c r="E31" s="1964" t="str">
        <f>+IF('Qualitative Disclosures'!E538=0,"",'Qualitative Disclosures'!E538)</f>
        <v>For the Year ended 31st March 2025</v>
      </c>
      <c r="F31" s="1964" t="str">
        <f>+IF('Qualitative Disclosures'!F538=0,"",'Qualitative Disclosures'!F538)</f>
        <v>For the Year ended 31st March 2024</v>
      </c>
      <c r="H31" s="221"/>
      <c r="I31" s="221" t="str">
        <f>IF(AND(I32="No",I43="No",I56="No",I68="No"),"No","Yes")</f>
        <v>Yes</v>
      </c>
    </row>
    <row r="32" spans="3:15" hidden="1" x14ac:dyDescent="0.3">
      <c r="C32" s="2324" t="str">
        <f>+IF('Qualitative Disclosures'!C539=0,"",'Qualitative Disclosures'!C539)</f>
        <v xml:space="preserve">Sale of products comprises : </v>
      </c>
      <c r="D32" s="2325"/>
      <c r="E32" s="2326">
        <f>+'Qualitative Disclosures'!E539</f>
        <v>0</v>
      </c>
      <c r="F32" s="2326">
        <f>+'Qualitative Disclosures'!F539</f>
        <v>0</v>
      </c>
      <c r="H32" s="221"/>
      <c r="I32" s="221" t="str">
        <f>IF(AND(I43="No",I33="No"),"No","Yes")</f>
        <v>Yes</v>
      </c>
    </row>
    <row r="33" spans="3:9" hidden="1" x14ac:dyDescent="0.3">
      <c r="C33" s="2327" t="str">
        <f>+IF('Qualitative Disclosures'!C540=0,"",'Qualitative Disclosures'!C540)</f>
        <v>Manufactured goods</v>
      </c>
      <c r="D33" s="2328"/>
      <c r="E33" s="2329">
        <f>+'Qualitative Disclosures'!E540</f>
        <v>0</v>
      </c>
      <c r="F33" s="2329">
        <f>+'Qualitative Disclosures'!F540</f>
        <v>0</v>
      </c>
      <c r="H33" s="221"/>
      <c r="I33" s="221" t="str">
        <f>IF(AND(I37="No",I36="No",I35="No",I34="No"),"No","Yes")</f>
        <v>No</v>
      </c>
    </row>
    <row r="34" spans="3:9" hidden="1" x14ac:dyDescent="0.3">
      <c r="C34" s="2330" t="str">
        <f>+IF('Qualitative Disclosures'!C541=0,"",'Qualitative Disclosures'!C541)</f>
        <v>Product X</v>
      </c>
      <c r="D34" s="2331"/>
      <c r="E34" s="2329">
        <f>+'Qualitative Disclosures'!E541</f>
        <v>0</v>
      </c>
      <c r="F34" s="2329">
        <f>+'Qualitative Disclosures'!F541</f>
        <v>0</v>
      </c>
      <c r="H34" s="221"/>
      <c r="I34" s="221" t="str">
        <f t="shared" ref="I34:I41" si="0">IF(AND(E34=0,F34=0),"No","Yes")</f>
        <v>No</v>
      </c>
    </row>
    <row r="35" spans="3:9" hidden="1" x14ac:dyDescent="0.3">
      <c r="C35" s="2330" t="str">
        <f>+IF('Qualitative Disclosures'!C542=0,"",'Qualitative Disclosures'!C542)</f>
        <v>Product Y</v>
      </c>
      <c r="D35" s="2331"/>
      <c r="E35" s="2329">
        <f>+'Qualitative Disclosures'!E542</f>
        <v>0</v>
      </c>
      <c r="F35" s="2329">
        <f>+'Qualitative Disclosures'!F542</f>
        <v>0</v>
      </c>
      <c r="H35" s="221"/>
      <c r="I35" s="221" t="str">
        <f t="shared" si="0"/>
        <v>No</v>
      </c>
    </row>
    <row r="36" spans="3:9" hidden="1" x14ac:dyDescent="0.3">
      <c r="C36" s="2330" t="str">
        <f>+IF('Qualitative Disclosures'!C543=0,"",'Qualitative Disclosures'!C543)</f>
        <v>Product Z</v>
      </c>
      <c r="D36" s="2331"/>
      <c r="E36" s="2329">
        <f>+'Qualitative Disclosures'!E543</f>
        <v>0</v>
      </c>
      <c r="F36" s="2329">
        <f>+'Qualitative Disclosures'!F543</f>
        <v>0</v>
      </c>
      <c r="H36" s="221"/>
      <c r="I36" s="221" t="str">
        <f t="shared" si="0"/>
        <v>No</v>
      </c>
    </row>
    <row r="37" spans="3:9" hidden="1" x14ac:dyDescent="0.3">
      <c r="C37" s="2330" t="str">
        <f>+IF('Qualitative Disclosures'!C544=0,"",'Qualitative Disclosures'!C544)</f>
        <v xml:space="preserve">Others </v>
      </c>
      <c r="D37" s="2331"/>
      <c r="E37" s="2329">
        <f>+'Qualitative Disclosures'!E544</f>
        <v>0</v>
      </c>
      <c r="F37" s="2329">
        <f>+'Qualitative Disclosures'!F544</f>
        <v>0</v>
      </c>
      <c r="H37" s="221"/>
      <c r="I37" s="221" t="str">
        <f t="shared" si="0"/>
        <v>No</v>
      </c>
    </row>
    <row r="38" spans="3:9" hidden="1" x14ac:dyDescent="0.3">
      <c r="C38" s="2330" t="str">
        <f>+IF('Qualitative Disclosures'!C545=0,"",'Qualitative Disclosures'!C545)</f>
        <v/>
      </c>
      <c r="D38" s="2331"/>
      <c r="E38" s="2329">
        <f>+'Qualitative Disclosures'!E545</f>
        <v>0</v>
      </c>
      <c r="F38" s="2329">
        <f>+'Qualitative Disclosures'!F545</f>
        <v>0</v>
      </c>
      <c r="H38" s="221"/>
      <c r="I38" s="221" t="str">
        <f t="shared" si="0"/>
        <v>No</v>
      </c>
    </row>
    <row r="39" spans="3:9" hidden="1" x14ac:dyDescent="0.3">
      <c r="C39" s="2330" t="str">
        <f>+IF('Qualitative Disclosures'!C546=0,"",'Qualitative Disclosures'!C546)</f>
        <v/>
      </c>
      <c r="D39" s="2331"/>
      <c r="E39" s="2329">
        <f>+'Qualitative Disclosures'!E546</f>
        <v>0</v>
      </c>
      <c r="F39" s="2329">
        <f>+'Qualitative Disclosures'!F546</f>
        <v>0</v>
      </c>
      <c r="H39" s="221"/>
      <c r="I39" s="221" t="str">
        <f t="shared" si="0"/>
        <v>No</v>
      </c>
    </row>
    <row r="40" spans="3:9" hidden="1" x14ac:dyDescent="0.3">
      <c r="C40" s="2330" t="str">
        <f>+IF('Qualitative Disclosures'!C547=0,"",'Qualitative Disclosures'!C547)</f>
        <v/>
      </c>
      <c r="D40" s="2331"/>
      <c r="E40" s="2329">
        <f>+'Qualitative Disclosures'!E547</f>
        <v>0</v>
      </c>
      <c r="F40" s="2329">
        <f>+'Qualitative Disclosures'!F547</f>
        <v>0</v>
      </c>
      <c r="H40" s="221"/>
      <c r="I40" s="221" t="str">
        <f t="shared" si="0"/>
        <v>No</v>
      </c>
    </row>
    <row r="41" spans="3:9" hidden="1" x14ac:dyDescent="0.3">
      <c r="C41" s="2330" t="str">
        <f>+IF('Qualitative Disclosures'!C548=0,"",'Qualitative Disclosures'!C548)</f>
        <v/>
      </c>
      <c r="D41" s="2331"/>
      <c r="E41" s="2329">
        <f>+'Qualitative Disclosures'!E548</f>
        <v>0</v>
      </c>
      <c r="F41" s="2329">
        <f>+'Qualitative Disclosures'!F548</f>
        <v>0</v>
      </c>
      <c r="H41" s="221"/>
      <c r="I41" s="221" t="str">
        <f t="shared" si="0"/>
        <v>No</v>
      </c>
    </row>
    <row r="42" spans="3:9" hidden="1" x14ac:dyDescent="0.3">
      <c r="C42" s="2876" t="str">
        <f>+IF('Qualitative Disclosures'!C549=0,"",'Qualitative Disclosures'!C549)</f>
        <v>Total - Sale of manufactured goods</v>
      </c>
      <c r="D42" s="2877"/>
      <c r="E42" s="2332">
        <f>+'Qualitative Disclosures'!E549</f>
        <v>0</v>
      </c>
      <c r="F42" s="2332">
        <f>+'Qualitative Disclosures'!F549</f>
        <v>0</v>
      </c>
      <c r="H42" s="221"/>
      <c r="I42" s="221" t="str">
        <f>IF(AND(I37="No",I36="No",I35="No",I34="No"),"No","Yes")</f>
        <v>No</v>
      </c>
    </row>
    <row r="43" spans="3:9" hidden="1" x14ac:dyDescent="0.3">
      <c r="C43" s="2327" t="str">
        <f>+IF('Qualitative Disclosures'!C550=0,"",'Qualitative Disclosures'!C550)</f>
        <v>Traded goods</v>
      </c>
      <c r="D43" s="2328"/>
      <c r="E43" s="2329">
        <f>+'Qualitative Disclosures'!E550</f>
        <v>0</v>
      </c>
      <c r="F43" s="2329">
        <f>+'Qualitative Disclosures'!F550</f>
        <v>0</v>
      </c>
      <c r="H43" s="221"/>
      <c r="I43" s="221" t="str">
        <f>IF(AND(I44="No",I45="No",I46="No",I47="No"),"No","Yes")</f>
        <v>Yes</v>
      </c>
    </row>
    <row r="44" spans="3:9" hidden="1" x14ac:dyDescent="0.3">
      <c r="C44" s="1235" t="str">
        <f>+IF('Qualitative Disclosures'!C551=0,"",'Qualitative Disclosures'!C551)</f>
        <v>Sale of Traded Goods</v>
      </c>
      <c r="D44" s="1236"/>
      <c r="E44" s="2329">
        <f>+'Qualitative Disclosures'!E551</f>
        <v>1877072.2483999997</v>
      </c>
      <c r="F44" s="2329">
        <f>+'Qualitative Disclosures'!F551</f>
        <v>1530037.7356999998</v>
      </c>
      <c r="H44" s="221"/>
      <c r="I44" s="221" t="str">
        <f t="shared" ref="I44:I52" si="1">IF(AND(E44=0,F44=0),"No","Yes")</f>
        <v>Yes</v>
      </c>
    </row>
    <row r="45" spans="3:9" hidden="1" x14ac:dyDescent="0.3">
      <c r="C45" s="1235" t="str">
        <f>+IF('Qualitative Disclosures'!C552=0,"",'Qualitative Disclosures'!C552)</f>
        <v/>
      </c>
      <c r="D45" s="1236"/>
      <c r="E45" s="2329">
        <f>+'Qualitative Disclosures'!E552</f>
        <v>0</v>
      </c>
      <c r="F45" s="2329">
        <f>+'Qualitative Disclosures'!F552</f>
        <v>0</v>
      </c>
      <c r="H45" s="221"/>
      <c r="I45" s="221" t="str">
        <f t="shared" si="1"/>
        <v>No</v>
      </c>
    </row>
    <row r="46" spans="3:9" hidden="1" x14ac:dyDescent="0.3">
      <c r="C46" s="1235" t="str">
        <f>+IF('Qualitative Disclosures'!C553=0,"",'Qualitative Disclosures'!C553)</f>
        <v/>
      </c>
      <c r="D46" s="1236"/>
      <c r="E46" s="2329">
        <f>+'Qualitative Disclosures'!E553</f>
        <v>0</v>
      </c>
      <c r="F46" s="2329">
        <f>+'Qualitative Disclosures'!F553</f>
        <v>0</v>
      </c>
      <c r="H46" s="221"/>
      <c r="I46" s="221" t="str">
        <f t="shared" si="1"/>
        <v>No</v>
      </c>
    </row>
    <row r="47" spans="3:9" hidden="1" x14ac:dyDescent="0.3">
      <c r="C47" s="1235" t="str">
        <f>+IF('Qualitative Disclosures'!C554=0,"",'Qualitative Disclosures'!C554)</f>
        <v/>
      </c>
      <c r="D47" s="1236"/>
      <c r="E47" s="2329">
        <f>+'Qualitative Disclosures'!E554</f>
        <v>0</v>
      </c>
      <c r="F47" s="2329">
        <f>+'Qualitative Disclosures'!F554</f>
        <v>0</v>
      </c>
      <c r="H47" s="221"/>
      <c r="I47" s="221" t="str">
        <f t="shared" si="1"/>
        <v>No</v>
      </c>
    </row>
    <row r="48" spans="3:9" hidden="1" x14ac:dyDescent="0.3">
      <c r="C48" s="1235" t="str">
        <f>+IF('Qualitative Disclosures'!C555=0,"",'Qualitative Disclosures'!C555)</f>
        <v/>
      </c>
      <c r="D48" s="1236"/>
      <c r="E48" s="2329">
        <f>+'Qualitative Disclosures'!E555</f>
        <v>0</v>
      </c>
      <c r="F48" s="2329">
        <f>+'Qualitative Disclosures'!F555</f>
        <v>0</v>
      </c>
      <c r="H48" s="221"/>
      <c r="I48" s="221" t="str">
        <f t="shared" si="1"/>
        <v>No</v>
      </c>
    </row>
    <row r="49" spans="3:9" hidden="1" x14ac:dyDescent="0.3">
      <c r="C49" s="1235" t="str">
        <f>+IF('Qualitative Disclosures'!C556=0,"",'Qualitative Disclosures'!C556)</f>
        <v/>
      </c>
      <c r="D49" s="1236"/>
      <c r="E49" s="2329">
        <f>+'Qualitative Disclosures'!E556</f>
        <v>0</v>
      </c>
      <c r="F49" s="2329">
        <f>+'Qualitative Disclosures'!F556</f>
        <v>0</v>
      </c>
      <c r="H49" s="221"/>
      <c r="I49" s="221" t="str">
        <f t="shared" si="1"/>
        <v>No</v>
      </c>
    </row>
    <row r="50" spans="3:9" hidden="1" x14ac:dyDescent="0.3">
      <c r="C50" s="1235" t="str">
        <f>+IF('Qualitative Disclosures'!C557=0,"",'Qualitative Disclosures'!C557)</f>
        <v/>
      </c>
      <c r="D50" s="1236"/>
      <c r="E50" s="2329">
        <f>+'Qualitative Disclosures'!E557</f>
        <v>0</v>
      </c>
      <c r="F50" s="2329">
        <f>+'Qualitative Disclosures'!F557</f>
        <v>0</v>
      </c>
      <c r="H50" s="221"/>
      <c r="I50" s="221" t="str">
        <f t="shared" si="1"/>
        <v>No</v>
      </c>
    </row>
    <row r="51" spans="3:9" hidden="1" x14ac:dyDescent="0.3">
      <c r="C51" s="1235" t="str">
        <f>+IF('Qualitative Disclosures'!C558=0,"",'Qualitative Disclosures'!C558)</f>
        <v/>
      </c>
      <c r="D51" s="1236"/>
      <c r="E51" s="2329">
        <f>+'Qualitative Disclosures'!E558</f>
        <v>0</v>
      </c>
      <c r="F51" s="2329">
        <f>+'Qualitative Disclosures'!F558</f>
        <v>0</v>
      </c>
      <c r="H51" s="221"/>
      <c r="I51" s="221" t="str">
        <f t="shared" si="1"/>
        <v>No</v>
      </c>
    </row>
    <row r="52" spans="3:9" hidden="1" x14ac:dyDescent="0.3">
      <c r="C52" s="1235" t="str">
        <f>+IF('Qualitative Disclosures'!C559=0,"",'Qualitative Disclosures'!C559)</f>
        <v/>
      </c>
      <c r="D52" s="1236"/>
      <c r="E52" s="2329">
        <f>+'Qualitative Disclosures'!E559</f>
        <v>0</v>
      </c>
      <c r="F52" s="2329">
        <f>+'Qualitative Disclosures'!F559</f>
        <v>0</v>
      </c>
      <c r="H52" s="221"/>
      <c r="I52" s="221" t="str">
        <f t="shared" si="1"/>
        <v>No</v>
      </c>
    </row>
    <row r="53" spans="3:9" hidden="1" x14ac:dyDescent="0.3">
      <c r="C53" s="2878" t="str">
        <f>+IF('Qualitative Disclosures'!C560=0,"",'Qualitative Disclosures'!C560)</f>
        <v>Total - Sale of Traded goods</v>
      </c>
      <c r="D53" s="2878"/>
      <c r="E53" s="2333">
        <f>+'Qualitative Disclosures'!E560</f>
        <v>1877072.2483999997</v>
      </c>
      <c r="F53" s="2333">
        <f>+'Qualitative Disclosures'!F560</f>
        <v>1530037.7356999998</v>
      </c>
      <c r="H53" s="221"/>
      <c r="I53" s="221" t="str">
        <f>IF(AND(I44="No",I45="No",I46="No",I47="No"),"No","Yes")</f>
        <v>Yes</v>
      </c>
    </row>
    <row r="54" spans="3:9" hidden="1" x14ac:dyDescent="0.3">
      <c r="C54" s="1237" t="str">
        <f>+IF('Qualitative Disclosures'!C561=0,"",'Qualitative Disclosures'!C561)</f>
        <v/>
      </c>
      <c r="D54" s="1239"/>
      <c r="E54" s="2334">
        <f>+'Qualitative Disclosures'!E561</f>
        <v>0</v>
      </c>
      <c r="F54" s="2334">
        <f>+'Qualitative Disclosures'!F561</f>
        <v>0</v>
      </c>
      <c r="H54" s="221"/>
      <c r="I54" s="221" t="str">
        <f>I53</f>
        <v>Yes</v>
      </c>
    </row>
    <row r="55" spans="3:9" hidden="1" x14ac:dyDescent="0.3">
      <c r="C55" s="2876" t="str">
        <f>+IF('Qualitative Disclosures'!C562=0,"",'Qualitative Disclosures'!C562)</f>
        <v>Total - Sale of manufactured goods</v>
      </c>
      <c r="D55" s="2877"/>
      <c r="E55" s="2335">
        <f>+'Qualitative Disclosures'!E562</f>
        <v>0</v>
      </c>
      <c r="F55" s="2335">
        <f>+'Qualitative Disclosures'!F562</f>
        <v>0</v>
      </c>
      <c r="H55" s="221"/>
      <c r="I55" s="221" t="str">
        <f>IF(AND(I33="No",I43="No"),"No","Yes")</f>
        <v>Yes</v>
      </c>
    </row>
    <row r="56" spans="3:9" hidden="1" x14ac:dyDescent="0.3">
      <c r="C56" s="2336" t="str">
        <f>+IF('Qualitative Disclosures'!C563=0,"",'Qualitative Disclosures'!C563)</f>
        <v>Sale of services comprises :</v>
      </c>
      <c r="D56" s="1225"/>
      <c r="E56" s="2337">
        <f>+'Qualitative Disclosures'!E563</f>
        <v>0</v>
      </c>
      <c r="F56" s="2338">
        <f>+'Qualitative Disclosures'!F563</f>
        <v>0</v>
      </c>
      <c r="G56" s="228"/>
      <c r="H56" s="228"/>
      <c r="I56" s="221" t="str">
        <f>IF(AND(I57="No",I58="No",I59="No",I60="No"),"No","Yes")</f>
        <v>Yes</v>
      </c>
    </row>
    <row r="57" spans="3:9" hidden="1" x14ac:dyDescent="0.3">
      <c r="C57" s="1235" t="str">
        <f>+IF('Qualitative Disclosures'!C564=0,"",'Qualitative Disclosures'!C564)</f>
        <v xml:space="preserve">Sale of services </v>
      </c>
      <c r="D57" s="1236"/>
      <c r="E57" s="2329">
        <f>+'Qualitative Disclosures'!E564</f>
        <v>3309327.1046000002</v>
      </c>
      <c r="F57" s="1222">
        <f>+'Qualitative Disclosures'!F564</f>
        <v>3249363.0963000003</v>
      </c>
      <c r="H57" s="228"/>
      <c r="I57" s="221" t="str">
        <f>IF(AND(E57=0,F57=0),"No","Yes")</f>
        <v>Yes</v>
      </c>
    </row>
    <row r="58" spans="3:9" hidden="1" x14ac:dyDescent="0.3">
      <c r="C58" s="1235" t="str">
        <f>+IF('Qualitative Disclosures'!C565=0,"",'Qualitative Disclosures'!C565)</f>
        <v/>
      </c>
      <c r="D58" s="1236"/>
      <c r="E58" s="2329">
        <f>+'Qualitative Disclosures'!E565</f>
        <v>0</v>
      </c>
      <c r="F58" s="1222">
        <f>+'Qualitative Disclosures'!F565</f>
        <v>0</v>
      </c>
      <c r="H58" s="228"/>
      <c r="I58" s="221" t="str">
        <f>IF(AND(E58=0,F58=0),"No","Yes")</f>
        <v>No</v>
      </c>
    </row>
    <row r="59" spans="3:9" hidden="1" x14ac:dyDescent="0.3">
      <c r="C59" s="1235" t="str">
        <f>+IF('Qualitative Disclosures'!C566=0,"",'Qualitative Disclosures'!C566)</f>
        <v/>
      </c>
      <c r="D59" s="1236"/>
      <c r="E59" s="2329">
        <f>+'Qualitative Disclosures'!E566</f>
        <v>0</v>
      </c>
      <c r="F59" s="1222">
        <f>+'Qualitative Disclosures'!F566</f>
        <v>0</v>
      </c>
      <c r="H59" s="228"/>
      <c r="I59" s="221" t="str">
        <f>IF(AND(E59=0,F59=0),"No","Yes")</f>
        <v>No</v>
      </c>
    </row>
    <row r="60" spans="3:9" hidden="1" x14ac:dyDescent="0.3">
      <c r="C60" s="1235" t="str">
        <f>+IF('Qualitative Disclosures'!C567=0,"",'Qualitative Disclosures'!C567)</f>
        <v/>
      </c>
      <c r="D60" s="1236"/>
      <c r="E60" s="2329">
        <f>+'Qualitative Disclosures'!E567</f>
        <v>0</v>
      </c>
      <c r="F60" s="1222">
        <f>+'Qualitative Disclosures'!F567</f>
        <v>0</v>
      </c>
      <c r="H60" s="228"/>
      <c r="I60" s="221" t="str">
        <f>IF(AND(E60=0,F60=0),"No","Yes")</f>
        <v>No</v>
      </c>
    </row>
    <row r="61" spans="3:9" hidden="1" x14ac:dyDescent="0.3">
      <c r="C61" s="1235" t="str">
        <f>+IF('Qualitative Disclosures'!C568=0,"",'Qualitative Disclosures'!C568)</f>
        <v/>
      </c>
      <c r="D61" s="1236"/>
      <c r="E61" s="2329">
        <f>+'Qualitative Disclosures'!E568</f>
        <v>0</v>
      </c>
      <c r="F61" s="1222">
        <f>+'Qualitative Disclosures'!F568</f>
        <v>0</v>
      </c>
      <c r="H61" s="228"/>
      <c r="I61" s="221" t="str">
        <f t="shared" ref="I61:I66" si="2">IF(AND(E61=0,F61=0),"No","Yes")</f>
        <v>No</v>
      </c>
    </row>
    <row r="62" spans="3:9" hidden="1" x14ac:dyDescent="0.3">
      <c r="C62" s="1235" t="str">
        <f>+IF('Qualitative Disclosures'!C569=0,"",'Qualitative Disclosures'!C569)</f>
        <v/>
      </c>
      <c r="D62" s="1236"/>
      <c r="E62" s="2329">
        <f>+'Qualitative Disclosures'!E569</f>
        <v>0</v>
      </c>
      <c r="F62" s="1222">
        <f>+'Qualitative Disclosures'!F569</f>
        <v>0</v>
      </c>
      <c r="H62" s="228"/>
      <c r="I62" s="221" t="str">
        <f t="shared" si="2"/>
        <v>No</v>
      </c>
    </row>
    <row r="63" spans="3:9" hidden="1" x14ac:dyDescent="0.3">
      <c r="C63" s="1235" t="str">
        <f>+IF('Qualitative Disclosures'!C570=0,"",'Qualitative Disclosures'!C570)</f>
        <v/>
      </c>
      <c r="D63" s="1236"/>
      <c r="E63" s="2329">
        <f>+'Qualitative Disclosures'!E570</f>
        <v>0</v>
      </c>
      <c r="F63" s="1222">
        <f>+'Qualitative Disclosures'!F570</f>
        <v>0</v>
      </c>
      <c r="H63" s="228"/>
      <c r="I63" s="221" t="str">
        <f t="shared" si="2"/>
        <v>No</v>
      </c>
    </row>
    <row r="64" spans="3:9" hidden="1" x14ac:dyDescent="0.3">
      <c r="C64" s="1235" t="str">
        <f>+IF('Qualitative Disclosures'!C571=0,"",'Qualitative Disclosures'!C571)</f>
        <v/>
      </c>
      <c r="D64" s="1236"/>
      <c r="E64" s="2329">
        <f>+'Qualitative Disclosures'!E571</f>
        <v>0</v>
      </c>
      <c r="F64" s="1222">
        <f>+'Qualitative Disclosures'!F571</f>
        <v>0</v>
      </c>
      <c r="H64" s="228"/>
      <c r="I64" s="221" t="str">
        <f t="shared" si="2"/>
        <v>No</v>
      </c>
    </row>
    <row r="65" spans="3:9" hidden="1" x14ac:dyDescent="0.3">
      <c r="C65" s="1235" t="str">
        <f>+IF('Qualitative Disclosures'!C572=0,"",'Qualitative Disclosures'!C572)</f>
        <v/>
      </c>
      <c r="D65" s="1236"/>
      <c r="E65" s="2329">
        <f>+'Qualitative Disclosures'!E572</f>
        <v>0</v>
      </c>
      <c r="F65" s="1222">
        <f>+'Qualitative Disclosures'!F572</f>
        <v>0</v>
      </c>
      <c r="H65" s="228"/>
      <c r="I65" s="221" t="str">
        <f t="shared" si="2"/>
        <v>No</v>
      </c>
    </row>
    <row r="66" spans="3:9" hidden="1" x14ac:dyDescent="0.3">
      <c r="C66" s="1235" t="str">
        <f>+IF('Qualitative Disclosures'!C573=0,"",'Qualitative Disclosures'!C573)</f>
        <v/>
      </c>
      <c r="D66" s="1236"/>
      <c r="E66" s="2329">
        <f>+'Qualitative Disclosures'!E573</f>
        <v>0</v>
      </c>
      <c r="F66" s="1222">
        <f>+'Qualitative Disclosures'!F573</f>
        <v>0</v>
      </c>
      <c r="H66" s="228"/>
      <c r="I66" s="221" t="str">
        <f t="shared" si="2"/>
        <v>No</v>
      </c>
    </row>
    <row r="67" spans="3:9" hidden="1" x14ac:dyDescent="0.3">
      <c r="C67" s="2878" t="str">
        <f>+IF('Qualitative Disclosures'!C574=0,"",'Qualitative Disclosures'!C574)</f>
        <v>Total - Sale of services</v>
      </c>
      <c r="D67" s="2878"/>
      <c r="E67" s="2339">
        <f>+'Qualitative Disclosures'!E574</f>
        <v>3309327.1046000002</v>
      </c>
      <c r="F67" s="2339">
        <f>+'Qualitative Disclosures'!F574</f>
        <v>3249363.0963000003</v>
      </c>
      <c r="H67" s="228"/>
      <c r="I67" s="221" t="str">
        <f>IF(AND(I57="No",I58="No",I59="No",I60="No"),"No","Yes")</f>
        <v>Yes</v>
      </c>
    </row>
    <row r="68" spans="3:9" hidden="1" x14ac:dyDescent="0.3">
      <c r="C68" s="1416" t="str">
        <f>+IF('Qualitative Disclosures'!C575=0,"",'Qualitative Disclosures'!C575)</f>
        <v>Other operating revenues comprise:</v>
      </c>
      <c r="D68" s="1417"/>
      <c r="E68" s="1411">
        <f>+'Qualitative Disclosures'!E575</f>
        <v>0</v>
      </c>
      <c r="F68" s="1414">
        <f>+'Qualitative Disclosures'!F575</f>
        <v>0</v>
      </c>
      <c r="H68" s="228"/>
      <c r="I68" s="221" t="str">
        <f>IF(AND(I69="No",I70="No",I71="No"),"No","Yes")</f>
        <v>No</v>
      </c>
    </row>
    <row r="69" spans="3:9" hidden="1" x14ac:dyDescent="0.3">
      <c r="C69" s="1412" t="str">
        <f>+IF('Qualitative Disclosures'!C576=0,"",'Qualitative Disclosures'!C576)</f>
        <v xml:space="preserve">Sale of scrap </v>
      </c>
      <c r="D69" s="1413"/>
      <c r="E69" s="1411">
        <f>+'Qualitative Disclosures'!E576</f>
        <v>0</v>
      </c>
      <c r="F69" s="1418">
        <f>+'Qualitative Disclosures'!F576</f>
        <v>0</v>
      </c>
      <c r="H69" s="221"/>
      <c r="I69" s="221" t="str">
        <f>IF(AND(E69=0,F69=0),"No","Yes")</f>
        <v>No</v>
      </c>
    </row>
    <row r="70" spans="3:9" hidden="1" x14ac:dyDescent="0.3">
      <c r="C70" s="1412" t="str">
        <f>+IF('Qualitative Disclosures'!C577=0,"",'Qualitative Disclosures'!C577)</f>
        <v>Duty drawback and other export incentives</v>
      </c>
      <c r="D70" s="1413"/>
      <c r="E70" s="1411">
        <f>+'Qualitative Disclosures'!E577</f>
        <v>0</v>
      </c>
      <c r="F70" s="1418">
        <f>+'Qualitative Disclosures'!F577</f>
        <v>0</v>
      </c>
      <c r="H70" s="221"/>
      <c r="I70" s="221" t="str">
        <f>IF(AND(E70=0,F70=0),"No","Yes")</f>
        <v>No</v>
      </c>
    </row>
    <row r="71" spans="3:9" hidden="1" x14ac:dyDescent="0.3">
      <c r="C71" s="1412" t="str">
        <f>+IF('Qualitative Disclosures'!C578=0,"",'Qualitative Disclosures'!C578)</f>
        <v>Others</v>
      </c>
      <c r="D71" s="1413"/>
      <c r="E71" s="1411">
        <f>+'Qualitative Disclosures'!E578</f>
        <v>0</v>
      </c>
      <c r="F71" s="1418">
        <f>+'Qualitative Disclosures'!F578</f>
        <v>0</v>
      </c>
      <c r="H71" s="221"/>
      <c r="I71" s="221" t="str">
        <f>IF(AND(E71=0,F71=0),"No","Yes")</f>
        <v>No</v>
      </c>
    </row>
    <row r="72" spans="3:9" hidden="1" x14ac:dyDescent="0.3">
      <c r="C72" s="1412" t="str">
        <f>+IF('Qualitative Disclosures'!C579=0,"",'Qualitative Disclosures'!C579)</f>
        <v/>
      </c>
      <c r="D72" s="1413"/>
      <c r="E72" s="1411">
        <f>+'Qualitative Disclosures'!E579</f>
        <v>0</v>
      </c>
      <c r="F72" s="1418">
        <f>+'Qualitative Disclosures'!F579</f>
        <v>0</v>
      </c>
      <c r="H72" s="221"/>
      <c r="I72" s="221" t="str">
        <f t="shared" ref="I72:I78" si="3">IF(AND(E72=0,F72=0),"No","Yes")</f>
        <v>No</v>
      </c>
    </row>
    <row r="73" spans="3:9" hidden="1" x14ac:dyDescent="0.3">
      <c r="C73" s="1412" t="str">
        <f>+IF('Qualitative Disclosures'!C580=0,"",'Qualitative Disclosures'!C580)</f>
        <v/>
      </c>
      <c r="D73" s="1413"/>
      <c r="E73" s="1411">
        <f>+'Qualitative Disclosures'!E580</f>
        <v>0</v>
      </c>
      <c r="F73" s="1418">
        <f>+'Qualitative Disclosures'!F580</f>
        <v>0</v>
      </c>
      <c r="H73" s="221"/>
      <c r="I73" s="221" t="str">
        <f t="shared" si="3"/>
        <v>No</v>
      </c>
    </row>
    <row r="74" spans="3:9" hidden="1" x14ac:dyDescent="0.3">
      <c r="C74" s="1412" t="str">
        <f>+IF('Qualitative Disclosures'!C581=0,"",'Qualitative Disclosures'!C581)</f>
        <v/>
      </c>
      <c r="D74" s="1413"/>
      <c r="E74" s="1411">
        <f>+'Qualitative Disclosures'!E581</f>
        <v>0</v>
      </c>
      <c r="F74" s="1418">
        <f>+'Qualitative Disclosures'!F581</f>
        <v>0</v>
      </c>
      <c r="H74" s="221"/>
      <c r="I74" s="221" t="str">
        <f t="shared" si="3"/>
        <v>No</v>
      </c>
    </row>
    <row r="75" spans="3:9" hidden="1" x14ac:dyDescent="0.3">
      <c r="C75" s="1412" t="str">
        <f>+IF('Qualitative Disclosures'!C582=0,"",'Qualitative Disclosures'!C582)</f>
        <v/>
      </c>
      <c r="D75" s="1413"/>
      <c r="E75" s="1411">
        <f>+'Qualitative Disclosures'!E582</f>
        <v>0</v>
      </c>
      <c r="F75" s="1418">
        <f>+'Qualitative Disclosures'!F582</f>
        <v>0</v>
      </c>
      <c r="H75" s="221"/>
      <c r="I75" s="221" t="str">
        <f t="shared" si="3"/>
        <v>No</v>
      </c>
    </row>
    <row r="76" spans="3:9" hidden="1" x14ac:dyDescent="0.3">
      <c r="C76" s="1412" t="str">
        <f>+IF('Qualitative Disclosures'!C583=0,"",'Qualitative Disclosures'!C583)</f>
        <v/>
      </c>
      <c r="D76" s="1413"/>
      <c r="E76" s="1411">
        <f>+'Qualitative Disclosures'!E583</f>
        <v>0</v>
      </c>
      <c r="F76" s="1418">
        <f>+'Qualitative Disclosures'!F583</f>
        <v>0</v>
      </c>
      <c r="H76" s="221"/>
      <c r="I76" s="221" t="str">
        <f t="shared" si="3"/>
        <v>No</v>
      </c>
    </row>
    <row r="77" spans="3:9" hidden="1" x14ac:dyDescent="0.3">
      <c r="C77" s="1412" t="str">
        <f>+IF('Qualitative Disclosures'!C584=0,"",'Qualitative Disclosures'!C584)</f>
        <v/>
      </c>
      <c r="D77" s="1413"/>
      <c r="E77" s="1411">
        <f>+'Qualitative Disclosures'!E584</f>
        <v>0</v>
      </c>
      <c r="F77" s="1418">
        <f>+'Qualitative Disclosures'!F584</f>
        <v>0</v>
      </c>
      <c r="H77" s="221"/>
      <c r="I77" s="221" t="str">
        <f t="shared" si="3"/>
        <v>No</v>
      </c>
    </row>
    <row r="78" spans="3:9" hidden="1" x14ac:dyDescent="0.3">
      <c r="C78" s="1412" t="str">
        <f>+IF('Qualitative Disclosures'!C585=0,"",'Qualitative Disclosures'!C585)</f>
        <v/>
      </c>
      <c r="D78" s="1413"/>
      <c r="E78" s="1411">
        <f>+'Qualitative Disclosures'!E585</f>
        <v>0</v>
      </c>
      <c r="F78" s="1418">
        <f>+'Qualitative Disclosures'!F585</f>
        <v>0</v>
      </c>
      <c r="H78" s="221"/>
      <c r="I78" s="221" t="str">
        <f t="shared" si="3"/>
        <v>No</v>
      </c>
    </row>
    <row r="79" spans="3:9" hidden="1" x14ac:dyDescent="0.3">
      <c r="C79" s="2879" t="str">
        <f>+IF('Qualitative Disclosures'!C586=0,"",'Qualitative Disclosures'!C586)</f>
        <v>Total - Other operating revenues</v>
      </c>
      <c r="D79" s="2880"/>
      <c r="E79" s="1415">
        <f>+'Qualitative Disclosures'!E586</f>
        <v>0</v>
      </c>
      <c r="F79" s="1415">
        <f>+'Qualitative Disclosures'!F586</f>
        <v>0</v>
      </c>
      <c r="H79" s="221"/>
      <c r="I79" s="221" t="str">
        <f>IF(AND(I69="No",I70="No",I71="No"),"No","Yes")</f>
        <v>No</v>
      </c>
    </row>
    <row r="80" spans="3:9" hidden="1" x14ac:dyDescent="0.3">
      <c r="C80" s="56"/>
      <c r="D80" s="56"/>
      <c r="E80" s="1380"/>
      <c r="F80" s="1380"/>
      <c r="H80" s="221"/>
      <c r="I80" s="221" t="str">
        <f>IF(I79="No","No","Yes")</f>
        <v>No</v>
      </c>
    </row>
    <row r="81" spans="3:12" hidden="1" x14ac:dyDescent="0.3">
      <c r="C81" s="1453" t="str">
        <f>+IF(Footnotes!C145="","",Footnotes!C145)</f>
        <v/>
      </c>
      <c r="D81" s="1453" t="str">
        <f>+IF(Footnotes!D145="","",Footnotes!D145)</f>
        <v/>
      </c>
      <c r="E81" s="1535" t="str">
        <f>+IF(Footnotes!E145="","",Footnotes!E145)</f>
        <v/>
      </c>
      <c r="F81" s="1535" t="str">
        <f>+IF(Footnotes!F145="","",Footnotes!F145)</f>
        <v/>
      </c>
      <c r="H81" s="221"/>
      <c r="I81" s="81" t="str">
        <f t="shared" ref="I81:I86" si="4">+IF(AND(F81="",C81="",D81="",E81=""),"No","Yes")</f>
        <v>No</v>
      </c>
    </row>
    <row r="82" spans="3:12" hidden="1" x14ac:dyDescent="0.3">
      <c r="C82" s="1453" t="str">
        <f>+IF(Footnotes!C146="","",Footnotes!C146)</f>
        <v/>
      </c>
      <c r="D82" s="1453" t="str">
        <f>+IF(Footnotes!D146="","",Footnotes!D146)</f>
        <v/>
      </c>
      <c r="E82" s="1535" t="str">
        <f>+IF(Footnotes!E146="","",Footnotes!E146)</f>
        <v/>
      </c>
      <c r="F82" s="1535" t="str">
        <f>+IF(Footnotes!F146="","",Footnotes!F146)</f>
        <v/>
      </c>
      <c r="H82" s="221"/>
      <c r="I82" s="81" t="str">
        <f t="shared" si="4"/>
        <v>No</v>
      </c>
    </row>
    <row r="83" spans="3:12" hidden="1" x14ac:dyDescent="0.3">
      <c r="C83" s="1453" t="str">
        <f>+IF(Footnotes!C147="","",Footnotes!C147)</f>
        <v/>
      </c>
      <c r="D83" s="1453" t="str">
        <f>+IF(Footnotes!D147="","",Footnotes!D147)</f>
        <v/>
      </c>
      <c r="E83" s="1535" t="str">
        <f>+IF(Footnotes!E147="","",Footnotes!E147)</f>
        <v/>
      </c>
      <c r="F83" s="1535" t="str">
        <f>+IF(Footnotes!F147="","",Footnotes!F147)</f>
        <v/>
      </c>
      <c r="H83" s="221"/>
      <c r="I83" s="81" t="str">
        <f t="shared" si="4"/>
        <v>No</v>
      </c>
    </row>
    <row r="84" spans="3:12" hidden="1" x14ac:dyDescent="0.3">
      <c r="C84" s="1453" t="str">
        <f>+IF(Footnotes!C148="","",Footnotes!C148)</f>
        <v/>
      </c>
      <c r="D84" s="1453" t="str">
        <f>+IF(Footnotes!D148="","",Footnotes!D148)</f>
        <v/>
      </c>
      <c r="E84" s="1535" t="str">
        <f>+IF(Footnotes!E148="","",Footnotes!E148)</f>
        <v/>
      </c>
      <c r="F84" s="1535" t="str">
        <f>+IF(Footnotes!F148="","",Footnotes!F148)</f>
        <v/>
      </c>
      <c r="H84" s="221"/>
      <c r="I84" s="81" t="str">
        <f t="shared" si="4"/>
        <v>No</v>
      </c>
    </row>
    <row r="85" spans="3:12" hidden="1" x14ac:dyDescent="0.3">
      <c r="C85" s="1453" t="str">
        <f>+IF(Footnotes!C149="","",Footnotes!C149)</f>
        <v/>
      </c>
      <c r="D85" s="1453" t="str">
        <f>+IF(Footnotes!D149="","",Footnotes!D149)</f>
        <v/>
      </c>
      <c r="E85" s="1535" t="str">
        <f>+IF(Footnotes!E149="","",Footnotes!E149)</f>
        <v/>
      </c>
      <c r="F85" s="1535" t="str">
        <f>+IF(Footnotes!F149="","",Footnotes!F149)</f>
        <v/>
      </c>
      <c r="H85" s="221"/>
      <c r="I85" s="81" t="str">
        <f t="shared" si="4"/>
        <v>No</v>
      </c>
    </row>
    <row r="86" spans="3:12" hidden="1" x14ac:dyDescent="0.3">
      <c r="C86" s="1453" t="str">
        <f>+IF(Footnotes!C150="","",Footnotes!C150)</f>
        <v/>
      </c>
      <c r="D86" s="1453" t="str">
        <f>+IF(Footnotes!D150="","",Footnotes!D150)</f>
        <v/>
      </c>
      <c r="E86" s="1535" t="str">
        <f>+IF(Footnotes!E150="","",Footnotes!E150)</f>
        <v/>
      </c>
      <c r="F86" s="1535" t="str">
        <f>+IF(Footnotes!F150="","",Footnotes!F150)</f>
        <v/>
      </c>
      <c r="H86" s="221"/>
      <c r="I86" s="81" t="str">
        <f t="shared" si="4"/>
        <v>No</v>
      </c>
    </row>
    <row r="87" spans="3:12" hidden="1" x14ac:dyDescent="0.3">
      <c r="C87" s="56"/>
      <c r="D87" s="56"/>
      <c r="E87" s="1380"/>
      <c r="F87" s="1380"/>
      <c r="H87" s="221"/>
      <c r="I87" s="221" t="str">
        <f>+I88</f>
        <v>No</v>
      </c>
    </row>
    <row r="88" spans="3:12" hidden="1" x14ac:dyDescent="0.3">
      <c r="C88" s="56"/>
      <c r="D88" s="56"/>
      <c r="E88" s="1380"/>
      <c r="F88" s="1380"/>
      <c r="H88" s="221"/>
      <c r="I88" s="221" t="str">
        <f>IF(I89="No","No","Yes")</f>
        <v>No</v>
      </c>
    </row>
    <row r="89" spans="3:12" s="1" customFormat="1" hidden="1" x14ac:dyDescent="0.3">
      <c r="C89" s="4" t="str">
        <f>"Note "&amp;'Profit and Loss'!E16 &amp;" - Revenue from operations of Finance Company"</f>
        <v>Note 15 - Revenue from operations of Finance Company</v>
      </c>
      <c r="D89" s="4"/>
      <c r="E89" s="9"/>
      <c r="F89" s="9"/>
      <c r="H89" s="185"/>
      <c r="I89" s="185" t="str">
        <f>IF(I91="No","No","Yes")</f>
        <v>No</v>
      </c>
      <c r="L89" s="179"/>
    </row>
    <row r="90" spans="3:12" s="1" customFormat="1" hidden="1" x14ac:dyDescent="0.3">
      <c r="E90" s="9"/>
      <c r="F90" s="9"/>
      <c r="H90" s="185"/>
      <c r="I90" s="185" t="str">
        <f>IF(I91="No","No","Yes")</f>
        <v>No</v>
      </c>
      <c r="L90" s="179"/>
    </row>
    <row r="91" spans="3:12" ht="45" hidden="1" x14ac:dyDescent="0.3">
      <c r="C91" s="2874" t="s">
        <v>20</v>
      </c>
      <c r="D91" s="2875"/>
      <c r="E91" s="1372" t="str">
        <f>PLCY</f>
        <v>For the Year ended 31st March 2025</v>
      </c>
      <c r="F91" s="1372" t="str">
        <f>PLPY</f>
        <v>For the Year ended 31st March 2024</v>
      </c>
      <c r="H91" s="221"/>
      <c r="I91" s="221" t="str">
        <f>IF(AND(I92="No",I94="No"),"No","Yes")</f>
        <v>No</v>
      </c>
    </row>
    <row r="92" spans="3:12" hidden="1" x14ac:dyDescent="0.3">
      <c r="C92" s="604" t="s">
        <v>1119</v>
      </c>
      <c r="D92" s="209"/>
      <c r="E92" s="1381">
        <f>-SUMIF('Master TB'!$E:$E,'Notes To P&amp;L'!H92,'Master TB'!$J:$J)</f>
        <v>0</v>
      </c>
      <c r="F92" s="1381">
        <f>-SUMIF('Master TB'!$Q:$Q,'Notes To P&amp;L'!H92,'Master TB'!$V:$V)</f>
        <v>0</v>
      </c>
      <c r="H92" s="221" t="s">
        <v>1042</v>
      </c>
      <c r="I92" s="221" t="str">
        <f>IF(AND(E92=0,F92=0),"No","Yes")</f>
        <v>No</v>
      </c>
    </row>
    <row r="93" spans="3:12" hidden="1" x14ac:dyDescent="0.3">
      <c r="C93" s="660"/>
      <c r="D93" s="661"/>
      <c r="E93" s="1381"/>
      <c r="F93" s="1381"/>
      <c r="H93" s="221"/>
      <c r="I93" s="221" t="str">
        <f>IF(I94="No","No","Yes")</f>
        <v>No</v>
      </c>
    </row>
    <row r="94" spans="3:12" hidden="1" x14ac:dyDescent="0.3">
      <c r="C94" s="193" t="str">
        <f>IF(I94="No","(b) Other Financial services",IF(I92="No","(a) Other Financial services",IF(I92="Yes","(b) Other Financial services","(b) Other Financial services")))</f>
        <v>(b) Other Financial services</v>
      </c>
      <c r="D94" s="335"/>
      <c r="E94" s="1381"/>
      <c r="F94" s="1381"/>
      <c r="H94" s="221"/>
      <c r="I94" s="221" t="str">
        <f>IF(AND(I95="No",I96="No",I97="No",I98="No"),"No","Yes")</f>
        <v>No</v>
      </c>
    </row>
    <row r="95" spans="3:12" hidden="1" x14ac:dyDescent="0.3">
      <c r="C95" s="460" t="s">
        <v>1037</v>
      </c>
      <c r="D95" s="456"/>
      <c r="E95" s="1381">
        <f>-SUMIF('Master TB'!$E:$E,'Notes To P&amp;L'!H95,'Master TB'!$J:$J)</f>
        <v>0</v>
      </c>
      <c r="F95" s="1381">
        <f>-SUMIF('Master TB'!$Q:$Q,'Notes To P&amp;L'!H95,'Master TB'!$V:$V)</f>
        <v>0</v>
      </c>
      <c r="H95" s="221" t="s">
        <v>1043</v>
      </c>
      <c r="I95" s="221" t="str">
        <f>IF(AND(E95=0,F95=0),"No","Yes")</f>
        <v>No</v>
      </c>
    </row>
    <row r="96" spans="3:12" hidden="1" x14ac:dyDescent="0.3">
      <c r="C96" s="460" t="s">
        <v>1038</v>
      </c>
      <c r="D96" s="456"/>
      <c r="E96" s="1381">
        <f>-SUMIF('Master TB'!$E:$E,'Notes To P&amp;L'!H96,'Master TB'!$J:$J)</f>
        <v>0</v>
      </c>
      <c r="F96" s="1381">
        <f>-SUMIF('Master TB'!$Q:$Q,'Notes To P&amp;L'!H96,'Master TB'!$V:$V)</f>
        <v>0</v>
      </c>
      <c r="H96" s="221" t="s">
        <v>1044</v>
      </c>
      <c r="I96" s="221" t="str">
        <f>IF(AND(E96=0,F96=0),"No","Yes")</f>
        <v>No</v>
      </c>
    </row>
    <row r="97" spans="3:14" hidden="1" x14ac:dyDescent="0.3">
      <c r="C97" s="460" t="s">
        <v>1039</v>
      </c>
      <c r="D97" s="456"/>
      <c r="E97" s="1381">
        <f>-SUMIF('Master TB'!$E:$E,'Notes To P&amp;L'!H97,'Master TB'!$J:$J)</f>
        <v>0</v>
      </c>
      <c r="F97" s="1381">
        <f>-SUMIF('Master TB'!$Q:$Q,'Notes To P&amp;L'!H97,'Master TB'!$V:$V)</f>
        <v>0</v>
      </c>
      <c r="H97" s="221" t="s">
        <v>1045</v>
      </c>
      <c r="I97" s="221" t="str">
        <f>IF(AND(E97=0,F97=0),"No","Yes")</f>
        <v>No</v>
      </c>
    </row>
    <row r="98" spans="3:14" hidden="1" x14ac:dyDescent="0.3">
      <c r="C98" s="460" t="s">
        <v>1040</v>
      </c>
      <c r="D98" s="456"/>
      <c r="E98" s="1381">
        <f>-SUMIF('Master TB'!$E:$E,'Notes To P&amp;L'!H98,'Master TB'!$J:$J)</f>
        <v>0</v>
      </c>
      <c r="F98" s="1381">
        <f>-SUMIF('Master TB'!$Q:$Q,'Notes To P&amp;L'!H98,'Master TB'!$V:$V)</f>
        <v>0</v>
      </c>
      <c r="H98" s="221" t="s">
        <v>1046</v>
      </c>
      <c r="I98" s="221" t="str">
        <f>IF(AND(E98=0,F98=0),"No","Yes")</f>
        <v>No</v>
      </c>
    </row>
    <row r="99" spans="3:14" hidden="1" x14ac:dyDescent="0.3">
      <c r="C99" s="460"/>
      <c r="D99" s="456"/>
      <c r="E99" s="1381"/>
      <c r="F99" s="1382"/>
      <c r="H99" s="221"/>
      <c r="I99" s="221" t="str">
        <f>IF(I94="No","No","Yes")</f>
        <v>No</v>
      </c>
    </row>
    <row r="100" spans="3:14" hidden="1" x14ac:dyDescent="0.3">
      <c r="C100" s="645" t="s">
        <v>35</v>
      </c>
      <c r="D100" s="664"/>
      <c r="E100" s="1383">
        <f>SUM(E92:E99)</f>
        <v>0</v>
      </c>
      <c r="F100" s="1383">
        <f>SUM(F92:F99)</f>
        <v>0</v>
      </c>
      <c r="H100" s="221"/>
      <c r="I100" s="221" t="str">
        <f>IF(AND(I92="No",I94="No"),"No","Yes")</f>
        <v>No</v>
      </c>
    </row>
    <row r="101" spans="3:14" hidden="1" x14ac:dyDescent="0.3">
      <c r="C101" s="56"/>
      <c r="D101" s="56"/>
      <c r="E101" s="1380"/>
      <c r="F101" s="1380"/>
      <c r="H101" s="221"/>
      <c r="I101" s="221" t="str">
        <f>IF(I100="No","No","Yes")</f>
        <v>No</v>
      </c>
    </row>
    <row r="102" spans="3:14" hidden="1" x14ac:dyDescent="0.3">
      <c r="C102" s="1484" t="str">
        <f>+IF(Footnotes!C153="","",Footnotes!C153)</f>
        <v/>
      </c>
      <c r="D102" s="1484" t="str">
        <f>+IF(Footnotes!D153="","",Footnotes!D153)</f>
        <v/>
      </c>
      <c r="E102" s="1535" t="str">
        <f>+IF(Footnotes!E153="","",Footnotes!E153)</f>
        <v/>
      </c>
      <c r="F102" s="1535" t="str">
        <f>+IF(Footnotes!F153="","",Footnotes!F153)</f>
        <v/>
      </c>
      <c r="H102" s="221"/>
      <c r="I102" s="81" t="str">
        <f t="shared" ref="I102:I107" si="5">+IF(AND(F102="",C102="",D102="",E102=""),"No","Yes")</f>
        <v>No</v>
      </c>
    </row>
    <row r="103" spans="3:14" hidden="1" x14ac:dyDescent="0.3">
      <c r="C103" s="1484" t="str">
        <f>+IF(Footnotes!C154="","",Footnotes!C154)</f>
        <v/>
      </c>
      <c r="D103" s="1484" t="str">
        <f>+IF(Footnotes!D154="","",Footnotes!D154)</f>
        <v/>
      </c>
      <c r="E103" s="1535" t="str">
        <f>+IF(Footnotes!E154="","",Footnotes!E154)</f>
        <v/>
      </c>
      <c r="F103" s="1535" t="str">
        <f>+IF(Footnotes!F154="","",Footnotes!F154)</f>
        <v/>
      </c>
      <c r="H103" s="221"/>
      <c r="I103" s="81" t="str">
        <f t="shared" si="5"/>
        <v>No</v>
      </c>
    </row>
    <row r="104" spans="3:14" hidden="1" x14ac:dyDescent="0.3">
      <c r="C104" s="1484" t="str">
        <f>+IF(Footnotes!C155="","",Footnotes!C155)</f>
        <v/>
      </c>
      <c r="D104" s="1484" t="str">
        <f>+IF(Footnotes!D155="","",Footnotes!D155)</f>
        <v/>
      </c>
      <c r="E104" s="1535" t="str">
        <f>+IF(Footnotes!E155="","",Footnotes!E155)</f>
        <v/>
      </c>
      <c r="F104" s="1535" t="str">
        <f>+IF(Footnotes!F155="","",Footnotes!F155)</f>
        <v/>
      </c>
      <c r="H104" s="221"/>
      <c r="I104" s="81" t="str">
        <f t="shared" si="5"/>
        <v>No</v>
      </c>
    </row>
    <row r="105" spans="3:14" hidden="1" x14ac:dyDescent="0.3">
      <c r="C105" s="1484" t="str">
        <f>+IF(Footnotes!C156="","",Footnotes!C156)</f>
        <v/>
      </c>
      <c r="D105" s="1484" t="str">
        <f>+IF(Footnotes!D156="","",Footnotes!D156)</f>
        <v/>
      </c>
      <c r="E105" s="1535" t="str">
        <f>+IF(Footnotes!E156="","",Footnotes!E156)</f>
        <v/>
      </c>
      <c r="F105" s="1535" t="str">
        <f>+IF(Footnotes!F156="","",Footnotes!F156)</f>
        <v/>
      </c>
      <c r="H105" s="221"/>
      <c r="I105" s="81" t="str">
        <f t="shared" si="5"/>
        <v>No</v>
      </c>
    </row>
    <row r="106" spans="3:14" hidden="1" x14ac:dyDescent="0.3">
      <c r="C106" s="1484" t="str">
        <f>+IF(Footnotes!C157="","",Footnotes!C157)</f>
        <v/>
      </c>
      <c r="D106" s="1484" t="str">
        <f>+IF(Footnotes!D157="","",Footnotes!D157)</f>
        <v/>
      </c>
      <c r="E106" s="1535" t="str">
        <f>+IF(Footnotes!E157="","",Footnotes!E157)</f>
        <v/>
      </c>
      <c r="F106" s="1535" t="str">
        <f>+IF(Footnotes!F157="","",Footnotes!F157)</f>
        <v/>
      </c>
      <c r="H106" s="221"/>
      <c r="I106" s="81" t="str">
        <f t="shared" si="5"/>
        <v>No</v>
      </c>
    </row>
    <row r="107" spans="3:14" hidden="1" x14ac:dyDescent="0.3">
      <c r="C107" s="1484" t="str">
        <f>+IF(Footnotes!C158="","",Footnotes!C158)</f>
        <v/>
      </c>
      <c r="D107" s="1484" t="str">
        <f>+IF(Footnotes!D158="","",Footnotes!D158)</f>
        <v/>
      </c>
      <c r="E107" s="1535" t="str">
        <f>+IF(Footnotes!E158="","",Footnotes!E158)</f>
        <v/>
      </c>
      <c r="F107" s="1535" t="str">
        <f>+IF(Footnotes!F158="","",Footnotes!F158)</f>
        <v/>
      </c>
      <c r="H107" s="221"/>
      <c r="I107" s="81" t="str">
        <f t="shared" si="5"/>
        <v>No</v>
      </c>
    </row>
    <row r="108" spans="3:14" hidden="1" x14ac:dyDescent="0.3">
      <c r="C108" s="56"/>
      <c r="D108" s="56"/>
      <c r="E108" s="1380"/>
      <c r="F108" s="1380"/>
      <c r="H108" s="221"/>
      <c r="I108" s="221" t="str">
        <f>IF(I109="No","No","Yes")</f>
        <v>Yes</v>
      </c>
    </row>
    <row r="109" spans="3:14" x14ac:dyDescent="0.3">
      <c r="C109" s="20" t="str">
        <f>"Note "&amp;'Profit and Loss'!E17 &amp;" - Other Income"</f>
        <v>Note 16 - Other Income</v>
      </c>
      <c r="D109" s="20"/>
      <c r="E109" s="841"/>
      <c r="F109" s="841"/>
      <c r="G109" s="41"/>
      <c r="H109" s="221"/>
      <c r="I109" s="221" t="str">
        <f>IF(I111="No","No","Yes")</f>
        <v>Yes</v>
      </c>
    </row>
    <row r="110" spans="3:14" x14ac:dyDescent="0.3">
      <c r="C110" s="20"/>
      <c r="D110" s="20"/>
      <c r="E110" s="841"/>
      <c r="F110" s="1510" t="str">
        <f>+E12</f>
        <v>Amount in Rs ' 00</v>
      </c>
      <c r="G110" s="41"/>
      <c r="H110" s="221"/>
      <c r="I110" s="221" t="str">
        <f>IF(I111="No","No","Yes")</f>
        <v>Yes</v>
      </c>
    </row>
    <row r="111" spans="3:14" ht="45" x14ac:dyDescent="0.3">
      <c r="C111" s="2881" t="s">
        <v>20</v>
      </c>
      <c r="D111" s="2882"/>
      <c r="E111" s="1964" t="str">
        <f>PLCY</f>
        <v>For the Year ended 31st March 2025</v>
      </c>
      <c r="F111" s="1964" t="str">
        <f>PLPY</f>
        <v>For the Year ended 31st March 2024</v>
      </c>
      <c r="G111" s="41"/>
      <c r="H111" s="221"/>
      <c r="I111" s="221" t="str">
        <f>IF(AND(I112="No",I113="No",I114="No",I115="No",I116="No",I117="No",I118="No",I119="No",I120="No",I123="No"),"No","Yes")</f>
        <v>Yes</v>
      </c>
    </row>
    <row r="112" spans="3:14" x14ac:dyDescent="0.3">
      <c r="C112" s="381" t="s">
        <v>3866</v>
      </c>
      <c r="D112" s="665"/>
      <c r="E112" s="1378">
        <f>-SUMIF('Master TB'!$E:$E,'Notes To P&amp;L'!H112,'Master TB'!$J:$J)</f>
        <v>54521.19</v>
      </c>
      <c r="F112" s="1374">
        <f>-SUMIF('Master TB'!$Q:$Q,'Notes To P&amp;L'!H112,'Master TB'!$V:$V)</f>
        <v>34613.269999999997</v>
      </c>
      <c r="H112" s="8" t="s">
        <v>1023</v>
      </c>
      <c r="I112" s="221" t="str">
        <f t="shared" ref="I112:I124" si="6">IF(AND(E112=0,F112=0),"No","Yes")</f>
        <v>Yes</v>
      </c>
      <c r="N112" s="225" t="s">
        <v>42</v>
      </c>
    </row>
    <row r="113" spans="3:34" hidden="1" x14ac:dyDescent="0.3">
      <c r="C113" s="358" t="str">
        <f>IF(I113="No","(b) Dividend income",IF(COUNTIF(I112,"Yes")=0,"(a) Dividend Income",IF(COUNTIF(I112,"Yes")=1,"(b) Dividend Income","(b) Dividend Income")))</f>
        <v>(b) Dividend income</v>
      </c>
      <c r="D113" s="666"/>
      <c r="E113" s="1378">
        <f>-SUMIF('Master TB'!$E:$E,'Notes To P&amp;L'!H113,'Master TB'!$J:$J)</f>
        <v>0</v>
      </c>
      <c r="F113" s="1374">
        <f>-SUMIF('Master TB'!$Q:$Q,'Notes To P&amp;L'!H113,'Master TB'!$V:$V)</f>
        <v>0</v>
      </c>
      <c r="H113" s="8" t="s">
        <v>1024</v>
      </c>
      <c r="I113" s="221" t="str">
        <f t="shared" si="6"/>
        <v>No</v>
      </c>
      <c r="N113" s="14" t="s">
        <v>43</v>
      </c>
    </row>
    <row r="114" spans="3:34" hidden="1" x14ac:dyDescent="0.3">
      <c r="C114" s="358" t="str">
        <f>IF(I114="No","(c) Net gain on foreign currency transactions and translation",IF(COUNTIF(I112:I113,"Yes")=0,"(a) Net gain on foreign currency transactions and translation",IF(COUNTIF(I112:I113,"Yes")=1,"(b) Net gain on foreign currency transactions and translation",IF(COUNTIF(I112:I113,"No")=2,"(c) Net gain on foreign currency transactions and translation","(c) Net gain on foreign currency transactions and translation"))))</f>
        <v>(c) Net gain on foreign currency transactions and translation</v>
      </c>
      <c r="D114" s="666"/>
      <c r="E114" s="1378">
        <f>-SUMIF('Master TB'!$E:$E,'Notes To P&amp;L'!H114,'Master TB'!$J:$J)</f>
        <v>0</v>
      </c>
      <c r="F114" s="1374">
        <f>-SUMIF('Master TB'!$Q:$Q,'Notes To P&amp;L'!H114,'Master TB'!$V:$V)</f>
        <v>0</v>
      </c>
      <c r="H114" s="8" t="s">
        <v>1025</v>
      </c>
      <c r="I114" s="221" t="str">
        <f t="shared" si="6"/>
        <v>No</v>
      </c>
      <c r="N114" s="14" t="s">
        <v>979</v>
      </c>
    </row>
    <row r="115" spans="3:34" hidden="1" x14ac:dyDescent="0.3">
      <c r="C115" s="380" t="str">
        <f>IF(I115="No","(d) Profit on conversion of Stock into Capital asset",IF(COUNTIF(I112:I114,"Yes")=0,"(a) Profit on conversion of Stock into Capital asset",IF(COUNTIF(I112:I114,"Yes")=1,"(b) Profit on conversion of Stock into Capital asset",IF(COUNTIF(I112:I114,"Yes")=2,"(c) Profit on conversion of Stock into Capital asset",IF(COUNTIF(I112:I114,"No")=3,"(d) Profit on conversion of Stock into Capital asset","(d) Profit on conversion of Stock into Capital asset")))))</f>
        <v>(d) Profit on conversion of Stock into Capital asset</v>
      </c>
      <c r="D115" s="305"/>
      <c r="E115" s="1378">
        <f>-SUMIF('Master TB'!$E:$E,'Notes To P&amp;L'!H115,'Master TB'!$J:$J)</f>
        <v>0</v>
      </c>
      <c r="F115" s="1374">
        <f>-SUMIF('Master TB'!$Q:$Q,'Notes To P&amp;L'!H115,'Master TB'!$V:$V)</f>
        <v>0</v>
      </c>
      <c r="H115" s="81" t="s">
        <v>1026</v>
      </c>
      <c r="I115" s="221" t="str">
        <f t="shared" si="6"/>
        <v>No</v>
      </c>
      <c r="N115" s="14" t="s">
        <v>755</v>
      </c>
    </row>
    <row r="116" spans="3:34" hidden="1" x14ac:dyDescent="0.3">
      <c r="C116" s="186" t="str">
        <f>IF(I116="No","(e) Profit on sale of fixed assets",IF(COUNTIF(I112:I115,"Yes")=0,"(a) Profit on sale of fixed assets",IF(COUNTIF(I112:I115,"Yes")=1,"(b) Profit on sale of fixed assets",IF(COUNTIF(I112:I115,"Yes")=2,"(c) Profit on sale of fixed assets",IF(COUNTIF(I112:I115,"Yes")=3,"(d) Profit on sale of fixed assets",IF(COUNTIF(I112:I115,"No")=4,"(e) Profit on sale of fixed assets","(e) Profit on sale of fixed assets"))))))</f>
        <v>(e) Profit on sale of fixed assets</v>
      </c>
      <c r="D116" s="6"/>
      <c r="E116" s="1378">
        <f>-SUMIF('Master TB'!$E:$E,'Notes To P&amp;L'!H116,'Master TB'!$J:$J)</f>
        <v>0</v>
      </c>
      <c r="F116" s="1374">
        <f>-SUMIF('Master TB'!$Q:$Q,'Notes To P&amp;L'!H116,'Master TB'!$V:$V)</f>
        <v>0</v>
      </c>
      <c r="H116" s="8" t="s">
        <v>1027</v>
      </c>
      <c r="I116" s="221" t="str">
        <f t="shared" si="6"/>
        <v>No</v>
      </c>
      <c r="N116" s="14" t="s">
        <v>756</v>
      </c>
    </row>
    <row r="117" spans="3:34" hidden="1" x14ac:dyDescent="0.3">
      <c r="C117" s="358" t="str">
        <f>IF(I117="No","(f) Net gain on sale of investments - Having STT",IF(COUNTIF(I112:I116,"Yes")=0,"(a) Net gain on sale of investments - Having STT",IF(COUNTIF(I112:I116,"Yes")=1,"(b) Net gain on sale of investments - Having STT",IF(COUNTIF(I112:I116,"Yes")=2,"(c) Net gain on sale of investments - Having STT",IF(COUNTIF(I112:I116,"Yes")=3,"(d) Net gain on sale of investments - Having STT",IF(COUNTIF(I112:I116,"Yes")=4,"(e) Net gain on sale of investments - Having STT",IF(COUNTIF(I112:I116,"No")=5,"(f) Net gain on sale of investments - Having STT","(f) Net gain on sale of investments - Having STT")))))))</f>
        <v>(f) Net gain on sale of investments - Having STT</v>
      </c>
      <c r="D117" s="666"/>
      <c r="E117" s="1378">
        <f>-SUMIF('Master TB'!$E:$E,'Notes To P&amp;L'!H117,'Master TB'!$J:$J)</f>
        <v>0</v>
      </c>
      <c r="F117" s="1374">
        <f>-SUMIF('Master TB'!$Q:$Q,'Notes To P&amp;L'!H117,'Master TB'!$V:$V)</f>
        <v>0</v>
      </c>
      <c r="H117" s="81" t="s">
        <v>1028</v>
      </c>
      <c r="I117" s="221" t="str">
        <f t="shared" si="6"/>
        <v>No</v>
      </c>
      <c r="N117" s="14" t="s">
        <v>980</v>
      </c>
    </row>
    <row r="118" spans="3:34" hidden="1" x14ac:dyDescent="0.3">
      <c r="C118" s="358" t="str">
        <f>IF(I118="No","(g) Net gain on sale of other investments",IF(COUNTIF(I112:I117,"Yes")=0,"(a) Net gain on sale of other investments",IF(COUNTIF(I112:I117,"Yes")=1,"(b) Net gain on sale of other investments",IF(COUNTIF(I112:I117,"Yes")=2,"(c) Net gain on sale of other investments",IF(COUNTIF(I112:I117,"Yes")=3,"(d) Net gain on sale of other investments",IF(COUNTIF(I112:I117,"Yes")=4,"(e) Net gain on sale of other investments",IF(COUNTIF(I112:I117,"Yes")=5,"(f) Net gain on sale of other investments",IF(COUNTIF(I112:I117,"No")=6,"(g) Net gain on sale of other investments","(g) Net gain on sale of other investments"))))))))</f>
        <v>(g) Net gain on sale of other investments</v>
      </c>
      <c r="D118" s="666"/>
      <c r="E118" s="1378">
        <f>-SUMIF('Master TB'!$E:$E,'Notes To P&amp;L'!H118,'Master TB'!$J:$J)</f>
        <v>0</v>
      </c>
      <c r="F118" s="1374">
        <f>-SUMIF('Master TB'!$Q:$Q,'Notes To P&amp;L'!H118,'Master TB'!$V:$V)</f>
        <v>0</v>
      </c>
      <c r="H118" s="8" t="s">
        <v>1029</v>
      </c>
      <c r="I118" s="221" t="str">
        <f t="shared" si="6"/>
        <v>No</v>
      </c>
      <c r="N118" s="14" t="s">
        <v>981</v>
      </c>
    </row>
    <row r="119" spans="3:34" ht="33" hidden="1" x14ac:dyDescent="0.3">
      <c r="C119" s="358" t="str">
        <f>IF(I119="No","(h) Adjustments to the carrying amount of investments - reversal of reduction in the carrying amount",IF(COUNTIF(I112:I118,"Yes")=0,"(a) Adjustments to the carrying amount of investments - reversal of reduction in the carrying amount",IF(COUNTIF(I112:I118,"Yes")=1,"(b) Adjustments to the carrying amount of investments - reversal of reduction in the carrying amount",IF(COUNTIF(I112:I118,"Yes")=2,"(c) Adjustments to the carrying amount of investments - reversal of reduction in the carrying amount",IF(COUNTIF(I112:I118,"Yes")=3,"(d) Adjustments to the carrying amount of investments - reversal of reduction in the carrying amount",IF(COUNTIF(I112:I118,"Yes")=4,"(e) Adjustments to the carrying amount of investments - reversal of reduction in the carrying amount",IF(COUNTIF(I112:I118,"Yes")=5,"(f) Adjustments to the carrying amount of investments - reversal of reduction in the carrying amount",IF(COUNTIF(I112:I118,"No")=6,"(g) Adjustments to the carrying amount of investments - reversal of reduction in the carrying amount",IF(COUNTIF(I112:I118,"No")=7,"(h) Adjustments to the carrying amount of investments - reversal of reduction in the carrying amount","(h) Adjustments to the carrying amount of investments - reversal of reduction in the carrying amount")))))))))</f>
        <v>(h) Adjustments to the carrying amount of investments - reversal of reduction in the carrying amount</v>
      </c>
      <c r="D119" s="666"/>
      <c r="E119" s="1378">
        <f>-SUMIF('Master TB'!$E:$E,'Notes To P&amp;L'!H119,'Master TB'!$J:$J)</f>
        <v>0</v>
      </c>
      <c r="F119" s="1374">
        <f>-SUMIF('Master TB'!$Q:$Q,'Notes To P&amp;L'!H119,'Master TB'!$V:$V)</f>
        <v>0</v>
      </c>
      <c r="H119" s="81" t="s">
        <v>1030</v>
      </c>
      <c r="I119" s="221" t="str">
        <f t="shared" si="6"/>
        <v>No</v>
      </c>
      <c r="N119" s="14" t="s">
        <v>982</v>
      </c>
    </row>
    <row r="120" spans="3:34" hidden="1" x14ac:dyDescent="0.3">
      <c r="C120" s="315" t="str">
        <f>IF(I120="No","(i) Rent Income",IF(COUNTIF(I112:I119,"Yes")=0,"(a) Rent Income",IF(COUNTIF(I112:I119,"Yes")=1,"(b) Rent Income",IF(COUNTIF(I112:I119,"Yes")=2,"(c) Rent Income",IF(COUNTIF(I112:I119,"Yes")=3,"(d) Rent Income",IF(COUNTIF(I112:I119,"Yes")=4,"(e) Rent Income",IF(COUNTIF(I112:I119,"Yes")=5,"(f) Rent Income",IF(COUNTIF(I112:I119,"Yes")=6,"(g) Rent Income",IF(COUNTIF(I112:I119,"No")=7,"(h) Rent Income",IF(COUNTIF(I112:I119,"No")=8,"(i) Rent Income","(i) Rent Income"))))))))))</f>
        <v>(i) Rent Income</v>
      </c>
      <c r="D120" s="360"/>
      <c r="E120" s="1378">
        <f>-SUMIF('Master TB'!$E:$E,'Notes To P&amp;L'!H120,'Master TB'!$J:$J)</f>
        <v>0</v>
      </c>
      <c r="F120" s="1374">
        <f>-SUMIF('Master TB'!$Q:$Q,'Notes To P&amp;L'!H120,'Master TB'!$V:$V)</f>
        <v>0</v>
      </c>
      <c r="H120" s="8" t="s">
        <v>1031</v>
      </c>
      <c r="I120" s="221" t="str">
        <f t="shared" si="6"/>
        <v>No</v>
      </c>
      <c r="N120" s="14" t="s">
        <v>757</v>
      </c>
    </row>
    <row r="121" spans="3:34" x14ac:dyDescent="0.3">
      <c r="C121" s="315" t="s">
        <v>3867</v>
      </c>
      <c r="D121" s="360"/>
      <c r="E121" s="1378">
        <f>-SUMIF('Master TB'!E:E,'Notes To P&amp;L'!H121,'Master TB'!J:J)</f>
        <v>481.66989999999998</v>
      </c>
      <c r="F121" s="1374">
        <f>-SUMIF('Master TB'!Q:Q,'Notes To P&amp;L'!$H$121,'Master TB'!V:V)</f>
        <v>57542.984000000004</v>
      </c>
      <c r="H121" s="221" t="s">
        <v>3501</v>
      </c>
      <c r="L121" s="1799" t="s">
        <v>3563</v>
      </c>
    </row>
    <row r="122" spans="3:34" x14ac:dyDescent="0.3">
      <c r="C122" s="315" t="s">
        <v>3868</v>
      </c>
      <c r="D122" s="360"/>
      <c r="E122" s="1378">
        <f>-SUMIF('Master TB'!E:E,'Notes To P&amp;L'!H122,'Master TB'!J:J)</f>
        <v>193.06740000000002</v>
      </c>
      <c r="F122" s="1374">
        <f>-SUMIF('Master TB'!Q:Q,'Notes To P&amp;L'!$H$122,'Master TB'!V:V)</f>
        <v>30663.11</v>
      </c>
      <c r="H122" s="221" t="s">
        <v>3718</v>
      </c>
    </row>
    <row r="123" spans="3:34" x14ac:dyDescent="0.3">
      <c r="C123" s="358" t="s">
        <v>3869</v>
      </c>
      <c r="D123" s="666"/>
      <c r="E123" s="1378">
        <f>-SUMIF('Master TB'!$E:$E,'Notes To P&amp;L'!H123,'Master TB'!$J:$J)</f>
        <v>2515.9904000000001</v>
      </c>
      <c r="F123" s="1374">
        <f>-SUMIF('Master TB'!$Q:$Q,'Notes To P&amp;L'!H123,'Master TB'!$V:$V)</f>
        <v>0</v>
      </c>
      <c r="H123" s="81" t="s">
        <v>1032</v>
      </c>
      <c r="I123" s="221" t="str">
        <f t="shared" si="6"/>
        <v>Yes</v>
      </c>
      <c r="N123" s="14" t="s">
        <v>983</v>
      </c>
      <c r="AG123" s="2346">
        <f>+E112-E148</f>
        <v>0</v>
      </c>
      <c r="AH123" s="2346">
        <f>+F112-F148</f>
        <v>0</v>
      </c>
    </row>
    <row r="124" spans="3:34" x14ac:dyDescent="0.3">
      <c r="C124" s="316" t="s">
        <v>35</v>
      </c>
      <c r="D124" s="667"/>
      <c r="E124" s="2531">
        <f>SUM(E112:E123)</f>
        <v>57711.917700000005</v>
      </c>
      <c r="F124" s="2584">
        <f>SUM(F112:F123)</f>
        <v>122819.364</v>
      </c>
      <c r="G124" s="41"/>
      <c r="H124" s="81"/>
      <c r="I124" s="221" t="str">
        <f t="shared" si="6"/>
        <v>Yes</v>
      </c>
    </row>
    <row r="125" spans="3:34" x14ac:dyDescent="0.3">
      <c r="C125" s="41"/>
      <c r="D125" s="41"/>
      <c r="E125" s="1172"/>
      <c r="F125" s="1172"/>
      <c r="G125" s="41"/>
      <c r="H125" s="8"/>
      <c r="I125" s="221" t="str">
        <f>IF(I124="No","No","Yes")</f>
        <v>Yes</v>
      </c>
    </row>
    <row r="126" spans="3:34" x14ac:dyDescent="0.3">
      <c r="C126" s="17" t="str">
        <f>+IF('Qualitative Disclosures'!C590=0,"",'Qualitative Disclosures'!C590)</f>
        <v>Break-up of Interest Income</v>
      </c>
      <c r="D126" s="17"/>
      <c r="E126" s="1172"/>
      <c r="F126" s="1568" t="str">
        <f>+F110</f>
        <v>Amount in Rs ' 00</v>
      </c>
      <c r="G126" s="41"/>
      <c r="H126" s="8"/>
      <c r="I126" s="221" t="str">
        <f>IF(AND(I128="No",I129="No",I130="No",I131="No",I132="No",I133="No",I134="No",I135="No",I136="No"),"No","Yes")</f>
        <v>Yes</v>
      </c>
    </row>
    <row r="127" spans="3:34" ht="45" x14ac:dyDescent="0.3">
      <c r="C127" s="2870" t="str">
        <f>+IF('Qualitative Disclosures'!C591=0,"",'Qualitative Disclosures'!C591)</f>
        <v>Particulars</v>
      </c>
      <c r="D127" s="2871" t="str">
        <f>+IF('Qualitative Disclosures'!D591=0,"",'Qualitative Disclosures'!D591)</f>
        <v/>
      </c>
      <c r="E127" s="1964" t="str">
        <f>+IF('Qualitative Disclosures'!E591=0,"",'Qualitative Disclosures'!E591)</f>
        <v>For the Year ended 31st March 2025</v>
      </c>
      <c r="F127" s="1964" t="str">
        <f>+IF('Qualitative Disclosures'!F591=0,"",'Qualitative Disclosures'!F591)</f>
        <v>For the Year ended 31st March 2024</v>
      </c>
      <c r="G127" s="41"/>
      <c r="H127" s="8"/>
      <c r="I127" s="221" t="str">
        <f>IF(AND(I128="No",I129="No",I130="No",I131="No",I132="No",I133="No",I134="No",I135="No",I136="No"),"No","Yes")</f>
        <v>Yes</v>
      </c>
    </row>
    <row r="128" spans="3:34" x14ac:dyDescent="0.3">
      <c r="C128" s="1245" t="str">
        <f>+IF('Qualitative Disclosures'!C592=0,"",'Qualitative Disclosures'!C592)</f>
        <v>Interest income comprises:</v>
      </c>
      <c r="D128" s="1246" t="str">
        <f>+IF('Qualitative Disclosures'!D592=0,"",'Qualitative Disclosures'!D592)</f>
        <v/>
      </c>
      <c r="E128" s="843"/>
      <c r="F128" s="843"/>
      <c r="G128" s="41"/>
      <c r="H128" s="81"/>
      <c r="I128" s="221" t="str">
        <f>IF(AND(E130=0,F128=0),"No","Yes")</f>
        <v>Yes</v>
      </c>
    </row>
    <row r="129" spans="3:9" x14ac:dyDescent="0.3">
      <c r="C129" s="1247" t="str">
        <f>+IF('Qualitative Disclosures'!C593=0,"",'Qualitative Disclosures'!C593)</f>
        <v>(a) Interest from banks on:</v>
      </c>
      <c r="D129" s="1248" t="str">
        <f>+IF('Qualitative Disclosures'!D593=0,"",'Qualitative Disclosures'!D593)</f>
        <v/>
      </c>
      <c r="E129" s="831"/>
      <c r="F129" s="831"/>
      <c r="G129" s="41"/>
      <c r="H129" s="221"/>
      <c r="I129" s="221" t="str">
        <f>IF(AND(E130=0,F129=0),"No","Yes")</f>
        <v>Yes</v>
      </c>
    </row>
    <row r="130" spans="3:9" x14ac:dyDescent="0.3">
      <c r="C130" s="286" t="str">
        <f>+IF('Qualitative Disclosures'!C594=0,"",'Qualitative Disclosures'!C594)</f>
        <v>Deposits</v>
      </c>
      <c r="D130" s="484" t="str">
        <f>+IF('Qualitative Disclosures'!D594=0,"",'Qualitative Disclosures'!D594)</f>
        <v/>
      </c>
      <c r="E130" s="831">
        <f>+'Qualitative Disclosures'!E594</f>
        <v>54521.19</v>
      </c>
      <c r="F130" s="831">
        <f>+'Qualitative Disclosures'!F594</f>
        <v>32247.27</v>
      </c>
      <c r="G130" s="41"/>
      <c r="H130" s="221"/>
      <c r="I130" s="221" t="str">
        <f t="shared" ref="I130:I147" si="7">IF(AND(E130=0,F130=0),"No","Yes")</f>
        <v>Yes</v>
      </c>
    </row>
    <row r="131" spans="3:9" hidden="1" x14ac:dyDescent="0.3">
      <c r="C131" s="286" t="str">
        <f>+IF('Qualitative Disclosures'!C595=0,"",'Qualitative Disclosures'!C595)</f>
        <v>other balances</v>
      </c>
      <c r="D131" s="484" t="str">
        <f>+IF('Qualitative Disclosures'!D595=0,"",'Qualitative Disclosures'!D595)</f>
        <v/>
      </c>
      <c r="E131" s="831">
        <f>+'Qualitative Disclosures'!E595</f>
        <v>0</v>
      </c>
      <c r="F131" s="831">
        <f>+'Qualitative Disclosures'!F595</f>
        <v>0</v>
      </c>
      <c r="G131" s="41"/>
      <c r="H131" s="221"/>
      <c r="I131" s="221" t="str">
        <f t="shared" si="7"/>
        <v>No</v>
      </c>
    </row>
    <row r="132" spans="3:9" hidden="1" x14ac:dyDescent="0.3">
      <c r="C132" s="1247" t="str">
        <f>+IF('Qualitative Disclosures'!C596=0,"",'Qualitative Disclosures'!C596)</f>
        <v>Interest on loans and advances</v>
      </c>
      <c r="D132" s="1248" t="str">
        <f>+IF('Qualitative Disclosures'!D596=0,"",'Qualitative Disclosures'!D596)</f>
        <v/>
      </c>
      <c r="E132" s="831">
        <f>+'Qualitative Disclosures'!E596</f>
        <v>0</v>
      </c>
      <c r="F132" s="831">
        <f>+'Qualitative Disclosures'!F596</f>
        <v>0</v>
      </c>
      <c r="G132" s="41"/>
      <c r="H132" s="221"/>
      <c r="I132" s="221" t="str">
        <f t="shared" si="7"/>
        <v>No</v>
      </c>
    </row>
    <row r="133" spans="3:9" hidden="1" x14ac:dyDescent="0.3">
      <c r="C133" s="1247" t="str">
        <f>+IF('Qualitative Disclosures'!C597=0,"",'Qualitative Disclosures'!C597)</f>
        <v xml:space="preserve">Interest on overdue trade receivables </v>
      </c>
      <c r="D133" s="1248" t="str">
        <f>+IF('Qualitative Disclosures'!D597=0,"",'Qualitative Disclosures'!D597)</f>
        <v/>
      </c>
      <c r="E133" s="831">
        <f>+'Qualitative Disclosures'!E597</f>
        <v>0</v>
      </c>
      <c r="F133" s="831">
        <f>+'Qualitative Disclosures'!F597</f>
        <v>0</v>
      </c>
      <c r="G133" s="41"/>
      <c r="H133" s="221"/>
      <c r="I133" s="221" t="str">
        <f t="shared" si="7"/>
        <v>No</v>
      </c>
    </row>
    <row r="134" spans="3:9" hidden="1" x14ac:dyDescent="0.3">
      <c r="C134" s="1247" t="str">
        <f>+IF('Qualitative Disclosures'!C598=0,"",'Qualitative Disclosures'!C598)</f>
        <v>Interest income from current investments</v>
      </c>
      <c r="D134" s="1248" t="str">
        <f>+IF('Qualitative Disclosures'!D598=0,"",'Qualitative Disclosures'!D598)</f>
        <v/>
      </c>
      <c r="E134" s="831">
        <f>+'Qualitative Disclosures'!E598</f>
        <v>0</v>
      </c>
      <c r="F134" s="831">
        <f>+'Qualitative Disclosures'!F598</f>
        <v>0</v>
      </c>
      <c r="G134" s="41"/>
      <c r="H134" s="8"/>
      <c r="I134" s="221" t="str">
        <f t="shared" si="7"/>
        <v>No</v>
      </c>
    </row>
    <row r="135" spans="3:9" hidden="1" x14ac:dyDescent="0.3">
      <c r="C135" s="1247" t="str">
        <f>+IF('Qualitative Disclosures'!C599=0,"",'Qualitative Disclosures'!C599)</f>
        <v>Interest income from long-term investments</v>
      </c>
      <c r="D135" s="1248" t="str">
        <f>+IF('Qualitative Disclosures'!D599=0,"",'Qualitative Disclosures'!D599)</f>
        <v/>
      </c>
      <c r="E135" s="831">
        <f>+'Qualitative Disclosures'!E599</f>
        <v>0</v>
      </c>
      <c r="F135" s="831">
        <f>+'Qualitative Disclosures'!F599</f>
        <v>0</v>
      </c>
      <c r="G135" s="41"/>
      <c r="H135" s="81"/>
      <c r="I135" s="221" t="str">
        <f t="shared" si="7"/>
        <v>No</v>
      </c>
    </row>
    <row r="136" spans="3:9" x14ac:dyDescent="0.3">
      <c r="C136" s="1247" t="str">
        <f>+IF('Qualitative Disclosures'!C600=0,"",'Qualitative Disclosures'!C600)</f>
        <v>(b) Interest on income tax refund</v>
      </c>
      <c r="D136" s="1248" t="str">
        <f>+IF('Qualitative Disclosures'!D600=0,"",'Qualitative Disclosures'!D600)</f>
        <v/>
      </c>
      <c r="E136" s="831">
        <f>+'Qualitative Disclosures'!E600</f>
        <v>0</v>
      </c>
      <c r="F136" s="831">
        <f>+'Qualitative Disclosures'!F600</f>
        <v>2366</v>
      </c>
      <c r="G136" s="41"/>
      <c r="H136" s="221"/>
      <c r="I136" s="221" t="str">
        <f t="shared" si="7"/>
        <v>Yes</v>
      </c>
    </row>
    <row r="137" spans="3:9" hidden="1" x14ac:dyDescent="0.3">
      <c r="C137" s="1247" t="str">
        <f>+IF('Qualitative Disclosures'!C601=0,"",'Qualitative Disclosures'!C601)</f>
        <v>Other interest</v>
      </c>
      <c r="D137" s="1248" t="str">
        <f>+IF('Qualitative Disclosures'!D601=0,"",'Qualitative Disclosures'!D601)</f>
        <v/>
      </c>
      <c r="E137" s="831">
        <f>+'Qualitative Disclosures'!E601</f>
        <v>0</v>
      </c>
      <c r="F137" s="831">
        <f>+'Qualitative Disclosures'!F601</f>
        <v>0</v>
      </c>
      <c r="G137" s="41"/>
      <c r="H137" s="221"/>
      <c r="I137" s="221" t="str">
        <f t="shared" si="7"/>
        <v>No</v>
      </c>
    </row>
    <row r="138" spans="3:9" hidden="1" x14ac:dyDescent="0.3">
      <c r="C138" s="1247" t="str">
        <f>+IF('Qualitative Disclosures'!C602=0,"",'Qualitative Disclosures'!C602)</f>
        <v/>
      </c>
      <c r="D138" s="1248" t="str">
        <f>+IF('Qualitative Disclosures'!D602=0,"",'Qualitative Disclosures'!D602)</f>
        <v/>
      </c>
      <c r="E138" s="831">
        <f>+'Qualitative Disclosures'!E602</f>
        <v>0</v>
      </c>
      <c r="F138" s="831">
        <f>+'Qualitative Disclosures'!F602</f>
        <v>0</v>
      </c>
      <c r="G138" s="41"/>
      <c r="H138" s="221"/>
      <c r="I138" s="221" t="str">
        <f t="shared" si="7"/>
        <v>No</v>
      </c>
    </row>
    <row r="139" spans="3:9" hidden="1" x14ac:dyDescent="0.3">
      <c r="C139" s="1247" t="str">
        <f>+IF('Qualitative Disclosures'!C603=0,"",'Qualitative Disclosures'!C603)</f>
        <v/>
      </c>
      <c r="D139" s="1248" t="str">
        <f>+IF('Qualitative Disclosures'!D603=0,"",'Qualitative Disclosures'!D603)</f>
        <v/>
      </c>
      <c r="E139" s="831">
        <f>+'Qualitative Disclosures'!E603</f>
        <v>0</v>
      </c>
      <c r="F139" s="831">
        <f>+'Qualitative Disclosures'!F603</f>
        <v>0</v>
      </c>
      <c r="G139" s="41"/>
      <c r="H139" s="221"/>
      <c r="I139" s="221" t="str">
        <f t="shared" si="7"/>
        <v>No</v>
      </c>
    </row>
    <row r="140" spans="3:9" hidden="1" x14ac:dyDescent="0.3">
      <c r="C140" s="1247" t="str">
        <f>+IF('Qualitative Disclosures'!C604=0,"",'Qualitative Disclosures'!C604)</f>
        <v/>
      </c>
      <c r="D140" s="1248" t="str">
        <f>+IF('Qualitative Disclosures'!D604=0,"",'Qualitative Disclosures'!D604)</f>
        <v/>
      </c>
      <c r="E140" s="831">
        <f>+'Qualitative Disclosures'!E604</f>
        <v>0</v>
      </c>
      <c r="F140" s="831">
        <f>+'Qualitative Disclosures'!F604</f>
        <v>0</v>
      </c>
      <c r="G140" s="41"/>
      <c r="H140" s="221"/>
      <c r="I140" s="221" t="str">
        <f t="shared" si="7"/>
        <v>No</v>
      </c>
    </row>
    <row r="141" spans="3:9" hidden="1" x14ac:dyDescent="0.3">
      <c r="C141" s="1247" t="str">
        <f>+IF('Qualitative Disclosures'!C605=0,"",'Qualitative Disclosures'!C605)</f>
        <v/>
      </c>
      <c r="D141" s="1248" t="str">
        <f>+IF('Qualitative Disclosures'!D605=0,"",'Qualitative Disclosures'!D605)</f>
        <v/>
      </c>
      <c r="E141" s="831">
        <f>+'Qualitative Disclosures'!E605</f>
        <v>0</v>
      </c>
      <c r="F141" s="831">
        <f>+'Qualitative Disclosures'!F605</f>
        <v>0</v>
      </c>
      <c r="G141" s="41"/>
      <c r="H141" s="221"/>
      <c r="I141" s="221" t="str">
        <f t="shared" si="7"/>
        <v>No</v>
      </c>
    </row>
    <row r="142" spans="3:9" hidden="1" x14ac:dyDescent="0.3">
      <c r="C142" s="1247" t="str">
        <f>+IF('Qualitative Disclosures'!C606=0,"",'Qualitative Disclosures'!C606)</f>
        <v/>
      </c>
      <c r="D142" s="1248" t="str">
        <f>+IF('Qualitative Disclosures'!D606=0,"",'Qualitative Disclosures'!D606)</f>
        <v/>
      </c>
      <c r="E142" s="831">
        <f>+'Qualitative Disclosures'!E606</f>
        <v>0</v>
      </c>
      <c r="F142" s="831">
        <f>+'Qualitative Disclosures'!F606</f>
        <v>0</v>
      </c>
      <c r="G142" s="41"/>
      <c r="H142" s="221"/>
      <c r="I142" s="221" t="str">
        <f t="shared" si="7"/>
        <v>No</v>
      </c>
    </row>
    <row r="143" spans="3:9" hidden="1" x14ac:dyDescent="0.3">
      <c r="C143" s="1247" t="str">
        <f>+IF('Qualitative Disclosures'!C607=0,"",'Qualitative Disclosures'!C607)</f>
        <v/>
      </c>
      <c r="D143" s="1248" t="str">
        <f>+IF('Qualitative Disclosures'!D607=0,"",'Qualitative Disclosures'!D607)</f>
        <v/>
      </c>
      <c r="E143" s="831">
        <f>+'Qualitative Disclosures'!E607</f>
        <v>0</v>
      </c>
      <c r="F143" s="831">
        <f>+'Qualitative Disclosures'!F607</f>
        <v>0</v>
      </c>
      <c r="G143" s="41"/>
      <c r="H143" s="221"/>
      <c r="I143" s="221" t="str">
        <f t="shared" si="7"/>
        <v>No</v>
      </c>
    </row>
    <row r="144" spans="3:9" hidden="1" x14ac:dyDescent="0.3">
      <c r="C144" s="1247" t="str">
        <f>+IF('Qualitative Disclosures'!C608=0,"",'Qualitative Disclosures'!C608)</f>
        <v/>
      </c>
      <c r="D144" s="1248" t="str">
        <f>+IF('Qualitative Disclosures'!D608=0,"",'Qualitative Disclosures'!D608)</f>
        <v/>
      </c>
      <c r="E144" s="831">
        <f>+'Qualitative Disclosures'!E608</f>
        <v>0</v>
      </c>
      <c r="F144" s="831">
        <f>+'Qualitative Disclosures'!F608</f>
        <v>0</v>
      </c>
      <c r="G144" s="41"/>
      <c r="H144" s="221"/>
      <c r="I144" s="221" t="str">
        <f t="shared" si="7"/>
        <v>No</v>
      </c>
    </row>
    <row r="145" spans="3:9" hidden="1" x14ac:dyDescent="0.3">
      <c r="C145" s="1247" t="str">
        <f>+IF('Qualitative Disclosures'!C609=0,"",'Qualitative Disclosures'!C609)</f>
        <v/>
      </c>
      <c r="D145" s="1248" t="str">
        <f>+IF('Qualitative Disclosures'!D609=0,"",'Qualitative Disclosures'!D609)</f>
        <v/>
      </c>
      <c r="E145" s="831">
        <f>+'Qualitative Disclosures'!E609</f>
        <v>0</v>
      </c>
      <c r="F145" s="831">
        <f>+'Qualitative Disclosures'!F609</f>
        <v>0</v>
      </c>
      <c r="G145" s="41"/>
      <c r="H145" s="221"/>
      <c r="I145" s="221" t="str">
        <f t="shared" si="7"/>
        <v>No</v>
      </c>
    </row>
    <row r="146" spans="3:9" hidden="1" x14ac:dyDescent="0.3">
      <c r="C146" s="1247" t="str">
        <f>+IF('Qualitative Disclosures'!C610=0,"",'Qualitative Disclosures'!C610)</f>
        <v/>
      </c>
      <c r="D146" s="1248" t="str">
        <f>+IF('Qualitative Disclosures'!D610=0,"",'Qualitative Disclosures'!D610)</f>
        <v/>
      </c>
      <c r="E146" s="831">
        <f>+'Qualitative Disclosures'!E610</f>
        <v>0</v>
      </c>
      <c r="F146" s="831">
        <f>+'Qualitative Disclosures'!F610</f>
        <v>0</v>
      </c>
      <c r="G146" s="41"/>
      <c r="H146" s="221"/>
      <c r="I146" s="221" t="str">
        <f t="shared" si="7"/>
        <v>No</v>
      </c>
    </row>
    <row r="147" spans="3:9" hidden="1" x14ac:dyDescent="0.3">
      <c r="C147" s="1247" t="str">
        <f>+IF('Qualitative Disclosures'!C611=0,"",'Qualitative Disclosures'!C611)</f>
        <v/>
      </c>
      <c r="D147" s="1248" t="str">
        <f>+IF('Qualitative Disclosures'!D611=0,"",'Qualitative Disclosures'!D611)</f>
        <v/>
      </c>
      <c r="E147" s="831">
        <f>+'Qualitative Disclosures'!E611</f>
        <v>0</v>
      </c>
      <c r="F147" s="831">
        <f>+'Qualitative Disclosures'!F611</f>
        <v>0</v>
      </c>
      <c r="G147" s="41"/>
      <c r="H147" s="221"/>
      <c r="I147" s="221" t="str">
        <f t="shared" si="7"/>
        <v>No</v>
      </c>
    </row>
    <row r="148" spans="3:9" x14ac:dyDescent="0.3">
      <c r="C148" s="2314" t="str">
        <f>+IF('Qualitative Disclosures'!C612=0,"",'Qualitative Disclosures'!C612)</f>
        <v>Total - Interest income</v>
      </c>
      <c r="D148" s="2315" t="str">
        <f>+IF('Qualitative Disclosures'!D612=0,"",'Qualitative Disclosures'!D612)</f>
        <v/>
      </c>
      <c r="E148" s="2316">
        <f>+SUM(E128:E147)</f>
        <v>54521.19</v>
      </c>
      <c r="F148" s="2316">
        <f>+SUM(F128:F147)</f>
        <v>34613.270000000004</v>
      </c>
      <c r="G148" s="41"/>
      <c r="H148" s="221"/>
      <c r="I148" s="221" t="str">
        <f>IF(AND(I128="No",I129="No",I130="No",I131="No",I132="No",I133="No",I134="No",I135="No",I136="No",I137="No"),"No","Yes")</f>
        <v>Yes</v>
      </c>
    </row>
    <row r="149" spans="3:9" hidden="1" x14ac:dyDescent="0.3">
      <c r="C149" s="17" t="str">
        <f>+IF('Qualitative Disclosures'!C613=0,"",'Qualitative Disclosures'!C613)</f>
        <v/>
      </c>
      <c r="D149" s="17" t="str">
        <f>+IF('Qualitative Disclosures'!D613=0,"",'Qualitative Disclosures'!D613)</f>
        <v/>
      </c>
      <c r="E149" s="1210"/>
      <c r="F149" s="1210"/>
      <c r="G149" s="41"/>
      <c r="H149" s="221"/>
      <c r="I149" s="221" t="str">
        <f>IF(I148="No","No","Yes")</f>
        <v>Yes</v>
      </c>
    </row>
    <row r="150" spans="3:9" hidden="1" x14ac:dyDescent="0.3">
      <c r="C150" s="1421" t="str">
        <f>+IF('Qualitative Disclosures'!C614=0,"",'Qualitative Disclosures'!C614)</f>
        <v>Break-up of Other non-operating income</v>
      </c>
      <c r="D150" s="1421" t="str">
        <f>+IF('Qualitative Disclosures'!D614=0,"",'Qualitative Disclosures'!D614)</f>
        <v/>
      </c>
      <c r="E150" s="1401"/>
      <c r="F150" s="1401"/>
      <c r="G150" s="41"/>
      <c r="H150" s="221"/>
      <c r="I150" s="221" t="str">
        <f>IF(I167="No","No","Yes")</f>
        <v>No</v>
      </c>
    </row>
    <row r="151" spans="3:9" ht="45" hidden="1" x14ac:dyDescent="0.3">
      <c r="C151" s="2872" t="str">
        <f>+IF('Qualitative Disclosures'!C615=0,"",'Qualitative Disclosures'!C615)</f>
        <v>Particulars</v>
      </c>
      <c r="D151" s="2873" t="str">
        <f>+IF('Qualitative Disclosures'!D615=0,"",'Qualitative Disclosures'!D615)</f>
        <v/>
      </c>
      <c r="E151" s="1534" t="str">
        <f>PLCY</f>
        <v>For the Year ended 31st March 2025</v>
      </c>
      <c r="F151" s="1534" t="str">
        <f>PLPY</f>
        <v>For the Year ended 31st March 2024</v>
      </c>
      <c r="G151" s="41"/>
      <c r="H151" s="221"/>
      <c r="I151" s="221" t="str">
        <f>IF(I167="No","No","Yes")</f>
        <v>No</v>
      </c>
    </row>
    <row r="152" spans="3:9" hidden="1" x14ac:dyDescent="0.3">
      <c r="C152" s="1423" t="str">
        <f>+IF('Qualitative Disclosures'!C616=0,"",'Qualitative Disclosures'!C616)</f>
        <v>Other non-operating income comprises:</v>
      </c>
      <c r="D152" s="1424" t="str">
        <f>+IF('Qualitative Disclosures'!D616=0,"",'Qualitative Disclosures'!D616)</f>
        <v/>
      </c>
      <c r="E152" s="1537">
        <f>+'Qualitative Disclosures'!E616</f>
        <v>0</v>
      </c>
      <c r="F152" s="1537">
        <f>+'Qualitative Disclosures'!F616</f>
        <v>0</v>
      </c>
      <c r="G152" s="41"/>
      <c r="H152" s="221"/>
      <c r="I152" s="221" t="str">
        <f t="shared" ref="I152:I167" si="8">IF(AND(E152=0,F152=0),"No","Yes")</f>
        <v>No</v>
      </c>
    </row>
    <row r="153" spans="3:9" hidden="1" x14ac:dyDescent="0.3">
      <c r="C153" s="1426" t="str">
        <f>+IF('Qualitative Disclosures'!C617=0,"",'Qualitative Disclosures'!C617)</f>
        <v>Rental income from investment properties</v>
      </c>
      <c r="D153" s="1427" t="str">
        <f>+IF('Qualitative Disclosures'!D617=0,"",'Qualitative Disclosures'!D617)</f>
        <v/>
      </c>
      <c r="E153" s="1559">
        <f>+'Qualitative Disclosures'!E617</f>
        <v>0</v>
      </c>
      <c r="F153" s="1539">
        <f>+'Qualitative Disclosures'!F617</f>
        <v>0</v>
      </c>
      <c r="G153" s="41"/>
      <c r="H153" s="221"/>
      <c r="I153" s="221" t="str">
        <f t="shared" si="8"/>
        <v>No</v>
      </c>
    </row>
    <row r="154" spans="3:9" hidden="1" x14ac:dyDescent="0.3">
      <c r="C154" s="1426" t="str">
        <f>+IF('Qualitative Disclosures'!C618=0,"",'Qualitative Disclosures'!C618)</f>
        <v>Rental income from operating leases</v>
      </c>
      <c r="D154" s="1427" t="str">
        <f>+IF('Qualitative Disclosures'!D618=0,"",'Qualitative Disclosures'!D618)</f>
        <v/>
      </c>
      <c r="E154" s="1559">
        <f>+'Qualitative Disclosures'!E618</f>
        <v>0</v>
      </c>
      <c r="F154" s="1539">
        <f>+'Qualitative Disclosures'!F618</f>
        <v>0</v>
      </c>
      <c r="G154" s="41"/>
      <c r="H154" s="221"/>
      <c r="I154" s="221" t="str">
        <f t="shared" si="8"/>
        <v>No</v>
      </c>
    </row>
    <row r="155" spans="3:9" ht="33" hidden="1" x14ac:dyDescent="0.3">
      <c r="C155" s="1426" t="str">
        <f>+IF('Qualitative Disclosures'!C619=0,"",'Qualitative Disclosures'!C619)</f>
        <v>Profit on sale of fixed assets [net of expenses directly attributable ` ___ (Year ended 31 March, 20X1 ` ___)]</v>
      </c>
      <c r="D155" s="1427" t="str">
        <f>+IF('Qualitative Disclosures'!D619=0,"",'Qualitative Disclosures'!D619)</f>
        <v/>
      </c>
      <c r="E155" s="1559">
        <f>+'Qualitative Disclosures'!E619</f>
        <v>0</v>
      </c>
      <c r="F155" s="1539">
        <f>+'Qualitative Disclosures'!F619</f>
        <v>0</v>
      </c>
      <c r="G155" s="41"/>
      <c r="H155" s="221"/>
      <c r="I155" s="221" t="str">
        <f t="shared" si="8"/>
        <v>No</v>
      </c>
    </row>
    <row r="156" spans="3:9" hidden="1" x14ac:dyDescent="0.3">
      <c r="C156" s="1426" t="str">
        <f>+IF('Qualitative Disclosures'!C620=0,"",'Qualitative Disclosures'!C620)</f>
        <v xml:space="preserve">Liabilities / provisions no longer required written back </v>
      </c>
      <c r="D156" s="1427" t="str">
        <f>+IF('Qualitative Disclosures'!D620=0,"",'Qualitative Disclosures'!D620)</f>
        <v/>
      </c>
      <c r="E156" s="1559">
        <f>+'Qualitative Disclosures'!E620</f>
        <v>0</v>
      </c>
      <c r="F156" s="1539">
        <f>+'Qualitative Disclosures'!F620</f>
        <v>0</v>
      </c>
      <c r="G156" s="41"/>
      <c r="H156" s="221"/>
      <c r="I156" s="221" t="str">
        <f t="shared" si="8"/>
        <v>No</v>
      </c>
    </row>
    <row r="157" spans="3:9" hidden="1" x14ac:dyDescent="0.3">
      <c r="C157" s="1426" t="str">
        <f>+IF('Qualitative Disclosures'!C621=0,"",'Qualitative Disclosures'!C621)</f>
        <v>Miscellaneous income</v>
      </c>
      <c r="D157" s="1427" t="str">
        <f>+IF('Qualitative Disclosures'!D621=0,"",'Qualitative Disclosures'!D621)</f>
        <v/>
      </c>
      <c r="E157" s="1559">
        <f>+'Qualitative Disclosures'!E621</f>
        <v>0</v>
      </c>
      <c r="F157" s="1539">
        <f>+'Qualitative Disclosures'!F621</f>
        <v>0</v>
      </c>
      <c r="G157" s="41"/>
      <c r="H157" s="221"/>
      <c r="I157" s="221" t="str">
        <f t="shared" si="8"/>
        <v>No</v>
      </c>
    </row>
    <row r="158" spans="3:9" hidden="1" x14ac:dyDescent="0.3">
      <c r="C158" s="1426" t="str">
        <f>+IF('Qualitative Disclosures'!C622=0,"",'Qualitative Disclosures'!C622)</f>
        <v/>
      </c>
      <c r="D158" s="1427" t="str">
        <f>+IF('Qualitative Disclosures'!D622=0,"",'Qualitative Disclosures'!D622)</f>
        <v/>
      </c>
      <c r="E158" s="1559">
        <f>+'Qualitative Disclosures'!E622</f>
        <v>0</v>
      </c>
      <c r="F158" s="1539">
        <f>+'Qualitative Disclosures'!F622</f>
        <v>0</v>
      </c>
      <c r="G158" s="41"/>
      <c r="H158" s="221"/>
      <c r="I158" s="221" t="str">
        <f t="shared" si="8"/>
        <v>No</v>
      </c>
    </row>
    <row r="159" spans="3:9" hidden="1" x14ac:dyDescent="0.3">
      <c r="C159" s="1426" t="str">
        <f>+IF('Qualitative Disclosures'!C623=0,"",'Qualitative Disclosures'!C623)</f>
        <v/>
      </c>
      <c r="D159" s="1427" t="str">
        <f>+IF('Qualitative Disclosures'!D623=0,"",'Qualitative Disclosures'!D623)</f>
        <v/>
      </c>
      <c r="E159" s="1559">
        <f>+'Qualitative Disclosures'!E623</f>
        <v>0</v>
      </c>
      <c r="F159" s="1539">
        <f>+'Qualitative Disclosures'!F623</f>
        <v>0</v>
      </c>
      <c r="G159" s="41"/>
      <c r="H159" s="221"/>
      <c r="I159" s="221" t="str">
        <f t="shared" si="8"/>
        <v>No</v>
      </c>
    </row>
    <row r="160" spans="3:9" hidden="1" x14ac:dyDescent="0.3">
      <c r="C160" s="1426" t="str">
        <f>+IF('Qualitative Disclosures'!C624=0,"",'Qualitative Disclosures'!C624)</f>
        <v/>
      </c>
      <c r="D160" s="1427" t="str">
        <f>+IF('Qualitative Disclosures'!D624=0,"",'Qualitative Disclosures'!D624)</f>
        <v/>
      </c>
      <c r="E160" s="1559">
        <f>+'Qualitative Disclosures'!E624</f>
        <v>0</v>
      </c>
      <c r="F160" s="1539">
        <f>+'Qualitative Disclosures'!F624</f>
        <v>0</v>
      </c>
      <c r="G160" s="41"/>
      <c r="H160" s="221"/>
      <c r="I160" s="221" t="str">
        <f t="shared" si="8"/>
        <v>No</v>
      </c>
    </row>
    <row r="161" spans="2:9" hidden="1" x14ac:dyDescent="0.3">
      <c r="C161" s="1426" t="str">
        <f>+IF('Qualitative Disclosures'!C625=0,"",'Qualitative Disclosures'!C625)</f>
        <v/>
      </c>
      <c r="D161" s="1427" t="str">
        <f>+IF('Qualitative Disclosures'!D625=0,"",'Qualitative Disclosures'!D625)</f>
        <v/>
      </c>
      <c r="E161" s="1559">
        <f>+'Qualitative Disclosures'!E625</f>
        <v>0</v>
      </c>
      <c r="F161" s="1539">
        <f>+'Qualitative Disclosures'!F625</f>
        <v>0</v>
      </c>
      <c r="G161" s="41"/>
      <c r="H161" s="221"/>
      <c r="I161" s="221" t="str">
        <f t="shared" si="8"/>
        <v>No</v>
      </c>
    </row>
    <row r="162" spans="2:9" hidden="1" x14ac:dyDescent="0.3">
      <c r="C162" s="1426" t="str">
        <f>+IF('Qualitative Disclosures'!C626=0,"",'Qualitative Disclosures'!C626)</f>
        <v/>
      </c>
      <c r="D162" s="1427" t="str">
        <f>+IF('Qualitative Disclosures'!D626=0,"",'Qualitative Disclosures'!D626)</f>
        <v/>
      </c>
      <c r="E162" s="1559">
        <f>+'Qualitative Disclosures'!E626</f>
        <v>0</v>
      </c>
      <c r="F162" s="1539">
        <f>+'Qualitative Disclosures'!F626</f>
        <v>0</v>
      </c>
      <c r="G162" s="41"/>
      <c r="H162" s="221"/>
      <c r="I162" s="221" t="str">
        <f t="shared" si="8"/>
        <v>No</v>
      </c>
    </row>
    <row r="163" spans="2:9" hidden="1" x14ac:dyDescent="0.3">
      <c r="C163" s="1426" t="str">
        <f>+IF('Qualitative Disclosures'!C627=0,"",'Qualitative Disclosures'!C627)</f>
        <v/>
      </c>
      <c r="D163" s="1427" t="str">
        <f>+IF('Qualitative Disclosures'!D627=0,"",'Qualitative Disclosures'!D627)</f>
        <v/>
      </c>
      <c r="E163" s="1559">
        <f>+'Qualitative Disclosures'!E627</f>
        <v>0</v>
      </c>
      <c r="F163" s="1539">
        <f>+'Qualitative Disclosures'!F627</f>
        <v>0</v>
      </c>
      <c r="G163" s="41"/>
      <c r="H163" s="221"/>
      <c r="I163" s="221" t="str">
        <f t="shared" si="8"/>
        <v>No</v>
      </c>
    </row>
    <row r="164" spans="2:9" hidden="1" x14ac:dyDescent="0.3">
      <c r="C164" s="1426" t="str">
        <f>+IF('Qualitative Disclosures'!C628=0,"",'Qualitative Disclosures'!C628)</f>
        <v/>
      </c>
      <c r="D164" s="1427" t="str">
        <f>+IF('Qualitative Disclosures'!D628=0,"",'Qualitative Disclosures'!D628)</f>
        <v/>
      </c>
      <c r="E164" s="1559">
        <f>+'Qualitative Disclosures'!E628</f>
        <v>0</v>
      </c>
      <c r="F164" s="1539">
        <f>+'Qualitative Disclosures'!F628</f>
        <v>0</v>
      </c>
      <c r="G164" s="41"/>
      <c r="H164" s="221"/>
      <c r="I164" s="221" t="str">
        <f t="shared" si="8"/>
        <v>No</v>
      </c>
    </row>
    <row r="165" spans="2:9" hidden="1" x14ac:dyDescent="0.3">
      <c r="C165" s="1426" t="str">
        <f>+IF('Qualitative Disclosures'!C629=0,"",'Qualitative Disclosures'!C629)</f>
        <v/>
      </c>
      <c r="D165" s="1427" t="str">
        <f>+IF('Qualitative Disclosures'!D629=0,"",'Qualitative Disclosures'!D629)</f>
        <v/>
      </c>
      <c r="E165" s="1559">
        <f>+'Qualitative Disclosures'!E629</f>
        <v>0</v>
      </c>
      <c r="F165" s="1539">
        <f>+'Qualitative Disclosures'!F629</f>
        <v>0</v>
      </c>
      <c r="G165" s="41"/>
      <c r="H165" s="221"/>
      <c r="I165" s="221" t="str">
        <f t="shared" si="8"/>
        <v>No</v>
      </c>
    </row>
    <row r="166" spans="2:9" hidden="1" x14ac:dyDescent="0.3">
      <c r="C166" s="1426" t="str">
        <f>+IF('Qualitative Disclosures'!C630=0,"",'Qualitative Disclosures'!C630)</f>
        <v/>
      </c>
      <c r="D166" s="1427" t="str">
        <f>+IF('Qualitative Disclosures'!D630=0,"",'Qualitative Disclosures'!D630)</f>
        <v/>
      </c>
      <c r="E166" s="1559">
        <f>+'Qualitative Disclosures'!E630</f>
        <v>0</v>
      </c>
      <c r="F166" s="1539">
        <f>+'Qualitative Disclosures'!F630</f>
        <v>0</v>
      </c>
      <c r="G166" s="41"/>
      <c r="H166" s="221"/>
      <c r="I166" s="221" t="str">
        <f t="shared" si="8"/>
        <v>No</v>
      </c>
    </row>
    <row r="167" spans="2:9" hidden="1" x14ac:dyDescent="0.3">
      <c r="C167" s="1428" t="str">
        <f>+IF('Qualitative Disclosures'!C631=0,"",'Qualitative Disclosures'!C631)</f>
        <v>Total - Other non-operating income</v>
      </c>
      <c r="D167" s="1429" t="str">
        <f>+IF('Qualitative Disclosures'!D631=0,"",'Qualitative Disclosures'!D631)</f>
        <v/>
      </c>
      <c r="E167" s="1538">
        <f>+'Qualitative Disclosures'!E631</f>
        <v>0</v>
      </c>
      <c r="F167" s="1540">
        <f>+'Qualitative Disclosures'!F631</f>
        <v>0</v>
      </c>
      <c r="G167" s="41"/>
      <c r="H167" s="221"/>
      <c r="I167" s="221" t="str">
        <f t="shared" si="8"/>
        <v>No</v>
      </c>
    </row>
    <row r="168" spans="2:9" hidden="1" x14ac:dyDescent="0.3">
      <c r="C168" s="231"/>
      <c r="D168" s="231"/>
      <c r="E168" s="841"/>
      <c r="F168" s="1210"/>
      <c r="G168" s="41"/>
      <c r="H168" s="221"/>
      <c r="I168" s="221" t="str">
        <f>IF(I167="No","No","Yes")</f>
        <v>No</v>
      </c>
    </row>
    <row r="169" spans="2:9" hidden="1" x14ac:dyDescent="0.3">
      <c r="C169" s="1485" t="str">
        <f>+IF(Footnotes!C161="","",Footnotes!C161)</f>
        <v/>
      </c>
      <c r="D169" s="1485" t="str">
        <f>+IF(Footnotes!D161="","",Footnotes!D161)</f>
        <v/>
      </c>
      <c r="E169" s="1401" t="str">
        <f>+IF(Footnotes!E161="","",Footnotes!E161)</f>
        <v/>
      </c>
      <c r="F169" s="1401" t="str">
        <f>+IF(Footnotes!F161="","",Footnotes!F161)</f>
        <v/>
      </c>
      <c r="G169" s="41"/>
      <c r="H169" s="221"/>
      <c r="I169" s="81" t="str">
        <f t="shared" ref="I169:I174" si="9">+IF(AND(F169="",C169="",D169="",E169=""),"No","Yes")</f>
        <v>No</v>
      </c>
    </row>
    <row r="170" spans="2:9" hidden="1" x14ac:dyDescent="0.3">
      <c r="C170" s="1485" t="str">
        <f>+IF(Footnotes!C162="","",Footnotes!C162)</f>
        <v/>
      </c>
      <c r="D170" s="1485" t="str">
        <f>+IF(Footnotes!D162="","",Footnotes!D162)</f>
        <v/>
      </c>
      <c r="E170" s="1401" t="str">
        <f>+IF(Footnotes!E162="","",Footnotes!E162)</f>
        <v/>
      </c>
      <c r="F170" s="1401" t="str">
        <f>+IF(Footnotes!F162="","",Footnotes!F162)</f>
        <v/>
      </c>
      <c r="G170" s="41"/>
      <c r="H170" s="221"/>
      <c r="I170" s="81" t="str">
        <f t="shared" si="9"/>
        <v>No</v>
      </c>
    </row>
    <row r="171" spans="2:9" hidden="1" x14ac:dyDescent="0.3">
      <c r="C171" s="1485" t="str">
        <f>+IF(Footnotes!C163="","",Footnotes!C163)</f>
        <v/>
      </c>
      <c r="D171" s="1485" t="str">
        <f>+IF(Footnotes!D163="","",Footnotes!D163)</f>
        <v/>
      </c>
      <c r="E171" s="1401" t="str">
        <f>+IF(Footnotes!E163="","",Footnotes!E163)</f>
        <v/>
      </c>
      <c r="F171" s="1401" t="str">
        <f>+IF(Footnotes!F163="","",Footnotes!F163)</f>
        <v/>
      </c>
      <c r="G171" s="41"/>
      <c r="H171" s="221"/>
      <c r="I171" s="81" t="str">
        <f t="shared" si="9"/>
        <v>No</v>
      </c>
    </row>
    <row r="172" spans="2:9" hidden="1" x14ac:dyDescent="0.3">
      <c r="C172" s="1485" t="str">
        <f>+IF(Footnotes!C164="","",Footnotes!C164)</f>
        <v/>
      </c>
      <c r="D172" s="1485" t="str">
        <f>+IF(Footnotes!D164="","",Footnotes!D164)</f>
        <v/>
      </c>
      <c r="E172" s="1401" t="str">
        <f>+IF(Footnotes!E164="","",Footnotes!E164)</f>
        <v/>
      </c>
      <c r="F172" s="1401" t="str">
        <f>+IF(Footnotes!F164="","",Footnotes!F164)</f>
        <v/>
      </c>
      <c r="G172" s="41"/>
      <c r="H172" s="221"/>
      <c r="I172" s="81" t="str">
        <f t="shared" si="9"/>
        <v>No</v>
      </c>
    </row>
    <row r="173" spans="2:9" hidden="1" x14ac:dyDescent="0.3">
      <c r="C173" s="1485" t="str">
        <f>+IF(Footnotes!C165="","",Footnotes!C165)</f>
        <v/>
      </c>
      <c r="D173" s="1485" t="str">
        <f>+IF(Footnotes!D165="","",Footnotes!D165)</f>
        <v/>
      </c>
      <c r="E173" s="1401" t="str">
        <f>+IF(Footnotes!E165="","",Footnotes!E165)</f>
        <v/>
      </c>
      <c r="F173" s="1401" t="str">
        <f>+IF(Footnotes!F165="","",Footnotes!F165)</f>
        <v/>
      </c>
      <c r="G173" s="41"/>
      <c r="H173" s="221"/>
      <c r="I173" s="81" t="str">
        <f t="shared" si="9"/>
        <v>No</v>
      </c>
    </row>
    <row r="174" spans="2:9" hidden="1" x14ac:dyDescent="0.3">
      <c r="C174" s="1485" t="str">
        <f>+IF(Footnotes!C166="","",Footnotes!C166)</f>
        <v/>
      </c>
      <c r="D174" s="1485" t="str">
        <f>+IF(Footnotes!D166="","",Footnotes!D166)</f>
        <v/>
      </c>
      <c r="E174" s="1401" t="str">
        <f>+IF(Footnotes!E166="","",Footnotes!E166)</f>
        <v/>
      </c>
      <c r="F174" s="1401" t="str">
        <f>+IF(Footnotes!F166="","",Footnotes!F166)</f>
        <v/>
      </c>
      <c r="G174" s="41"/>
      <c r="H174" s="221"/>
      <c r="I174" s="81" t="str">
        <f t="shared" si="9"/>
        <v>No</v>
      </c>
    </row>
    <row r="175" spans="2:9" hidden="1" x14ac:dyDescent="0.3">
      <c r="H175" s="221"/>
      <c r="I175" s="221" t="str">
        <f>IF(I176="No","No","Yes")</f>
        <v>No</v>
      </c>
    </row>
    <row r="176" spans="2:9" hidden="1" x14ac:dyDescent="0.3">
      <c r="B176" s="18"/>
      <c r="C176" s="20" t="str">
        <f>"Note "&amp;'Profit and Loss'!E21&amp;" - Cost of materials consumed"</f>
        <v>Note 16 - Cost of materials consumed</v>
      </c>
      <c r="D176" s="20"/>
      <c r="E176" s="1394"/>
      <c r="F176" s="841"/>
      <c r="G176" s="18"/>
      <c r="H176" s="221"/>
      <c r="I176" s="221" t="str">
        <f>IF(I197="No","No","Yes")</f>
        <v>No</v>
      </c>
    </row>
    <row r="177" spans="2:9" hidden="1" x14ac:dyDescent="0.3">
      <c r="B177" s="18"/>
      <c r="C177" s="18"/>
      <c r="D177" s="18"/>
      <c r="E177" s="841"/>
      <c r="F177" s="1384" t="str">
        <f>'Master Data'!$C$26</f>
        <v>Amount in Rs '00.</v>
      </c>
      <c r="G177" s="18"/>
      <c r="H177" s="221"/>
      <c r="I177" s="221" t="str">
        <f>IF(I197="No","No","Yes")</f>
        <v>No</v>
      </c>
    </row>
    <row r="178" spans="2:9" ht="45" hidden="1" x14ac:dyDescent="0.3">
      <c r="B178" s="18"/>
      <c r="C178" s="2874" t="s">
        <v>20</v>
      </c>
      <c r="D178" s="2875"/>
      <c r="E178" s="1385" t="str">
        <f>PLCY</f>
        <v>For the Year ended 31st March 2025</v>
      </c>
      <c r="F178" s="1385" t="str">
        <f>PLPY</f>
        <v>For the Year ended 31st March 2024</v>
      </c>
      <c r="G178" s="18"/>
      <c r="H178" s="221"/>
      <c r="I178" s="221" t="str">
        <f>IF(I197="No","No","Yes")</f>
        <v>No</v>
      </c>
    </row>
    <row r="179" spans="2:9" hidden="1" x14ac:dyDescent="0.3">
      <c r="B179" s="18"/>
      <c r="C179" s="566" t="s">
        <v>223</v>
      </c>
      <c r="D179" s="359"/>
      <c r="E179" s="1560">
        <f>F182</f>
        <v>0</v>
      </c>
      <c r="F179" s="1386"/>
      <c r="H179" s="113" t="s">
        <v>1058</v>
      </c>
      <c r="I179" s="221" t="str">
        <f t="shared" ref="I179:I197" si="10">IF(AND(E179=0,F179=0),"No","Yes")</f>
        <v>No</v>
      </c>
    </row>
    <row r="180" spans="2:9" hidden="1" x14ac:dyDescent="0.3">
      <c r="B180" s="18"/>
      <c r="C180" s="315" t="s">
        <v>224</v>
      </c>
      <c r="D180" s="360"/>
      <c r="E180" s="1556">
        <f>+SUMIF('Master TB'!$E:$E,'Notes To P&amp;L'!$H180,'Master TB'!$J:$J)</f>
        <v>0</v>
      </c>
      <c r="F180" s="1387">
        <f>SUMIF('Master TB'!$Q:$Q,'Notes To P&amp;L'!H180,'Master TB'!$V:$V)</f>
        <v>0</v>
      </c>
      <c r="H180" s="113" t="s">
        <v>1059</v>
      </c>
      <c r="I180" s="221" t="str">
        <f t="shared" si="10"/>
        <v>No</v>
      </c>
    </row>
    <row r="181" spans="2:9" hidden="1" x14ac:dyDescent="0.3">
      <c r="B181" s="18"/>
      <c r="C181" s="315"/>
      <c r="D181" s="360"/>
      <c r="E181" s="1178">
        <f>SUM(E179:E180)</f>
        <v>0</v>
      </c>
      <c r="F181" s="1178">
        <f>SUM(F179:F180)</f>
        <v>0</v>
      </c>
      <c r="H181" s="113"/>
      <c r="I181" s="221" t="str">
        <f t="shared" si="10"/>
        <v>No</v>
      </c>
    </row>
    <row r="182" spans="2:9" hidden="1" x14ac:dyDescent="0.3">
      <c r="B182" s="18"/>
      <c r="C182" s="315" t="s">
        <v>225</v>
      </c>
      <c r="D182" s="360"/>
      <c r="E182" s="1561"/>
      <c r="F182" s="1387"/>
      <c r="H182" s="113" t="s">
        <v>1060</v>
      </c>
      <c r="I182" s="221" t="str">
        <f t="shared" si="10"/>
        <v>No</v>
      </c>
    </row>
    <row r="183" spans="2:9" hidden="1" x14ac:dyDescent="0.3">
      <c r="B183" s="18"/>
      <c r="C183" s="668" t="s">
        <v>397</v>
      </c>
      <c r="D183" s="669"/>
      <c r="E183" s="1179">
        <f>(E181-E182)</f>
        <v>0</v>
      </c>
      <c r="F183" s="1179">
        <f>F181-F182</f>
        <v>0</v>
      </c>
      <c r="G183" s="18"/>
      <c r="I183" s="221" t="str">
        <f t="shared" si="10"/>
        <v>No</v>
      </c>
    </row>
    <row r="184" spans="2:9" hidden="1" x14ac:dyDescent="0.3">
      <c r="B184" s="18"/>
      <c r="C184" s="315"/>
      <c r="D184" s="360"/>
      <c r="E184" s="1178"/>
      <c r="F184" s="1386"/>
      <c r="G184" s="18"/>
      <c r="I184" s="221" t="str">
        <f t="shared" si="10"/>
        <v>No</v>
      </c>
    </row>
    <row r="185" spans="2:9" hidden="1" x14ac:dyDescent="0.3">
      <c r="B185" s="18"/>
      <c r="C185" s="1430" t="s">
        <v>645</v>
      </c>
      <c r="D185" s="1431"/>
      <c r="E185" s="1562"/>
      <c r="F185" s="1541"/>
      <c r="G185" s="18"/>
      <c r="I185" s="221" t="str">
        <f t="shared" si="10"/>
        <v>No</v>
      </c>
    </row>
    <row r="186" spans="2:9" hidden="1" x14ac:dyDescent="0.3">
      <c r="B186" s="18"/>
      <c r="C186" s="1306" t="str">
        <f>+IF('Qualitative Disclosures'!C674="","",'Qualitative Disclosures'!C674)</f>
        <v>COMC P 1</v>
      </c>
      <c r="D186" s="1307"/>
      <c r="E186" s="1542">
        <f>+'Qualitative Disclosures'!H674</f>
        <v>0</v>
      </c>
      <c r="F186" s="1542">
        <f>+'Qualitative Disclosures'!I674</f>
        <v>0</v>
      </c>
      <c r="G186" s="18"/>
      <c r="I186" s="221" t="str">
        <f t="shared" si="10"/>
        <v>No</v>
      </c>
    </row>
    <row r="187" spans="2:9" hidden="1" x14ac:dyDescent="0.3">
      <c r="B187" s="18"/>
      <c r="C187" s="1306" t="str">
        <f>+IF('Qualitative Disclosures'!C675="","",'Qualitative Disclosures'!C675)</f>
        <v>COMC P 2</v>
      </c>
      <c r="D187" s="1307"/>
      <c r="E187" s="1542">
        <f>+'Qualitative Disclosures'!H675</f>
        <v>0</v>
      </c>
      <c r="F187" s="1543">
        <f>+'Qualitative Disclosures'!I675</f>
        <v>0</v>
      </c>
      <c r="G187" s="18"/>
      <c r="I187" s="221" t="str">
        <f t="shared" si="10"/>
        <v>No</v>
      </c>
    </row>
    <row r="188" spans="2:9" hidden="1" x14ac:dyDescent="0.3">
      <c r="B188" s="18"/>
      <c r="C188" s="1306" t="str">
        <f>+IF('Qualitative Disclosures'!C676="","",'Qualitative Disclosures'!C676)</f>
        <v>COMC P 3</v>
      </c>
      <c r="D188" s="1307"/>
      <c r="E188" s="1542">
        <f>+'Qualitative Disclosures'!H676</f>
        <v>0</v>
      </c>
      <c r="F188" s="1543">
        <f>+'Qualitative Disclosures'!I676</f>
        <v>0</v>
      </c>
      <c r="G188" s="18"/>
      <c r="I188" s="221" t="str">
        <f t="shared" si="10"/>
        <v>No</v>
      </c>
    </row>
    <row r="189" spans="2:9" hidden="1" x14ac:dyDescent="0.3">
      <c r="B189" s="18"/>
      <c r="C189" s="1306" t="str">
        <f>+IF('Qualitative Disclosures'!C677="","",'Qualitative Disclosures'!C677)</f>
        <v>COMC P 4</v>
      </c>
      <c r="D189" s="1307"/>
      <c r="E189" s="1542">
        <f>+'Qualitative Disclosures'!H677</f>
        <v>0</v>
      </c>
      <c r="F189" s="1544">
        <f>+'Qualitative Disclosures'!I677</f>
        <v>0</v>
      </c>
      <c r="G189" s="18"/>
      <c r="I189" s="221" t="str">
        <f t="shared" si="10"/>
        <v>No</v>
      </c>
    </row>
    <row r="190" spans="2:9" hidden="1" x14ac:dyDescent="0.3">
      <c r="B190" s="18"/>
      <c r="C190" s="1306" t="str">
        <f>+IF('Qualitative Disclosures'!C678="","",'Qualitative Disclosures'!C678)</f>
        <v>COMC P 5</v>
      </c>
      <c r="D190" s="1307"/>
      <c r="E190" s="1542">
        <f>+'Qualitative Disclosures'!H678</f>
        <v>0</v>
      </c>
      <c r="F190" s="1544">
        <f>+'Qualitative Disclosures'!I678</f>
        <v>0</v>
      </c>
      <c r="G190" s="18"/>
      <c r="I190" s="221" t="str">
        <f t="shared" si="10"/>
        <v>No</v>
      </c>
    </row>
    <row r="191" spans="2:9" hidden="1" x14ac:dyDescent="0.3">
      <c r="B191" s="18"/>
      <c r="C191" s="1306" t="str">
        <f>+IF('Qualitative Disclosures'!C679="","",'Qualitative Disclosures'!C679)</f>
        <v>COMC P 6</v>
      </c>
      <c r="D191" s="1307"/>
      <c r="E191" s="1542">
        <f>+'Qualitative Disclosures'!H679</f>
        <v>0</v>
      </c>
      <c r="F191" s="1544">
        <f>+'Qualitative Disclosures'!I679</f>
        <v>0</v>
      </c>
      <c r="G191" s="18"/>
      <c r="I191" s="221" t="str">
        <f t="shared" si="10"/>
        <v>No</v>
      </c>
    </row>
    <row r="192" spans="2:9" hidden="1" x14ac:dyDescent="0.3">
      <c r="B192" s="18"/>
      <c r="C192" s="1306" t="str">
        <f>+IF('Qualitative Disclosures'!C680="","",'Qualitative Disclosures'!C680)</f>
        <v>COMC P 7</v>
      </c>
      <c r="D192" s="1307"/>
      <c r="E192" s="1542">
        <f>+'Qualitative Disclosures'!H680</f>
        <v>0</v>
      </c>
      <c r="F192" s="1544">
        <f>+'Qualitative Disclosures'!I680</f>
        <v>0</v>
      </c>
      <c r="G192" s="18"/>
      <c r="I192" s="221" t="str">
        <f t="shared" si="10"/>
        <v>No</v>
      </c>
    </row>
    <row r="193" spans="2:9" hidden="1" x14ac:dyDescent="0.3">
      <c r="B193" s="18"/>
      <c r="C193" s="1306" t="str">
        <f>+IF('Qualitative Disclosures'!C681="","",'Qualitative Disclosures'!C681)</f>
        <v>COMC P 8</v>
      </c>
      <c r="D193" s="1307"/>
      <c r="E193" s="1542">
        <f>+'Qualitative Disclosures'!H681</f>
        <v>0</v>
      </c>
      <c r="F193" s="1544">
        <f>+'Qualitative Disclosures'!I681</f>
        <v>0</v>
      </c>
      <c r="G193" s="18"/>
      <c r="I193" s="221" t="str">
        <f t="shared" si="10"/>
        <v>No</v>
      </c>
    </row>
    <row r="194" spans="2:9" hidden="1" x14ac:dyDescent="0.3">
      <c r="B194" s="18"/>
      <c r="C194" s="1306" t="str">
        <f>+IF('Qualitative Disclosures'!C682="","",'Qualitative Disclosures'!C682)</f>
        <v>COMC P 9</v>
      </c>
      <c r="D194" s="1307"/>
      <c r="E194" s="1542">
        <f>+'Qualitative Disclosures'!H682</f>
        <v>0</v>
      </c>
      <c r="F194" s="1544">
        <f>+'Qualitative Disclosures'!I682</f>
        <v>0</v>
      </c>
      <c r="G194" s="18"/>
      <c r="I194" s="221" t="str">
        <f t="shared" si="10"/>
        <v>No</v>
      </c>
    </row>
    <row r="195" spans="2:9" hidden="1" x14ac:dyDescent="0.3">
      <c r="B195" s="18"/>
      <c r="C195" s="1306" t="str">
        <f>+IF('Qualitative Disclosures'!C683="","",'Qualitative Disclosures'!C683)</f>
        <v>COMC P 10</v>
      </c>
      <c r="D195" s="1307"/>
      <c r="E195" s="1542">
        <f>+'Qualitative Disclosures'!H683</f>
        <v>0</v>
      </c>
      <c r="F195" s="1544">
        <f>+'Qualitative Disclosures'!I683</f>
        <v>0</v>
      </c>
      <c r="G195" s="18"/>
      <c r="I195" s="221" t="str">
        <f t="shared" si="10"/>
        <v>No</v>
      </c>
    </row>
    <row r="196" spans="2:9" hidden="1" x14ac:dyDescent="0.3">
      <c r="B196" s="18"/>
      <c r="C196" s="1432"/>
      <c r="D196" s="1433"/>
      <c r="E196" s="1542">
        <f>+'Qualitative Disclosures'!H684</f>
        <v>0</v>
      </c>
      <c r="F196" s="1545">
        <f>+'Qualitative Disclosures'!I684</f>
        <v>0</v>
      </c>
      <c r="G196" s="18"/>
      <c r="I196" s="221" t="str">
        <f t="shared" si="10"/>
        <v>No</v>
      </c>
    </row>
    <row r="197" spans="2:9" hidden="1" x14ac:dyDescent="0.3">
      <c r="B197" s="18"/>
      <c r="C197" s="488" t="s">
        <v>35</v>
      </c>
      <c r="D197" s="489"/>
      <c r="E197" s="1390">
        <f>E183</f>
        <v>0</v>
      </c>
      <c r="F197" s="1390">
        <f>F183</f>
        <v>0</v>
      </c>
      <c r="G197" s="18"/>
      <c r="I197" s="221" t="str">
        <f t="shared" si="10"/>
        <v>No</v>
      </c>
    </row>
    <row r="198" spans="2:9" hidden="1" x14ac:dyDescent="0.3">
      <c r="B198" s="18"/>
      <c r="C198" s="1486"/>
      <c r="D198" s="1486"/>
      <c r="E198" s="1546"/>
      <c r="F198" s="1546"/>
      <c r="G198" s="18"/>
      <c r="I198" s="221" t="str">
        <f>+I199</f>
        <v>No</v>
      </c>
    </row>
    <row r="199" spans="2:9" hidden="1" x14ac:dyDescent="0.3">
      <c r="B199" s="18"/>
      <c r="C199" s="1487" t="str">
        <f>+IF(Footnotes!C169="","",Footnotes!C169)</f>
        <v/>
      </c>
      <c r="D199" s="1487" t="str">
        <f>+IF(Footnotes!D169="","",Footnotes!D169)</f>
        <v/>
      </c>
      <c r="E199" s="1547" t="str">
        <f>+IF(Footnotes!E169="","",Footnotes!E169)</f>
        <v/>
      </c>
      <c r="F199" s="1547" t="str">
        <f>+IF(Footnotes!F169="","",Footnotes!F169)</f>
        <v/>
      </c>
      <c r="G199" s="18"/>
      <c r="I199" s="81" t="str">
        <f t="shared" ref="I199:I204" si="11">+IF(AND(F199="",C199="",D199="",E199=""),"No","Yes")</f>
        <v>No</v>
      </c>
    </row>
    <row r="200" spans="2:9" hidden="1" x14ac:dyDescent="0.3">
      <c r="B200" s="18"/>
      <c r="C200" s="1487" t="str">
        <f>+IF(Footnotes!C170="","",Footnotes!C170)</f>
        <v/>
      </c>
      <c r="D200" s="1487" t="str">
        <f>+IF(Footnotes!D170="","",Footnotes!D170)</f>
        <v/>
      </c>
      <c r="E200" s="1547" t="str">
        <f>+IF(Footnotes!E170="","",Footnotes!E170)</f>
        <v/>
      </c>
      <c r="F200" s="1547" t="str">
        <f>+IF(Footnotes!F170="","",Footnotes!F170)</f>
        <v/>
      </c>
      <c r="G200" s="18"/>
      <c r="I200" s="81" t="str">
        <f t="shared" si="11"/>
        <v>No</v>
      </c>
    </row>
    <row r="201" spans="2:9" hidden="1" x14ac:dyDescent="0.3">
      <c r="B201" s="18"/>
      <c r="C201" s="1487" t="str">
        <f>+IF(Footnotes!C171="","",Footnotes!C171)</f>
        <v/>
      </c>
      <c r="D201" s="1487" t="str">
        <f>+IF(Footnotes!D171="","",Footnotes!D171)</f>
        <v/>
      </c>
      <c r="E201" s="1547" t="str">
        <f>+IF(Footnotes!E171="","",Footnotes!E171)</f>
        <v/>
      </c>
      <c r="F201" s="1547" t="str">
        <f>+IF(Footnotes!F171="","",Footnotes!F171)</f>
        <v/>
      </c>
      <c r="G201" s="18"/>
      <c r="I201" s="81" t="str">
        <f t="shared" si="11"/>
        <v>No</v>
      </c>
    </row>
    <row r="202" spans="2:9" hidden="1" x14ac:dyDescent="0.3">
      <c r="B202" s="18"/>
      <c r="C202" s="1487" t="str">
        <f>+IF(Footnotes!C172="","",Footnotes!C172)</f>
        <v/>
      </c>
      <c r="D202" s="1487" t="str">
        <f>+IF(Footnotes!D172="","",Footnotes!D172)</f>
        <v/>
      </c>
      <c r="E202" s="1547" t="str">
        <f>+IF(Footnotes!E172="","",Footnotes!E172)</f>
        <v/>
      </c>
      <c r="F202" s="1547" t="str">
        <f>+IF(Footnotes!F172="","",Footnotes!F172)</f>
        <v/>
      </c>
      <c r="G202" s="18"/>
      <c r="I202" s="81" t="str">
        <f t="shared" si="11"/>
        <v>No</v>
      </c>
    </row>
    <row r="203" spans="2:9" hidden="1" x14ac:dyDescent="0.3">
      <c r="B203" s="18"/>
      <c r="C203" s="1487" t="str">
        <f>+IF(Footnotes!C173="","",Footnotes!C173)</f>
        <v/>
      </c>
      <c r="D203" s="1487" t="str">
        <f>+IF(Footnotes!D173="","",Footnotes!D173)</f>
        <v/>
      </c>
      <c r="E203" s="1547" t="str">
        <f>+IF(Footnotes!E173="","",Footnotes!E173)</f>
        <v/>
      </c>
      <c r="F203" s="1547" t="str">
        <f>+IF(Footnotes!F173="","",Footnotes!F173)</f>
        <v/>
      </c>
      <c r="G203" s="18"/>
      <c r="I203" s="81" t="str">
        <f t="shared" si="11"/>
        <v>No</v>
      </c>
    </row>
    <row r="204" spans="2:9" hidden="1" x14ac:dyDescent="0.3">
      <c r="B204" s="18"/>
      <c r="C204" s="1487" t="str">
        <f>+IF(Footnotes!C174="","",Footnotes!C174)</f>
        <v/>
      </c>
      <c r="D204" s="1487" t="str">
        <f>+IF(Footnotes!D174="","",Footnotes!D174)</f>
        <v/>
      </c>
      <c r="E204" s="1547" t="str">
        <f>+IF(Footnotes!E174="","",Footnotes!E174)</f>
        <v/>
      </c>
      <c r="F204" s="1547" t="str">
        <f>+IF(Footnotes!F174="","",Footnotes!F174)</f>
        <v/>
      </c>
      <c r="G204" s="18"/>
      <c r="I204" s="81" t="str">
        <f t="shared" si="11"/>
        <v>No</v>
      </c>
    </row>
    <row r="205" spans="2:9" hidden="1" x14ac:dyDescent="0.3">
      <c r="B205" s="18"/>
      <c r="C205" s="18"/>
      <c r="D205" s="18"/>
      <c r="E205" s="841"/>
      <c r="F205" s="841"/>
      <c r="G205" s="18"/>
      <c r="I205" s="221" t="str">
        <f>IF(I176="No","No","Yes")</f>
        <v>No</v>
      </c>
    </row>
    <row r="206" spans="2:9" x14ac:dyDescent="0.3">
      <c r="B206" s="18"/>
      <c r="C206" s="18"/>
      <c r="D206" s="18"/>
      <c r="E206" s="841"/>
      <c r="F206" s="841"/>
      <c r="G206" s="18"/>
    </row>
    <row r="207" spans="2:9" x14ac:dyDescent="0.3">
      <c r="B207" s="18"/>
      <c r="C207" s="17" t="str">
        <f>"Note "&amp;'Profit and Loss'!E22&amp;" - Purchases of stock-in-trade (traded goods)"</f>
        <v>Note 17 - Purchases of stock-in-trade (traded goods)</v>
      </c>
      <c r="D207" s="17"/>
      <c r="E207" s="1210"/>
      <c r="F207" s="1210"/>
      <c r="G207" s="18"/>
      <c r="I207" s="221" t="str">
        <f>IF(I215="No","No","Yes")</f>
        <v>Yes</v>
      </c>
    </row>
    <row r="208" spans="2:9" x14ac:dyDescent="0.3">
      <c r="B208" s="18"/>
      <c r="C208" s="18"/>
      <c r="D208" s="18"/>
      <c r="E208" s="1210"/>
      <c r="F208" s="2520" t="str">
        <f>'Master Data'!$C$26</f>
        <v>Amount in Rs '00.</v>
      </c>
      <c r="G208" s="18"/>
      <c r="I208" s="221" t="str">
        <f>IF(I215="No","No","Yes")</f>
        <v>Yes</v>
      </c>
    </row>
    <row r="209" spans="2:9" ht="45" x14ac:dyDescent="0.3">
      <c r="B209" s="18"/>
      <c r="C209" s="2885" t="str">
        <f>+'Qualitative Disclosures'!C691</f>
        <v>Particulars</v>
      </c>
      <c r="D209" s="2886"/>
      <c r="E209" s="1951" t="str">
        <f>+'Qualitative Disclosures'!E691</f>
        <v>For the Year ended 31st March 2025</v>
      </c>
      <c r="F209" s="1951" t="str">
        <f>+'Qualitative Disclosures'!F691</f>
        <v>For the Year ended 31st March 2024</v>
      </c>
      <c r="G209" s="18"/>
      <c r="I209" s="221" t="str">
        <f>IF(I215="No","No","Yes")</f>
        <v>Yes</v>
      </c>
    </row>
    <row r="210" spans="2:9" x14ac:dyDescent="0.3">
      <c r="B210" s="18"/>
      <c r="C210" s="1272" t="str">
        <f>+IF('Qualitative Disclosures'!C692="","",'Qualitative Disclosures'!C692)</f>
        <v>(a) Stock-in-trade</v>
      </c>
      <c r="D210" s="1273"/>
      <c r="E210" s="2340">
        <f>+'Qualitative Disclosures'!E692</f>
        <v>1615132.9332999999</v>
      </c>
      <c r="F210" s="2341">
        <f>+'Qualitative Disclosures'!F692</f>
        <v>1275219.3600000001</v>
      </c>
      <c r="G210" s="18"/>
      <c r="H210" s="914"/>
      <c r="I210" s="221" t="str">
        <f t="shared" ref="I210:I215" si="12">IF(AND(E210=0,F210=0),"No","Yes")</f>
        <v>Yes</v>
      </c>
    </row>
    <row r="211" spans="2:9" hidden="1" x14ac:dyDescent="0.3">
      <c r="B211" s="18"/>
      <c r="C211" s="1275" t="str">
        <f>+IF('Qualitative Disclosures'!C693="","",'Qualitative Disclosures'!C693)</f>
        <v>Stock-in-trade - Product N</v>
      </c>
      <c r="D211" s="1276"/>
      <c r="E211" s="2340">
        <f>+'Qualitative Disclosures'!E693</f>
        <v>0</v>
      </c>
      <c r="F211" s="2341">
        <f>+'Qualitative Disclosures'!F693</f>
        <v>0</v>
      </c>
      <c r="G211" s="18"/>
      <c r="H211" s="914"/>
      <c r="I211" s="221" t="str">
        <f t="shared" si="12"/>
        <v>No</v>
      </c>
    </row>
    <row r="212" spans="2:9" hidden="1" x14ac:dyDescent="0.3">
      <c r="B212" s="18"/>
      <c r="C212" s="1275" t="str">
        <f>+IF('Qualitative Disclosures'!C694="","",'Qualitative Disclosures'!C694)</f>
        <v>Stock-in-trade - Product O</v>
      </c>
      <c r="D212" s="1276"/>
      <c r="E212" s="2340">
        <f>+'Qualitative Disclosures'!E694</f>
        <v>0</v>
      </c>
      <c r="F212" s="2341">
        <f>+'Qualitative Disclosures'!F694</f>
        <v>0</v>
      </c>
      <c r="G212" s="18"/>
      <c r="H212" s="914"/>
      <c r="I212" s="221" t="str">
        <f t="shared" si="12"/>
        <v>No</v>
      </c>
    </row>
    <row r="213" spans="2:9" hidden="1" x14ac:dyDescent="0.3">
      <c r="B213" s="18"/>
      <c r="C213" s="1275" t="str">
        <f>+IF('Qualitative Disclosures'!C695="","",'Qualitative Disclosures'!C695)</f>
        <v>Other items</v>
      </c>
      <c r="D213" s="1276"/>
      <c r="E213" s="2340">
        <f>+'Qualitative Disclosures'!E695</f>
        <v>0</v>
      </c>
      <c r="F213" s="2341">
        <f>+'Qualitative Disclosures'!F695</f>
        <v>0</v>
      </c>
      <c r="G213" s="18"/>
      <c r="H213" s="914"/>
      <c r="I213" s="221" t="str">
        <f t="shared" si="12"/>
        <v>No</v>
      </c>
    </row>
    <row r="214" spans="2:9" hidden="1" x14ac:dyDescent="0.3">
      <c r="B214" s="18"/>
      <c r="C214" s="1275" t="str">
        <f>+IF('Qualitative Disclosures'!C696="","",'Qualitative Disclosures'!C696)</f>
        <v/>
      </c>
      <c r="D214" s="1276"/>
      <c r="E214" s="2342"/>
      <c r="F214" s="2343"/>
      <c r="G214" s="18"/>
      <c r="H214" s="914"/>
      <c r="I214" s="221" t="str">
        <f t="shared" si="12"/>
        <v>No</v>
      </c>
    </row>
    <row r="215" spans="2:9" x14ac:dyDescent="0.3">
      <c r="B215" s="18"/>
      <c r="C215" s="2344" t="str">
        <f>+IF('Qualitative Disclosures'!C697="","",'Qualitative Disclosures'!C697)</f>
        <v>Total</v>
      </c>
      <c r="D215" s="2345"/>
      <c r="E215" s="2349">
        <f>SUM(E210:E213)</f>
        <v>1615132.9332999999</v>
      </c>
      <c r="F215" s="2349">
        <f>SUM(F210:F213)</f>
        <v>1275219.3600000001</v>
      </c>
      <c r="G215" s="18"/>
      <c r="H215" s="914"/>
      <c r="I215" s="221" t="str">
        <f t="shared" si="12"/>
        <v>Yes</v>
      </c>
    </row>
    <row r="216" spans="2:9" hidden="1" x14ac:dyDescent="0.3">
      <c r="B216" s="18"/>
      <c r="C216" s="1489"/>
      <c r="D216" s="1489"/>
      <c r="E216" s="1548"/>
      <c r="F216" s="1548"/>
      <c r="G216" s="18"/>
      <c r="H216" s="2362"/>
      <c r="I216" s="221" t="str">
        <f>+I217</f>
        <v>No</v>
      </c>
    </row>
    <row r="217" spans="2:9" hidden="1" x14ac:dyDescent="0.3">
      <c r="B217" s="18"/>
      <c r="C217" s="1488" t="str">
        <f>+IF(Footnotes!C177="","",Footnotes!C177)</f>
        <v/>
      </c>
      <c r="D217" s="1488" t="str">
        <f>+IF(Footnotes!D177="","",Footnotes!D177)</f>
        <v/>
      </c>
      <c r="E217" s="1549" t="str">
        <f>+IF(Footnotes!E177="","",Footnotes!E177)</f>
        <v/>
      </c>
      <c r="F217" s="1549" t="str">
        <f>+IF(Footnotes!F177="","",Footnotes!F177)</f>
        <v/>
      </c>
      <c r="G217" s="18"/>
      <c r="I217" s="81" t="str">
        <f t="shared" ref="I217:I222" si="13">+IF(AND(F217="",C217="",D217="",E217=""),"No","Yes")</f>
        <v>No</v>
      </c>
    </row>
    <row r="218" spans="2:9" hidden="1" x14ac:dyDescent="0.3">
      <c r="B218" s="18"/>
      <c r="C218" s="1488" t="str">
        <f>+IF(Footnotes!C178="","",Footnotes!C178)</f>
        <v/>
      </c>
      <c r="D218" s="1488" t="str">
        <f>+IF(Footnotes!D178="","",Footnotes!D178)</f>
        <v/>
      </c>
      <c r="E218" s="1549" t="str">
        <f>+IF(Footnotes!E178="","",Footnotes!E178)</f>
        <v/>
      </c>
      <c r="F218" s="1549" t="str">
        <f>+IF(Footnotes!F178="","",Footnotes!F178)</f>
        <v/>
      </c>
      <c r="G218" s="18"/>
      <c r="I218" s="81" t="str">
        <f t="shared" si="13"/>
        <v>No</v>
      </c>
    </row>
    <row r="219" spans="2:9" hidden="1" x14ac:dyDescent="0.3">
      <c r="B219" s="18"/>
      <c r="C219" s="1488" t="str">
        <f>+IF(Footnotes!C179="","",Footnotes!C179)</f>
        <v/>
      </c>
      <c r="D219" s="1488" t="str">
        <f>+IF(Footnotes!D179="","",Footnotes!D179)</f>
        <v/>
      </c>
      <c r="E219" s="1549" t="str">
        <f>+IF(Footnotes!E179="","",Footnotes!E179)</f>
        <v/>
      </c>
      <c r="F219" s="1549" t="str">
        <f>+IF(Footnotes!F179="","",Footnotes!F179)</f>
        <v/>
      </c>
      <c r="G219" s="18"/>
      <c r="I219" s="81" t="str">
        <f t="shared" si="13"/>
        <v>No</v>
      </c>
    </row>
    <row r="220" spans="2:9" hidden="1" x14ac:dyDescent="0.3">
      <c r="B220" s="18"/>
      <c r="C220" s="1488" t="str">
        <f>+IF(Footnotes!C180="","",Footnotes!C180)</f>
        <v/>
      </c>
      <c r="D220" s="1488" t="str">
        <f>+IF(Footnotes!D180="","",Footnotes!D180)</f>
        <v/>
      </c>
      <c r="E220" s="1549" t="str">
        <f>+IF(Footnotes!E180="","",Footnotes!E180)</f>
        <v/>
      </c>
      <c r="F220" s="1549" t="str">
        <f>+IF(Footnotes!F180="","",Footnotes!F180)</f>
        <v/>
      </c>
      <c r="G220" s="18"/>
      <c r="I220" s="81" t="str">
        <f t="shared" si="13"/>
        <v>No</v>
      </c>
    </row>
    <row r="221" spans="2:9" hidden="1" x14ac:dyDescent="0.3">
      <c r="B221" s="18"/>
      <c r="C221" s="1488" t="str">
        <f>+IF(Footnotes!C181="","",Footnotes!C181)</f>
        <v/>
      </c>
      <c r="D221" s="1488" t="str">
        <f>+IF(Footnotes!D181="","",Footnotes!D181)</f>
        <v/>
      </c>
      <c r="E221" s="1549" t="str">
        <f>+IF(Footnotes!E181="","",Footnotes!E181)</f>
        <v/>
      </c>
      <c r="F221" s="1549" t="str">
        <f>+IF(Footnotes!F181="","",Footnotes!F181)</f>
        <v/>
      </c>
      <c r="G221" s="18"/>
      <c r="I221" s="81" t="str">
        <f t="shared" si="13"/>
        <v>No</v>
      </c>
    </row>
    <row r="222" spans="2:9" hidden="1" x14ac:dyDescent="0.3">
      <c r="B222" s="18"/>
      <c r="C222" s="1488" t="str">
        <f>+IF(Footnotes!C182="","",Footnotes!C182)</f>
        <v/>
      </c>
      <c r="D222" s="1488" t="str">
        <f>+IF(Footnotes!D182="","",Footnotes!D182)</f>
        <v/>
      </c>
      <c r="E222" s="1549" t="str">
        <f>+IF(Footnotes!E182="","",Footnotes!E182)</f>
        <v/>
      </c>
      <c r="F222" s="1549" t="str">
        <f>+IF(Footnotes!F182="","",Footnotes!F182)</f>
        <v/>
      </c>
      <c r="G222" s="18"/>
      <c r="I222" s="81" t="str">
        <f t="shared" si="13"/>
        <v>No</v>
      </c>
    </row>
    <row r="223" spans="2:9" x14ac:dyDescent="0.3">
      <c r="B223" s="18"/>
      <c r="C223" s="18"/>
      <c r="D223" s="18"/>
      <c r="E223" s="1210"/>
      <c r="F223" s="1210"/>
      <c r="G223" s="18"/>
      <c r="I223" s="221" t="str">
        <f>IF(I207="No","No","Yes")</f>
        <v>Yes</v>
      </c>
    </row>
    <row r="224" spans="2:9" x14ac:dyDescent="0.3">
      <c r="B224" s="18"/>
      <c r="C224" s="483" t="str">
        <f>"Note "&amp;'Profit and Loss'!E23&amp;" - Changes in inventories of finished goods, work-in-progress and stock-in-trade"</f>
        <v>Note 18 - Changes in inventories of finished goods, work-in-progress and stock-in-trade</v>
      </c>
      <c r="D224" s="483"/>
      <c r="E224" s="1210"/>
      <c r="F224" s="1210"/>
      <c r="G224" s="18"/>
      <c r="I224" s="221" t="str">
        <f>IF(AND(I227="No",I233="No"),"No","Yes")</f>
        <v>Yes</v>
      </c>
    </row>
    <row r="225" spans="2:9" x14ac:dyDescent="0.3">
      <c r="B225" s="18"/>
      <c r="C225" s="18"/>
      <c r="D225" s="18"/>
      <c r="E225" s="1210"/>
      <c r="F225" s="2521" t="str">
        <f>'Master Data'!$C$26</f>
        <v>Amount in Rs '00.</v>
      </c>
      <c r="G225" s="18"/>
      <c r="I225" s="221" t="str">
        <f>IF(AND(I227="No",I233="No"),"No","Yes")</f>
        <v>Yes</v>
      </c>
    </row>
    <row r="226" spans="2:9" ht="45" x14ac:dyDescent="0.3">
      <c r="B226" s="18"/>
      <c r="C226" s="2870" t="str">
        <f>+'Qualitative Disclosures'!C701</f>
        <v>Particulars</v>
      </c>
      <c r="D226" s="2871"/>
      <c r="E226" s="1951" t="str">
        <f>+'Qualitative Disclosures'!E701</f>
        <v>For the Year ended 31st March 2025</v>
      </c>
      <c r="F226" s="1951" t="str">
        <f>+'Qualitative Disclosures'!F701</f>
        <v>For the Year ended 31st March 2024</v>
      </c>
      <c r="G226" s="18"/>
      <c r="I226" s="221" t="str">
        <f>IF(AND(I227="No",I233="No"),"No","Yes")</f>
        <v>Yes</v>
      </c>
    </row>
    <row r="227" spans="2:9" x14ac:dyDescent="0.3">
      <c r="B227" s="18"/>
      <c r="C227" s="1281" t="str">
        <f>+IF('Qualitative Disclosures'!C702="","",'Qualitative Disclosures'!C702)</f>
        <v>(a) Inventories at the end of the year:</v>
      </c>
      <c r="D227" s="1282"/>
      <c r="E227" s="2354"/>
      <c r="F227" s="2355"/>
      <c r="G227" s="18"/>
      <c r="I227" s="221" t="str">
        <f>IF(AND(I228="No",I229="No",I230="No"),"No","Yes")</f>
        <v>Yes</v>
      </c>
    </row>
    <row r="228" spans="2:9" hidden="1" x14ac:dyDescent="0.3">
      <c r="B228" s="18"/>
      <c r="C228" s="1285" t="str">
        <f>+IF('Qualitative Disclosures'!C703="","",'Qualitative Disclosures'!C703)</f>
        <v>Finished goods</v>
      </c>
      <c r="D228" s="1286"/>
      <c r="E228" s="2341">
        <f>+'Qualitative Disclosures'!E703</f>
        <v>0</v>
      </c>
      <c r="F228" s="1878">
        <f>+'Qualitative Disclosures'!F703</f>
        <v>0</v>
      </c>
      <c r="G228" s="18"/>
      <c r="I228" s="221" t="str">
        <f>IF(AND(E228=0,F228=0),"No","Yes")</f>
        <v>No</v>
      </c>
    </row>
    <row r="229" spans="2:9" hidden="1" x14ac:dyDescent="0.3">
      <c r="B229" s="18"/>
      <c r="C229" s="1285" t="str">
        <f>+IF('Qualitative Disclosures'!C704="","",'Qualitative Disclosures'!C704)</f>
        <v>Work-in-progress</v>
      </c>
      <c r="D229" s="1286"/>
      <c r="E229" s="2341">
        <f>+'Qualitative Disclosures'!E704</f>
        <v>0</v>
      </c>
      <c r="F229" s="1878">
        <f>+'Qualitative Disclosures'!F704</f>
        <v>0</v>
      </c>
      <c r="G229" s="18"/>
      <c r="I229" s="221" t="str">
        <f>IF(AND(E229=0,F229=0),"No","Yes")</f>
        <v>No</v>
      </c>
    </row>
    <row r="230" spans="2:9" x14ac:dyDescent="0.3">
      <c r="B230" s="18"/>
      <c r="C230" s="1285" t="str">
        <f>+IF('Qualitative Disclosures'!C705="","",'Qualitative Disclosures'!C705)</f>
        <v>Stock-in-trade</v>
      </c>
      <c r="D230" s="1286"/>
      <c r="E230" s="2341">
        <f>+'Qualitative Disclosures'!E705</f>
        <v>33397.197799999994</v>
      </c>
      <c r="F230" s="1878">
        <f>+'Qualitative Disclosures'!F705</f>
        <v>25264.693599999999</v>
      </c>
      <c r="G230" s="18"/>
      <c r="I230" s="221" t="str">
        <f>IF(AND(E230=0,F230=0),"No","Yes")</f>
        <v>Yes</v>
      </c>
    </row>
    <row r="231" spans="2:9" x14ac:dyDescent="0.3">
      <c r="B231" s="18"/>
      <c r="C231" s="1288" t="str">
        <f>+IF('Qualitative Disclosures'!C706="","",'Qualitative Disclosures'!C706)</f>
        <v/>
      </c>
      <c r="D231" s="1289"/>
      <c r="E231" s="2356">
        <f>+'Qualitative Disclosures'!E706</f>
        <v>33397.197799999994</v>
      </c>
      <c r="F231" s="2356">
        <f>+'Qualitative Disclosures'!F706</f>
        <v>25264.693599999999</v>
      </c>
      <c r="G231" s="18"/>
      <c r="I231" s="221" t="str">
        <f>IF(AND(E231=0,F231=0),"No","Yes")</f>
        <v>Yes</v>
      </c>
    </row>
    <row r="232" spans="2:9" x14ac:dyDescent="0.3">
      <c r="B232" s="18"/>
      <c r="C232" s="1288" t="str">
        <f>+IF('Qualitative Disclosures'!C707="","",'Qualitative Disclosures'!C707)</f>
        <v/>
      </c>
      <c r="D232" s="1289"/>
      <c r="E232" s="2341"/>
      <c r="F232" s="2357"/>
      <c r="G232" s="18"/>
      <c r="I232" s="221" t="str">
        <f>IF(I231="No","No","Yes")</f>
        <v>Yes</v>
      </c>
    </row>
    <row r="233" spans="2:9" x14ac:dyDescent="0.3">
      <c r="B233" s="18"/>
      <c r="C233" s="1293" t="str">
        <f>+IF('Qualitative Disclosures'!C708="","",'Qualitative Disclosures'!C708)</f>
        <v>(b) Inventories at the beginning of the year:</v>
      </c>
      <c r="D233" s="1294"/>
      <c r="E233" s="2341"/>
      <c r="F233" s="1878"/>
      <c r="G233" s="18"/>
      <c r="I233" s="221" t="str">
        <f>IF(AND(I234="No",I235="No",I236="No"),"No","Yes")</f>
        <v>Yes</v>
      </c>
    </row>
    <row r="234" spans="2:9" hidden="1" x14ac:dyDescent="0.3">
      <c r="B234" s="18"/>
      <c r="C234" s="1285" t="str">
        <f>+IF('Qualitative Disclosures'!C709="","",'Qualitative Disclosures'!C709)</f>
        <v>Finished goods</v>
      </c>
      <c r="D234" s="1286"/>
      <c r="E234" s="2341">
        <f>+'Qualitative Disclosures'!E709</f>
        <v>0</v>
      </c>
      <c r="F234" s="1878">
        <f>+'Qualitative Disclosures'!F709</f>
        <v>0</v>
      </c>
      <c r="G234" s="18"/>
      <c r="I234" s="221" t="str">
        <f>IF(AND(E234=0,F234=0),"No","Yes")</f>
        <v>No</v>
      </c>
    </row>
    <row r="235" spans="2:9" hidden="1" x14ac:dyDescent="0.3">
      <c r="B235" s="18"/>
      <c r="C235" s="1285" t="str">
        <f>+IF('Qualitative Disclosures'!C710="","",'Qualitative Disclosures'!C710)</f>
        <v>Work-in-progress</v>
      </c>
      <c r="D235" s="1286"/>
      <c r="E235" s="2341">
        <f>+'Qualitative Disclosures'!E710</f>
        <v>0</v>
      </c>
      <c r="F235" s="1878">
        <f>+'Qualitative Disclosures'!F710</f>
        <v>0</v>
      </c>
      <c r="G235" s="18"/>
      <c r="I235" s="221" t="str">
        <f>IF(AND(E235=0,F235=0),"No","Yes")</f>
        <v>No</v>
      </c>
    </row>
    <row r="236" spans="2:9" x14ac:dyDescent="0.3">
      <c r="B236" s="18"/>
      <c r="C236" s="1285" t="str">
        <f>+IF('Qualitative Disclosures'!C711="","",'Qualitative Disclosures'!C711)</f>
        <v>Stock-in-trade</v>
      </c>
      <c r="D236" s="1286"/>
      <c r="E236" s="2341">
        <f>+'Qualitative Disclosures'!E711</f>
        <v>25264.693599999999</v>
      </c>
      <c r="F236" s="2358">
        <f>+'Qualitative Disclosures'!F711</f>
        <v>152859.7971</v>
      </c>
      <c r="G236" s="18"/>
      <c r="I236" s="221" t="str">
        <f>IF(AND(E236=0,F236=0),"No","Yes")</f>
        <v>Yes</v>
      </c>
    </row>
    <row r="237" spans="2:9" x14ac:dyDescent="0.3">
      <c r="B237" s="18"/>
      <c r="C237" s="1295" t="str">
        <f>+IF('Qualitative Disclosures'!C712="","",'Qualitative Disclosures'!C712)</f>
        <v/>
      </c>
      <c r="D237" s="1296"/>
      <c r="E237" s="2356">
        <f>+'Qualitative Disclosures'!E712</f>
        <v>25264.693599999999</v>
      </c>
      <c r="F237" s="2359">
        <f>+'Qualitative Disclosures'!F712</f>
        <v>152859.7971</v>
      </c>
      <c r="G237" s="18"/>
      <c r="I237" s="221" t="str">
        <f>IF(AND(E237=0,F237=0),"No","Yes")</f>
        <v>Yes</v>
      </c>
    </row>
    <row r="238" spans="2:9" x14ac:dyDescent="0.3">
      <c r="B238" s="18"/>
      <c r="C238" s="1295" t="str">
        <f>+IF('Qualitative Disclosures'!C713="","",'Qualitative Disclosures'!C713)</f>
        <v/>
      </c>
      <c r="D238" s="1296"/>
      <c r="E238" s="2341"/>
      <c r="F238" s="1878"/>
      <c r="G238" s="18"/>
      <c r="H238" s="2362"/>
      <c r="I238" s="221" t="str">
        <f>IF(I237="No","No","Yes")</f>
        <v>Yes</v>
      </c>
    </row>
    <row r="239" spans="2:9" x14ac:dyDescent="0.3">
      <c r="B239" s="18"/>
      <c r="C239" s="2344" t="str">
        <f>+IF('Qualitative Disclosures'!C714="","",'Qualitative Disclosures'!C714)</f>
        <v>Net (increase) / decrease</v>
      </c>
      <c r="D239" s="2345"/>
      <c r="E239" s="2349">
        <f>+E237-E231</f>
        <v>-8132.5041999999958</v>
      </c>
      <c r="F239" s="2349">
        <f>+F237-F231</f>
        <v>127595.1035</v>
      </c>
      <c r="G239" s="18"/>
      <c r="H239" s="914"/>
      <c r="I239" s="221" t="str">
        <f>IF(AND(E239=0,F239=0),"No","Yes")</f>
        <v>Yes</v>
      </c>
    </row>
    <row r="240" spans="2:9" x14ac:dyDescent="0.3">
      <c r="H240" s="2361"/>
      <c r="I240" s="221" t="str">
        <f>IF(I224="No","No","Yes")</f>
        <v>Yes</v>
      </c>
    </row>
    <row r="241" spans="3:14" hidden="1" x14ac:dyDescent="0.3">
      <c r="C241" s="1488" t="str">
        <f>+IF(Footnotes!C185="","",Footnotes!C185)</f>
        <v/>
      </c>
      <c r="D241" s="1490" t="str">
        <f>+IF(Footnotes!D185="","",Footnotes!D185)</f>
        <v/>
      </c>
      <c r="E241" s="1550" t="str">
        <f>+IF(Footnotes!E185="","",Footnotes!E185)</f>
        <v/>
      </c>
      <c r="F241" s="1550" t="str">
        <f>+IF(Footnotes!F185="","",Footnotes!F185)</f>
        <v/>
      </c>
      <c r="I241" s="81" t="str">
        <f t="shared" ref="I241:I246" si="14">+IF(AND(F241="",C241="",D241="",E241=""),"No","Yes")</f>
        <v>No</v>
      </c>
    </row>
    <row r="242" spans="3:14" hidden="1" x14ac:dyDescent="0.3">
      <c r="C242" s="1490" t="str">
        <f>+IF(Footnotes!C186="","",Footnotes!C186)</f>
        <v/>
      </c>
      <c r="D242" s="1490" t="str">
        <f>+IF(Footnotes!D186="","",Footnotes!D186)</f>
        <v/>
      </c>
      <c r="E242" s="1550" t="str">
        <f>+IF(Footnotes!E186="","",Footnotes!E186)</f>
        <v/>
      </c>
      <c r="F242" s="1550" t="str">
        <f>+IF(Footnotes!F186="","",Footnotes!F186)</f>
        <v/>
      </c>
      <c r="I242" s="81" t="str">
        <f t="shared" si="14"/>
        <v>No</v>
      </c>
    </row>
    <row r="243" spans="3:14" hidden="1" x14ac:dyDescent="0.3">
      <c r="C243" s="1490" t="str">
        <f>+IF(Footnotes!C187="","",Footnotes!C187)</f>
        <v/>
      </c>
      <c r="D243" s="1490" t="str">
        <f>+IF(Footnotes!D187="","",Footnotes!D187)</f>
        <v/>
      </c>
      <c r="E243" s="1550" t="str">
        <f>+IF(Footnotes!E187="","",Footnotes!E187)</f>
        <v/>
      </c>
      <c r="F243" s="1550" t="str">
        <f>+IF(Footnotes!F187="","",Footnotes!F187)</f>
        <v/>
      </c>
      <c r="I243" s="81" t="str">
        <f t="shared" si="14"/>
        <v>No</v>
      </c>
    </row>
    <row r="244" spans="3:14" hidden="1" x14ac:dyDescent="0.3">
      <c r="C244" s="1490" t="str">
        <f>+IF(Footnotes!C188="","",Footnotes!C188)</f>
        <v/>
      </c>
      <c r="D244" s="1490" t="str">
        <f>+IF(Footnotes!D188="","",Footnotes!D188)</f>
        <v/>
      </c>
      <c r="E244" s="1550" t="str">
        <f>+IF(Footnotes!E188="","",Footnotes!E188)</f>
        <v/>
      </c>
      <c r="F244" s="1550" t="str">
        <f>+IF(Footnotes!F188="","",Footnotes!F188)</f>
        <v/>
      </c>
      <c r="I244" s="81" t="str">
        <f t="shared" si="14"/>
        <v>No</v>
      </c>
    </row>
    <row r="245" spans="3:14" hidden="1" x14ac:dyDescent="0.3">
      <c r="C245" s="1490" t="str">
        <f>+IF(Footnotes!C189="","",Footnotes!C189)</f>
        <v/>
      </c>
      <c r="D245" s="1490" t="str">
        <f>+IF(Footnotes!D189="","",Footnotes!D189)</f>
        <v/>
      </c>
      <c r="E245" s="1550" t="str">
        <f>+IF(Footnotes!E189="","",Footnotes!E189)</f>
        <v/>
      </c>
      <c r="F245" s="1550" t="str">
        <f>+IF(Footnotes!F189="","",Footnotes!F189)</f>
        <v/>
      </c>
      <c r="I245" s="81" t="str">
        <f t="shared" si="14"/>
        <v>No</v>
      </c>
    </row>
    <row r="246" spans="3:14" hidden="1" x14ac:dyDescent="0.3">
      <c r="C246" s="1490" t="str">
        <f>+IF(Footnotes!C190="","",Footnotes!C190)</f>
        <v/>
      </c>
      <c r="D246" s="1490" t="str">
        <f>+IF(Footnotes!D190="","",Footnotes!D190)</f>
        <v/>
      </c>
      <c r="E246" s="1550" t="str">
        <f>+IF(Footnotes!E190="","",Footnotes!E190)</f>
        <v/>
      </c>
      <c r="F246" s="1550" t="str">
        <f>+IF(Footnotes!F190="","",Footnotes!F190)</f>
        <v/>
      </c>
      <c r="I246" s="81" t="str">
        <f t="shared" si="14"/>
        <v>No</v>
      </c>
    </row>
    <row r="247" spans="3:14" hidden="1" x14ac:dyDescent="0.3">
      <c r="I247" s="221" t="str">
        <f>IF(I248="Yes","Yes","No")</f>
        <v>Yes</v>
      </c>
    </row>
    <row r="248" spans="3:14" x14ac:dyDescent="0.3">
      <c r="C248" s="20" t="str">
        <f>"Note"&amp;" "&amp;'Profit and Loss'!E24&amp;" "&amp;"- Employee benefits expense"</f>
        <v>Note 19 - Employee benefits expense</v>
      </c>
      <c r="D248" s="20"/>
      <c r="E248" s="1394"/>
      <c r="F248" s="1394"/>
      <c r="G248" s="17"/>
      <c r="H248" s="1827"/>
      <c r="I248" s="113" t="str">
        <f>IF(AND(I256="No",I254="No",I253="No",I252="No",I251="No"),"No","Yes")</f>
        <v>Yes</v>
      </c>
    </row>
    <row r="249" spans="3:14" x14ac:dyDescent="0.3">
      <c r="C249" s="41"/>
      <c r="D249" s="41"/>
      <c r="E249" s="841"/>
      <c r="F249" s="2522" t="str">
        <f>'Master Data'!$C$26</f>
        <v>Amount in Rs '00.</v>
      </c>
      <c r="G249" s="41"/>
      <c r="H249" s="2360"/>
      <c r="I249" s="113" t="str">
        <f>IF(AND(I256="No",I254="No",I253="No",I252="No",I251="No"),"No","Yes")</f>
        <v>Yes</v>
      </c>
    </row>
    <row r="250" spans="3:14" ht="45" x14ac:dyDescent="0.3">
      <c r="C250" s="2870" t="s">
        <v>20</v>
      </c>
      <c r="D250" s="2871"/>
      <c r="E250" s="1951" t="str">
        <f>PLCY</f>
        <v>For the Year ended 31st March 2025</v>
      </c>
      <c r="F250" s="1951" t="str">
        <f>PLPY</f>
        <v>For the Year ended 31st March 2024</v>
      </c>
      <c r="G250" s="172"/>
      <c r="H250" s="113"/>
      <c r="I250" s="113" t="str">
        <f>IF(AND(I256="No",I254="No",I253="No",I252="No",I251="No"),"No","Yes")</f>
        <v>Yes</v>
      </c>
      <c r="K250" s="2363">
        <f>+F256*100</f>
        <v>163604359.15000004</v>
      </c>
      <c r="M250" s="2363"/>
    </row>
    <row r="251" spans="3:14" x14ac:dyDescent="0.3">
      <c r="C251" s="566" t="s">
        <v>1120</v>
      </c>
      <c r="D251" s="359"/>
      <c r="E251" s="845">
        <f>SUMIF('Master TB'!$E:$E,H251,'Master TB'!$J:$J)</f>
        <v>1642520.6933000002</v>
      </c>
      <c r="F251" s="1215">
        <f>SUMIF('Master TB'!$Q:$Q,'Notes To P&amp;L'!H251,'Master TB'!$V:$V)</f>
        <v>1491837.0642000001</v>
      </c>
      <c r="G251" s="41"/>
      <c r="H251" s="113" t="s">
        <v>1072</v>
      </c>
      <c r="I251" s="81" t="str">
        <f t="shared" ref="I251:I256" si="15">IF(AND(E251=0,F251=0),"No","Yes")</f>
        <v>Yes</v>
      </c>
      <c r="K251" s="1799">
        <v>142225208.30000001</v>
      </c>
      <c r="M251" s="1799"/>
    </row>
    <row r="252" spans="3:14" x14ac:dyDescent="0.3">
      <c r="C252" s="315" t="str">
        <f>+IF(I252="No","(b) Contributions to provident and other funds ",IF(COUNTIF(I251,"Yes")=0,"(a) Contributions to provident and other funds ",IF(COUNTIF(I251,"Yes")=1,"(b) Contributions to provident and other funds ","(b) Contributions to provident and other funds ")))</f>
        <v xml:space="preserve">(b) Contributions to provident and other funds </v>
      </c>
      <c r="D252" s="360"/>
      <c r="E252" s="845">
        <f>SUMIF('Master TB'!$E:$E,H252,'Master TB'!$J:$J)</f>
        <v>84495.775600000008</v>
      </c>
      <c r="F252" s="1213">
        <f>SUMIF('Master TB'!$Q:$Q,'Notes To P&amp;L'!H252,'Master TB'!$V:$V)</f>
        <v>74521.59</v>
      </c>
      <c r="G252" s="41"/>
      <c r="H252" s="113" t="s">
        <v>1073</v>
      </c>
      <c r="I252" s="81" t="str">
        <f t="shared" si="15"/>
        <v>Yes</v>
      </c>
      <c r="K252" s="1799">
        <f>+K250-K251</f>
        <v>21379150.850000024</v>
      </c>
      <c r="M252" s="1799"/>
    </row>
    <row r="253" spans="3:14" x14ac:dyDescent="0.3">
      <c r="C253" s="315" t="str">
        <f>IF(I253="No","(c) Gratuity expense ",IF(COUNTIF(I251:I252,"Yes")=0,"(a) Gratuity expense ",IF(COUNTIF(I251:I252,"Yes")=1,"(b) Gratuity expense ",IF(COUNTIF(I251:I252,"No")=2,"(c) Gratuity expense ","(c) Gratuity expense "))))</f>
        <v xml:space="preserve">(c) Gratuity expense </v>
      </c>
      <c r="D253" s="360"/>
      <c r="E253" s="845">
        <f>SUMIF('Master TB'!$E:$E,H253,'Master TB'!$J:$J)</f>
        <v>14001.14</v>
      </c>
      <c r="F253" s="1213">
        <f>SUMIF('Master TB'!$Q:$Q,'Notes To P&amp;L'!H253,'Master TB'!$V:$V)</f>
        <v>18261.11</v>
      </c>
      <c r="G253" s="41"/>
      <c r="H253" s="113" t="s">
        <v>1074</v>
      </c>
      <c r="I253" s="81" t="str">
        <f t="shared" si="15"/>
        <v>Yes</v>
      </c>
      <c r="K253" s="2364">
        <v>2855891.73</v>
      </c>
      <c r="M253" s="2364">
        <f>+M251-M252</f>
        <v>0</v>
      </c>
      <c r="N253" s="14" t="s">
        <v>3505</v>
      </c>
    </row>
    <row r="254" spans="3:14" hidden="1" x14ac:dyDescent="0.3">
      <c r="C254" s="358" t="str">
        <f>IF(I254="No","(d) Expense on employee stock option (ESOP) scheme",IF(COUNTIF(I251:I253,"Yes")=0,"(a) Expense on employee stock option (ESOP) scheme",IF(COUNTIF(I251:I253,"Yes")=1,"(b) Expense on employee stock option (ESOP) scheme",IF(COUNTIF(I251:I253,"Yes")=2,"(c) Expense on employee stock option (ESOP) scheme",IF(COUNTIF(I251:I253,"No")=3,"(d) Expense on employee stock option (ESOP) scheme","(d) Expense on employee stock option (ESOP) scheme")))))</f>
        <v>(d) Expense on employee stock option (ESOP) scheme</v>
      </c>
      <c r="D254" s="666"/>
      <c r="E254" s="845">
        <f>SUMIF('Master TB'!$E:$E,H254,'Master TB'!$J:$J)</f>
        <v>0</v>
      </c>
      <c r="F254" s="2365">
        <f>SUMIF('Master TB'!$Q:$Q,'Notes To P&amp;L'!H254,'Master TB'!$V:$V)</f>
        <v>0</v>
      </c>
      <c r="G254" s="3"/>
      <c r="H254" s="113" t="s">
        <v>1075</v>
      </c>
      <c r="I254" s="81" t="str">
        <f t="shared" si="15"/>
        <v>No</v>
      </c>
      <c r="N254" s="14" t="s">
        <v>3505</v>
      </c>
    </row>
    <row r="255" spans="3:14" x14ac:dyDescent="0.3">
      <c r="C255" s="315" t="str">
        <f>IF(I255="No","(e) Staff welfare expenses",IF(COUNTIF(I251:I254,"Yes")=0,"(a) Staff welfare expenses",IF(COUNTIF(I251:I254,"Yes")=1,"(b) Staff welfare expenses",IF(COUNTIF(I251:I254,"Yes")=2,"(c) Staff welfare expenses",IF(COUNTIF(I251:I254,"Yes")=3,"(d) Staff welfare expenses",IF(COUNTIF(I251:I254,"No")=4,"(e) Staff welfare expenses","(e) Staff welfare expenses"))))))</f>
        <v>(d) Staff welfare expenses</v>
      </c>
      <c r="D255" s="360"/>
      <c r="E255" s="845">
        <f>SUMIF('Master TB'!$E:$E,H255,'Master TB'!$J:$J)</f>
        <v>63477.11050000001</v>
      </c>
      <c r="F255" s="1213">
        <f>SUMIF('Master TB'!$Q:$Q,'Notes To P&amp;L'!H255,'Master TB'!$V:$V)</f>
        <v>51423.827300000004</v>
      </c>
      <c r="G255" s="41"/>
      <c r="H255" s="113" t="s">
        <v>1076</v>
      </c>
      <c r="I255" s="81" t="str">
        <f t="shared" si="15"/>
        <v>Yes</v>
      </c>
      <c r="K255" s="1799">
        <f>+K252-K253</f>
        <v>18523259.120000023</v>
      </c>
      <c r="M255" s="1799"/>
      <c r="N255" s="14" t="s">
        <v>3506</v>
      </c>
    </row>
    <row r="256" spans="3:14" x14ac:dyDescent="0.3">
      <c r="C256" s="1965" t="s">
        <v>35</v>
      </c>
      <c r="D256" s="1966"/>
      <c r="E256" s="1958">
        <f>SUM(E251:E255)</f>
        <v>1804494.7194000001</v>
      </c>
      <c r="F256" s="1958">
        <f>SUM(F251:F255)</f>
        <v>1636043.5915000003</v>
      </c>
      <c r="G256" s="42"/>
      <c r="H256" s="113"/>
      <c r="I256" s="81" t="str">
        <f t="shared" si="15"/>
        <v>Yes</v>
      </c>
      <c r="K256" s="2364"/>
      <c r="M256" s="2364"/>
    </row>
    <row r="257" spans="3:9" hidden="1" x14ac:dyDescent="0.3">
      <c r="C257" s="214"/>
      <c r="D257" s="214"/>
      <c r="E257" s="836"/>
      <c r="F257" s="836"/>
      <c r="G257" s="42"/>
      <c r="H257" s="113"/>
      <c r="I257" s="81" t="str">
        <f>+I258</f>
        <v>No</v>
      </c>
    </row>
    <row r="258" spans="3:9" hidden="1" x14ac:dyDescent="0.3">
      <c r="C258" s="1491" t="str">
        <f>+IF(Footnotes!C193="","",Footnotes!C193)</f>
        <v/>
      </c>
      <c r="D258" s="1491" t="str">
        <f>+IF(Footnotes!D193="","",Footnotes!D193)</f>
        <v/>
      </c>
      <c r="E258" s="1536" t="str">
        <f>+IF(Footnotes!E193="","",Footnotes!E193)</f>
        <v/>
      </c>
      <c r="F258" s="1536" t="str">
        <f>+IF(Footnotes!F193="","",Footnotes!F193)</f>
        <v/>
      </c>
      <c r="G258" s="42"/>
      <c r="H258" s="113"/>
      <c r="I258" s="81" t="str">
        <f t="shared" ref="I258:I263" si="16">+IF(AND(F258="",C258="",D258="",E258=""),"No","Yes")</f>
        <v>No</v>
      </c>
    </row>
    <row r="259" spans="3:9" hidden="1" x14ac:dyDescent="0.3">
      <c r="C259" s="1491" t="str">
        <f>+IF(Footnotes!C194="","",Footnotes!C194)</f>
        <v/>
      </c>
      <c r="D259" s="1491" t="str">
        <f>+IF(Footnotes!D194="","",Footnotes!D194)</f>
        <v/>
      </c>
      <c r="E259" s="1536" t="str">
        <f>+IF(Footnotes!E194="","",Footnotes!E194)</f>
        <v/>
      </c>
      <c r="F259" s="1536" t="str">
        <f>+IF(Footnotes!F194="","",Footnotes!F194)</f>
        <v/>
      </c>
      <c r="G259" s="42"/>
      <c r="H259" s="113"/>
      <c r="I259" s="81" t="str">
        <f t="shared" si="16"/>
        <v>No</v>
      </c>
    </row>
    <row r="260" spans="3:9" hidden="1" x14ac:dyDescent="0.3">
      <c r="C260" s="1491" t="str">
        <f>+IF(Footnotes!C195="","",Footnotes!C195)</f>
        <v/>
      </c>
      <c r="D260" s="1491" t="str">
        <f>+IF(Footnotes!D195="","",Footnotes!D195)</f>
        <v/>
      </c>
      <c r="E260" s="1536" t="str">
        <f>+IF(Footnotes!E195="","",Footnotes!E195)</f>
        <v/>
      </c>
      <c r="F260" s="1536" t="str">
        <f>+IF(Footnotes!F195="","",Footnotes!F195)</f>
        <v/>
      </c>
      <c r="G260" s="42"/>
      <c r="H260" s="113"/>
      <c r="I260" s="81" t="str">
        <f t="shared" si="16"/>
        <v>No</v>
      </c>
    </row>
    <row r="261" spans="3:9" hidden="1" x14ac:dyDescent="0.3">
      <c r="C261" s="1491" t="str">
        <f>+IF(Footnotes!C196="","",Footnotes!C196)</f>
        <v/>
      </c>
      <c r="D261" s="1491" t="str">
        <f>+IF(Footnotes!D196="","",Footnotes!D196)</f>
        <v/>
      </c>
      <c r="E261" s="1536" t="str">
        <f>+IF(Footnotes!E196="","",Footnotes!E196)</f>
        <v/>
      </c>
      <c r="F261" s="1536" t="str">
        <f>+IF(Footnotes!F196="","",Footnotes!F196)</f>
        <v/>
      </c>
      <c r="G261" s="42"/>
      <c r="H261" s="113"/>
      <c r="I261" s="81" t="str">
        <f t="shared" si="16"/>
        <v>No</v>
      </c>
    </row>
    <row r="262" spans="3:9" hidden="1" x14ac:dyDescent="0.3">
      <c r="C262" s="1491" t="str">
        <f>+IF(Footnotes!C197="","",Footnotes!C197)</f>
        <v/>
      </c>
      <c r="D262" s="1491" t="str">
        <f>+IF(Footnotes!D197="","",Footnotes!D197)</f>
        <v/>
      </c>
      <c r="E262" s="1536" t="str">
        <f>+IF(Footnotes!E197="","",Footnotes!E197)</f>
        <v/>
      </c>
      <c r="F262" s="1536" t="str">
        <f>+IF(Footnotes!F197="","",Footnotes!F197)</f>
        <v/>
      </c>
      <c r="G262" s="42"/>
      <c r="H262" s="113"/>
      <c r="I262" s="81" t="str">
        <f t="shared" si="16"/>
        <v>No</v>
      </c>
    </row>
    <row r="263" spans="3:9" hidden="1" x14ac:dyDescent="0.3">
      <c r="C263" s="1491" t="str">
        <f>+IF(Footnotes!C198="","",Footnotes!C198)</f>
        <v/>
      </c>
      <c r="D263" s="1491" t="str">
        <f>+IF(Footnotes!D198="","",Footnotes!D198)</f>
        <v/>
      </c>
      <c r="E263" s="1536" t="str">
        <f>+IF(Footnotes!E198="","",Footnotes!E198)</f>
        <v/>
      </c>
      <c r="F263" s="1536" t="str">
        <f>+IF(Footnotes!F198="","",Footnotes!F198)</f>
        <v/>
      </c>
      <c r="G263" s="42"/>
      <c r="H263" s="113"/>
      <c r="I263" s="81" t="str">
        <f t="shared" si="16"/>
        <v>No</v>
      </c>
    </row>
    <row r="264" spans="3:9" hidden="1" x14ac:dyDescent="0.3">
      <c r="I264" s="221" t="str">
        <f>IF(I256="No","No","Yes")</f>
        <v>Yes</v>
      </c>
    </row>
    <row r="265" spans="3:9" hidden="1" x14ac:dyDescent="0.3">
      <c r="C265" s="20" t="str">
        <f>"Note "&amp;'Profit and Loss'!E25&amp; " Finance costs"</f>
        <v>Note 19 Finance costs</v>
      </c>
      <c r="D265" s="20"/>
      <c r="E265" s="1510"/>
      <c r="F265" s="841"/>
      <c r="G265" s="41"/>
      <c r="H265" s="81"/>
      <c r="I265" s="81" t="str">
        <f>IF(AND(I274="No",I272="No",I268="No"),"No","Yes")</f>
        <v>No</v>
      </c>
    </row>
    <row r="266" spans="3:9" hidden="1" x14ac:dyDescent="0.3">
      <c r="C266" s="41"/>
      <c r="D266" s="41"/>
      <c r="E266" s="841"/>
      <c r="F266" s="1396" t="str">
        <f>'Master Data'!$C$26</f>
        <v>Amount in Rs '00.</v>
      </c>
      <c r="G266" s="41"/>
      <c r="H266" s="81"/>
      <c r="I266" s="81" t="str">
        <f>IF(AND(I274="No",I272="No",I268="No"),"No","Yes")</f>
        <v>No</v>
      </c>
    </row>
    <row r="267" spans="3:9" ht="45" hidden="1" x14ac:dyDescent="0.3">
      <c r="C267" s="2874" t="s">
        <v>20</v>
      </c>
      <c r="D267" s="2875"/>
      <c r="E267" s="1385" t="str">
        <f>PLCY</f>
        <v>For the Year ended 31st March 2025</v>
      </c>
      <c r="F267" s="1385" t="str">
        <f>PLPY</f>
        <v>For the Year ended 31st March 2024</v>
      </c>
      <c r="G267" s="172"/>
      <c r="H267" s="81"/>
      <c r="I267" s="146" t="str">
        <f>IF(AND(I274="No",I272="No",I268="No"),"No","Yes")</f>
        <v>No</v>
      </c>
    </row>
    <row r="268" spans="3:9" hidden="1" x14ac:dyDescent="0.3">
      <c r="C268" s="566" t="str">
        <f>IF(AND(I269="No",I270="No"),"(a) Interest expense on:","(a) Interest expense on:")</f>
        <v>(a) Interest expense on:</v>
      </c>
      <c r="D268" s="359"/>
      <c r="E268" s="1563"/>
      <c r="F268" s="1397"/>
      <c r="G268" s="307"/>
      <c r="H268" s="376"/>
      <c r="I268" s="81" t="str">
        <f>IF(AND(I269="No",I270="No"),"No","Yes")</f>
        <v>No</v>
      </c>
    </row>
    <row r="269" spans="3:9" hidden="1" x14ac:dyDescent="0.3">
      <c r="C269" s="448" t="str">
        <f>IF(I269="No","(i) Borrowings from Banks","(i) Borrowings from Banks")</f>
        <v>(i) Borrowings from Banks</v>
      </c>
      <c r="D269" s="490"/>
      <c r="E269" s="845">
        <f>SUMIF('Master TB'!$E:$E,H269,'Master TB'!$J:$J)</f>
        <v>0</v>
      </c>
      <c r="F269" s="1395">
        <f>SUMIF('Master TB'!$Q:$Q,'Notes To P&amp;L'!H269,'Master TB'!$V:$V)</f>
        <v>0</v>
      </c>
      <c r="G269" s="307"/>
      <c r="H269" s="377" t="s">
        <v>1106</v>
      </c>
      <c r="I269" s="81" t="str">
        <f>IF(AND(E269=0,F269=0),"No","Yes")</f>
        <v>No</v>
      </c>
    </row>
    <row r="270" spans="3:9" hidden="1" x14ac:dyDescent="0.3">
      <c r="C270" s="448" t="str">
        <f>IF(I270="No","(ii) Others",IF(COUNTIF(I269,"Yes")=0,"(i) Others",IF(COUNTIF(I269,"Yes")=1,"(ii) Others")))</f>
        <v>(ii) Others</v>
      </c>
      <c r="D270" s="490"/>
      <c r="E270" s="845">
        <f>SUMIF('Master TB'!$E:$E,H270,'Master TB'!$J:$J)</f>
        <v>0</v>
      </c>
      <c r="F270" s="1395">
        <f>SUMIF('Master TB'!$Q:$Q,'Notes To P&amp;L'!H270,'Master TB'!$V:$V)</f>
        <v>0</v>
      </c>
      <c r="G270" s="307"/>
      <c r="H270" s="377" t="s">
        <v>1107</v>
      </c>
      <c r="I270" s="81" t="str">
        <f>IF(AND(E270=0,F270=0),"No","Yes")</f>
        <v>No</v>
      </c>
    </row>
    <row r="271" spans="3:9" hidden="1" x14ac:dyDescent="0.3">
      <c r="C271" s="315"/>
      <c r="D271" s="360"/>
      <c r="E271" s="1506"/>
      <c r="F271" s="1398"/>
      <c r="G271" s="307"/>
      <c r="H271" s="377"/>
      <c r="I271" s="81" t="str">
        <f>IF(I268="No","No","Yes")</f>
        <v>No</v>
      </c>
    </row>
    <row r="272" spans="3:9" hidden="1" x14ac:dyDescent="0.3">
      <c r="C272" s="315" t="str">
        <f>IF(I272="No","(b) Other borrowing costs",IF(COUNTIF(I268,"Yes")=0,"(a) Other borrowing costs",IF(COUNTIF(I268,"Yes")=1,"(b) Other borrowing costs")))</f>
        <v>(b) Other borrowing costs</v>
      </c>
      <c r="D272" s="360"/>
      <c r="E272" s="845">
        <f>SUMIF('Master TB'!$E:$E,H272,'Master TB'!$J:$J)</f>
        <v>0</v>
      </c>
      <c r="F272" s="1395">
        <f>SUMIF('Master TB'!$Q:$Q,'Notes To P&amp;L'!H272,'Master TB'!$V:$V)</f>
        <v>0</v>
      </c>
      <c r="G272" s="307"/>
      <c r="H272" s="377" t="s">
        <v>1108</v>
      </c>
      <c r="I272" s="81" t="str">
        <f>IF(AND(E272=0,F272=0),"No","Yes")</f>
        <v>No</v>
      </c>
    </row>
    <row r="273" spans="3:16" hidden="1" x14ac:dyDescent="0.3">
      <c r="C273" s="315"/>
      <c r="D273" s="360"/>
      <c r="E273" s="1506"/>
      <c r="F273" s="1398"/>
      <c r="G273" s="307"/>
      <c r="H273" s="376"/>
      <c r="I273" s="81" t="str">
        <f>IF(I272="No","No","Yes")</f>
        <v>No</v>
      </c>
    </row>
    <row r="274" spans="3:16" ht="33" hidden="1" x14ac:dyDescent="0.3">
      <c r="C274" s="670" t="str">
        <f>IF(I275="No","(c) Net (gain) / loss on foreign currency transactions and translation (considered as finance costs",IF(AND(I268="No",I272="No"),"(a) Net (gain) / loss on foreign currency transactions and translation (considered as finance costs",IF(AND(I268="Yes",I272="Yes"),"(c) Net (gain) / loss on foreign currency transactions and translation (considered as finance costs",IF(AND(I268="No",I272="Yes"),"(b) Net (gain) / loss on foreign currency transactions and translation (considered as finance costs",IF(AND(I268="Yes",I272="No"),"(b) Net (gain) / loss on foreign currency transactions and translation (considered as finance costs","(b) Net (gain) / loss on foreign currency transactions and translation (considered as finance costs")))))</f>
        <v>(c) Net (gain) / loss on foreign currency transactions and translation (considered as finance costs</v>
      </c>
      <c r="D274" s="671"/>
      <c r="E274" s="845">
        <f>SUMIF('Master TB'!$E:$E,H274,'Master TB'!$J:$J)</f>
        <v>0</v>
      </c>
      <c r="F274" s="1395">
        <f>SUMIF('Master TB'!$Q:$Q,'Notes To P&amp;L'!H274,'Master TB'!$V:$V)</f>
        <v>0</v>
      </c>
      <c r="G274" s="307"/>
      <c r="H274" s="377" t="s">
        <v>1109</v>
      </c>
      <c r="I274" s="81" t="str">
        <f>IF(AND(E274=0,F274=0),"No","Yes")</f>
        <v>No</v>
      </c>
    </row>
    <row r="275" spans="3:16" hidden="1" x14ac:dyDescent="0.3">
      <c r="C275" s="670"/>
      <c r="D275" s="671"/>
      <c r="E275" s="1564"/>
      <c r="F275" s="1398"/>
      <c r="G275" s="307"/>
      <c r="H275" s="376"/>
      <c r="I275" s="81" t="str">
        <f>IF(I274="No","No","Yes")</f>
        <v>No</v>
      </c>
    </row>
    <row r="276" spans="3:16" hidden="1" x14ac:dyDescent="0.3">
      <c r="C276" s="672" t="s">
        <v>35</v>
      </c>
      <c r="D276" s="673"/>
      <c r="E276" s="1399">
        <f>SUM(E269:E270,E272,E274)</f>
        <v>0</v>
      </c>
      <c r="F276" s="1399">
        <f>SUM(F269:F270,F272,F274)</f>
        <v>0</v>
      </c>
      <c r="G276" s="361"/>
      <c r="H276" s="376"/>
      <c r="I276" s="81" t="str">
        <f>IF(AND(I274="No",I272="No",I268="No"),"No","Yes")</f>
        <v>No</v>
      </c>
    </row>
    <row r="277" spans="3:16" hidden="1" x14ac:dyDescent="0.3">
      <c r="C277" s="379"/>
      <c r="D277" s="379"/>
      <c r="E277" s="1400"/>
      <c r="F277" s="1400"/>
      <c r="G277" s="361"/>
      <c r="H277" s="376"/>
      <c r="I277" s="81" t="str">
        <f>IF(I276="No","No","Yes")</f>
        <v>No</v>
      </c>
    </row>
    <row r="278" spans="3:16" hidden="1" x14ac:dyDescent="0.3">
      <c r="C278" s="1491" t="str">
        <f>+IF(Footnotes!C201="","",Footnotes!C201)</f>
        <v/>
      </c>
      <c r="D278" s="1492" t="str">
        <f>+IF(Footnotes!D201="","",Footnotes!D201)</f>
        <v/>
      </c>
      <c r="E278" s="1551" t="str">
        <f>+IF(Footnotes!E201="","",Footnotes!E201)</f>
        <v/>
      </c>
      <c r="F278" s="1551" t="str">
        <f>+IF(Footnotes!F201="","",Footnotes!F201)</f>
        <v/>
      </c>
      <c r="G278" s="361"/>
      <c r="H278" s="376"/>
      <c r="I278" s="81" t="str">
        <f t="shared" ref="I278:I283" si="17">+IF(AND(F278="",C278="",D278="",E278=""),"No","Yes")</f>
        <v>No</v>
      </c>
    </row>
    <row r="279" spans="3:16" hidden="1" x14ac:dyDescent="0.3">
      <c r="C279" s="1492" t="str">
        <f>+IF(Footnotes!C202="","",Footnotes!C202)</f>
        <v/>
      </c>
      <c r="D279" s="1492" t="str">
        <f>+IF(Footnotes!D202="","",Footnotes!D202)</f>
        <v/>
      </c>
      <c r="E279" s="1551" t="str">
        <f>+IF(Footnotes!E202="","",Footnotes!E202)</f>
        <v/>
      </c>
      <c r="F279" s="1551" t="str">
        <f>+IF(Footnotes!F202="","",Footnotes!F202)</f>
        <v/>
      </c>
      <c r="G279" s="361"/>
      <c r="H279" s="376"/>
      <c r="I279" s="81" t="str">
        <f t="shared" si="17"/>
        <v>No</v>
      </c>
    </row>
    <row r="280" spans="3:16" hidden="1" x14ac:dyDescent="0.3">
      <c r="C280" s="1492" t="str">
        <f>+IF(Footnotes!C203="","",Footnotes!C203)</f>
        <v/>
      </c>
      <c r="D280" s="1492" t="str">
        <f>+IF(Footnotes!D203="","",Footnotes!D203)</f>
        <v/>
      </c>
      <c r="E280" s="1551" t="str">
        <f>+IF(Footnotes!E203="","",Footnotes!E203)</f>
        <v/>
      </c>
      <c r="F280" s="1551" t="str">
        <f>+IF(Footnotes!F203="","",Footnotes!F203)</f>
        <v/>
      </c>
      <c r="G280" s="361"/>
      <c r="H280" s="376"/>
      <c r="I280" s="81" t="str">
        <f t="shared" si="17"/>
        <v>No</v>
      </c>
    </row>
    <row r="281" spans="3:16" hidden="1" x14ac:dyDescent="0.3">
      <c r="C281" s="1492" t="str">
        <f>+IF(Footnotes!C204="","",Footnotes!C204)</f>
        <v/>
      </c>
      <c r="D281" s="1492" t="str">
        <f>+IF(Footnotes!D204="","",Footnotes!D204)</f>
        <v/>
      </c>
      <c r="E281" s="1551" t="str">
        <f>+IF(Footnotes!E204="","",Footnotes!E204)</f>
        <v/>
      </c>
      <c r="F281" s="1551" t="str">
        <f>+IF(Footnotes!F204="","",Footnotes!F204)</f>
        <v/>
      </c>
      <c r="G281" s="361"/>
      <c r="H281" s="376"/>
      <c r="I281" s="81" t="str">
        <f t="shared" si="17"/>
        <v>No</v>
      </c>
    </row>
    <row r="282" spans="3:16" hidden="1" x14ac:dyDescent="0.3">
      <c r="C282" s="1492" t="str">
        <f>+IF(Footnotes!C205="","",Footnotes!C205)</f>
        <v/>
      </c>
      <c r="D282" s="1492" t="str">
        <f>+IF(Footnotes!D205="","",Footnotes!D205)</f>
        <v/>
      </c>
      <c r="E282" s="1551" t="str">
        <f>+IF(Footnotes!E205="","",Footnotes!E205)</f>
        <v/>
      </c>
      <c r="F282" s="1551" t="str">
        <f>+IF(Footnotes!F205="","",Footnotes!F205)</f>
        <v/>
      </c>
      <c r="G282" s="361"/>
      <c r="H282" s="376"/>
      <c r="I282" s="81" t="str">
        <f t="shared" si="17"/>
        <v>No</v>
      </c>
    </row>
    <row r="283" spans="3:16" hidden="1" x14ac:dyDescent="0.3">
      <c r="C283" s="1492" t="str">
        <f>+IF(Footnotes!C206="","",Footnotes!C206)</f>
        <v/>
      </c>
      <c r="D283" s="1492" t="str">
        <f>+IF(Footnotes!D206="","",Footnotes!D206)</f>
        <v/>
      </c>
      <c r="E283" s="1551" t="str">
        <f>+IF(Footnotes!E206="","",Footnotes!E206)</f>
        <v/>
      </c>
      <c r="F283" s="1551" t="str">
        <f>+IF(Footnotes!F206="","",Footnotes!F206)</f>
        <v/>
      </c>
      <c r="G283" s="361"/>
      <c r="H283" s="376"/>
      <c r="I283" s="81" t="str">
        <f t="shared" si="17"/>
        <v>No</v>
      </c>
    </row>
    <row r="284" spans="3:16" hidden="1" x14ac:dyDescent="0.3">
      <c r="I284" s="221" t="str">
        <f>IF(I285="No","No","Yes")</f>
        <v>Yes</v>
      </c>
    </row>
    <row r="285" spans="3:16" x14ac:dyDescent="0.3">
      <c r="C285" s="20" t="str">
        <f>"Note"&amp;" "&amp;'Profit and Loss'!E27&amp;" - Other expenses"</f>
        <v>Note 20 - Other expenses</v>
      </c>
      <c r="D285" s="20"/>
      <c r="E285" s="1510"/>
      <c r="F285" s="841"/>
      <c r="G285" s="41"/>
      <c r="H285" s="81"/>
      <c r="I285" s="81" t="str">
        <f>IF(AND(I315="No",I342="No",I313="No",I312="No",I311="No",I310="No",I309="No",I288="No",I289="No",I290="No",I291="No",I293="No",I294="No",I295="No",I296="No",I298="No",I307="No",I306="No",I305="No",I304="No",I303="No",I302="No",I301="No",I300="No"),"No","Yes")</f>
        <v>Yes</v>
      </c>
    </row>
    <row r="286" spans="3:16" x14ac:dyDescent="0.3">
      <c r="C286" s="41"/>
      <c r="D286" s="41"/>
      <c r="E286" s="841"/>
      <c r="F286" s="1524" t="str">
        <f>'Master Data'!$C$26</f>
        <v>Amount in Rs '00.</v>
      </c>
      <c r="G286" s="41"/>
      <c r="H286" s="81"/>
      <c r="I286" s="81" t="str">
        <f>IF(AND(I315="No",I342="No",I313="No",I312="No",I311="No",I310="No",I309="No",I288="No",I289="No",I290="No",I291="No",I293="No",I294="No",I295="No",I296="No",I298="No",I307="No",I306="No",I305="No",I304="No",I303="No",I302="No",I301="No",I300="No"),"No","Yes")</f>
        <v>Yes</v>
      </c>
    </row>
    <row r="287" spans="3:16" ht="45" x14ac:dyDescent="0.3">
      <c r="C287" s="2870" t="s">
        <v>20</v>
      </c>
      <c r="D287" s="2871"/>
      <c r="E287" s="1967" t="str">
        <f>PLCY</f>
        <v>For the Year ended 31st March 2025</v>
      </c>
      <c r="F287" s="1951" t="str">
        <f>PLPY</f>
        <v>For the Year ended 31st March 2024</v>
      </c>
      <c r="G287" s="172"/>
      <c r="H287" s="81"/>
      <c r="I287" s="81" t="str">
        <f>IF(AND(I315="No",I342="No",I313="No",I312="No",I311="No",I310="No",I309="No",I288="No",I289="No",I290="No",I291="No",I293="No",I294="No",I295="No",I296="No",I298="No",I307="No",I306="No",I305="No",I304="No",I303="No",I302="No",I301="No",I300="No"),"No","Yes")</f>
        <v>Yes</v>
      </c>
    </row>
    <row r="288" spans="3:16" hidden="1" x14ac:dyDescent="0.3">
      <c r="C288" s="674" t="str">
        <f>"("&amp;O288&amp;") "&amp;P288</f>
        <v>(a) Consumption of stores and spare parts</v>
      </c>
      <c r="D288" s="675"/>
      <c r="E288" s="836">
        <f>SUMIF('Master TB'!$E:$E,H288,'Master TB'!$J:$J)</f>
        <v>0</v>
      </c>
      <c r="F288" s="1395">
        <f>SUMIF('Master TB'!$Q:$Q,'Notes To P&amp;L'!H288,'Master TB'!$V:$V)</f>
        <v>0</v>
      </c>
      <c r="G288" s="41"/>
      <c r="H288" s="185" t="s">
        <v>1079</v>
      </c>
      <c r="I288" s="81" t="str">
        <f t="shared" ref="I288:I342" si="18">IF(AND(E288=0,F288=0),"No","Yes")</f>
        <v>No</v>
      </c>
      <c r="O288" s="14" t="s">
        <v>1562</v>
      </c>
      <c r="P288" s="14" t="s">
        <v>230</v>
      </c>
    </row>
    <row r="289" spans="2:16" hidden="1" x14ac:dyDescent="0.3">
      <c r="C289" s="659" t="str">
        <f t="shared" ref="C289:C342" si="19">"("&amp;O289&amp;") "&amp;P289</f>
        <v>(a) Consumption of packing materials</v>
      </c>
      <c r="D289" s="676"/>
      <c r="E289" s="836">
        <f>SUMIF('Master TB'!$E:$E,H289,'Master TB'!$J:$J)</f>
        <v>0</v>
      </c>
      <c r="F289" s="1395">
        <f>SUMIF('Master TB'!$Q:$Q,'Notes To P&amp;L'!H289,'Master TB'!$V:$V)</f>
        <v>0</v>
      </c>
      <c r="G289" s="41"/>
      <c r="H289" s="185" t="s">
        <v>1080</v>
      </c>
      <c r="I289" s="81" t="str">
        <f t="shared" si="18"/>
        <v>No</v>
      </c>
      <c r="O289" s="14" t="str">
        <f t="shared" ref="O289:O331" si="20">IF(I288="Yes",CHAR(CODE(O288)+1),O288)</f>
        <v>a</v>
      </c>
      <c r="P289" s="14" t="s">
        <v>988</v>
      </c>
    </row>
    <row r="290" spans="2:16" hidden="1" x14ac:dyDescent="0.3">
      <c r="C290" s="659" t="str">
        <f t="shared" si="19"/>
        <v>(a) Subcontracting expenses</v>
      </c>
      <c r="D290" s="676"/>
      <c r="E290" s="836">
        <f>SUMIF('Master TB'!$E:$E,H290,'Master TB'!$J:$J)</f>
        <v>0</v>
      </c>
      <c r="F290" s="1395">
        <f>SUMIF('Master TB'!$Q:$Q,'Notes To P&amp;L'!H290,'Master TB'!$V:$V)</f>
        <v>0</v>
      </c>
      <c r="G290" s="41"/>
      <c r="H290" s="185" t="s">
        <v>1081</v>
      </c>
      <c r="I290" s="81" t="str">
        <f t="shared" si="18"/>
        <v>No</v>
      </c>
      <c r="O290" s="14" t="str">
        <f t="shared" si="20"/>
        <v>a</v>
      </c>
      <c r="P290" s="14" t="s">
        <v>764</v>
      </c>
    </row>
    <row r="291" spans="2:16" hidden="1" x14ac:dyDescent="0.3">
      <c r="C291" s="659" t="str">
        <f t="shared" si="19"/>
        <v>(a) Power and fuel</v>
      </c>
      <c r="D291" s="676"/>
      <c r="E291" s="836">
        <f>SUMIF('Master TB'!$E:$E,H291,'Master TB'!$J:$J)</f>
        <v>0</v>
      </c>
      <c r="F291" s="1395">
        <f>SUMIF('Master TB'!$Q:$Q,'Notes To P&amp;L'!H291,'Master TB'!$V:$V)</f>
        <v>0</v>
      </c>
      <c r="G291" s="41"/>
      <c r="H291" s="185" t="s">
        <v>1082</v>
      </c>
      <c r="I291" s="81" t="str">
        <f t="shared" si="18"/>
        <v>No</v>
      </c>
      <c r="O291" s="14" t="str">
        <f t="shared" si="20"/>
        <v>a</v>
      </c>
      <c r="P291" s="14" t="s">
        <v>231</v>
      </c>
    </row>
    <row r="292" spans="2:16" x14ac:dyDescent="0.3">
      <c r="C292" s="2564" t="s">
        <v>3836</v>
      </c>
      <c r="D292" s="2374"/>
      <c r="E292" s="1172">
        <f>+SUMIF('Master TB'!E:E,'Notes To P&amp;L'!H292,'Master TB'!J:J)</f>
        <v>1141680.4979999999</v>
      </c>
      <c r="F292" s="1215">
        <f>+SUMIF('Master TB'!Q:Q,'Notes To P&amp;L'!H292,'Master TB'!V:V)</f>
        <v>1203435.9380000001</v>
      </c>
      <c r="G292" s="41"/>
      <c r="H292" s="1800" t="s">
        <v>3504</v>
      </c>
      <c r="I292" s="81" t="s">
        <v>990</v>
      </c>
    </row>
    <row r="293" spans="2:16" s="1802" customFormat="1" x14ac:dyDescent="0.3">
      <c r="B293" s="14"/>
      <c r="C293" s="2564" t="str">
        <f t="shared" si="19"/>
        <v>(b) Rent</v>
      </c>
      <c r="D293" s="2374"/>
      <c r="E293" s="1172">
        <f>SUMIF('Master TB'!$E:$E,H293,'Master TB'!$J:$J)</f>
        <v>92619.945800000001</v>
      </c>
      <c r="F293" s="1215">
        <f>SUMIF('Master TB'!$Q:$Q,'Notes To P&amp;L'!H293,'Master TB'!$V:$V)</f>
        <v>90256.42</v>
      </c>
      <c r="G293" s="41"/>
      <c r="H293" s="1800" t="s">
        <v>1083</v>
      </c>
      <c r="I293" s="1801" t="str">
        <f t="shared" si="18"/>
        <v>Yes</v>
      </c>
      <c r="K293" s="2366"/>
      <c r="L293" s="2366"/>
      <c r="M293" s="2371"/>
      <c r="N293" s="2373">
        <f>+K293-M293</f>
        <v>0</v>
      </c>
      <c r="O293" s="1802" t="s">
        <v>3837</v>
      </c>
      <c r="P293" s="1802" t="s">
        <v>758</v>
      </c>
    </row>
    <row r="294" spans="2:16" hidden="1" x14ac:dyDescent="0.3">
      <c r="C294" s="2564" t="str">
        <f t="shared" si="19"/>
        <v>(c) Repairs and maintenance - Buildings</v>
      </c>
      <c r="D294" s="2374"/>
      <c r="E294" s="1172">
        <f>SUMIF('Master TB'!$E:$E,H294,'Master TB'!$J:$J)</f>
        <v>0</v>
      </c>
      <c r="F294" s="1215">
        <f>SUMIF('Master TB'!$Q:$Q,'Notes To P&amp;L'!H294,'Master TB'!$V:$V)</f>
        <v>0</v>
      </c>
      <c r="G294" s="41"/>
      <c r="H294" s="185" t="s">
        <v>1084</v>
      </c>
      <c r="I294" s="81" t="str">
        <f t="shared" si="18"/>
        <v>No</v>
      </c>
      <c r="K294" s="2366"/>
      <c r="L294" s="2366"/>
      <c r="M294" s="2371"/>
      <c r="N294" s="2373">
        <f t="shared" ref="N294:N298" si="21">+K294-M294</f>
        <v>0</v>
      </c>
      <c r="O294" s="14" t="str">
        <f t="shared" si="20"/>
        <v>c</v>
      </c>
      <c r="P294" s="14" t="s">
        <v>232</v>
      </c>
    </row>
    <row r="295" spans="2:16" hidden="1" x14ac:dyDescent="0.3">
      <c r="C295" s="2564" t="str">
        <f t="shared" si="19"/>
        <v>(c) Repairs and maintenance - Machinery</v>
      </c>
      <c r="D295" s="2374"/>
      <c r="E295" s="1172">
        <f>SUMIF('Master TB'!$E:$E,H295,'Master TB'!$J:$J)</f>
        <v>0</v>
      </c>
      <c r="F295" s="1215">
        <f>SUMIF('Master TB'!$Q:$Q,'Notes To P&amp;L'!H295,'Master TB'!$V:$V)</f>
        <v>0</v>
      </c>
      <c r="G295" s="41"/>
      <c r="H295" s="185" t="s">
        <v>1085</v>
      </c>
      <c r="I295" s="81" t="str">
        <f t="shared" si="18"/>
        <v>No</v>
      </c>
      <c r="K295" s="2366"/>
      <c r="L295" s="2366"/>
      <c r="M295" s="2371"/>
      <c r="N295" s="2373">
        <f t="shared" si="21"/>
        <v>0</v>
      </c>
      <c r="O295" s="14" t="str">
        <f t="shared" si="20"/>
        <v>c</v>
      </c>
      <c r="P295" s="14" t="s">
        <v>233</v>
      </c>
    </row>
    <row r="296" spans="2:16" x14ac:dyDescent="0.3">
      <c r="C296" s="2564" t="str">
        <f t="shared" si="19"/>
        <v>(c) Repairs and maintenance - Others</v>
      </c>
      <c r="D296" s="2374"/>
      <c r="E296" s="1172">
        <f>SUMIF('Master TB'!$E:$E,H296,'Master TB'!$J:$J)</f>
        <v>13118.17</v>
      </c>
      <c r="F296" s="1215">
        <f>SUMIF('Master TB'!$Q:$Q,'Notes To P&amp;L'!H296,'Master TB'!$V:$V)</f>
        <v>2952.5</v>
      </c>
      <c r="G296" s="41"/>
      <c r="H296" s="185" t="s">
        <v>1086</v>
      </c>
      <c r="I296" s="81" t="str">
        <f t="shared" si="18"/>
        <v>Yes</v>
      </c>
      <c r="K296" s="2366"/>
      <c r="L296" s="2366"/>
      <c r="M296" s="2371"/>
      <c r="N296" s="2373">
        <f t="shared" si="21"/>
        <v>0</v>
      </c>
      <c r="O296" s="14" t="str">
        <f t="shared" si="20"/>
        <v>c</v>
      </c>
      <c r="P296" s="14" t="s">
        <v>794</v>
      </c>
    </row>
    <row r="297" spans="2:16" x14ac:dyDescent="0.3">
      <c r="C297" s="2564" t="s">
        <v>3847</v>
      </c>
      <c r="D297" s="2376"/>
      <c r="E297" s="831">
        <f>+SUMIF('Master TB'!E:E,'Notes To P&amp;L'!H297,'Master TB'!J:J)-E340</f>
        <v>410.85349999999994</v>
      </c>
      <c r="F297" s="1216">
        <f>+SUMIF('Master TB'!Q:Q,'Notes To P&amp;L'!H297,'Master TB'!V:V)</f>
        <v>8524.7885000000006</v>
      </c>
      <c r="G297" s="41"/>
      <c r="H297" s="185" t="s">
        <v>3510</v>
      </c>
      <c r="I297" s="81" t="str">
        <f t="shared" si="18"/>
        <v>Yes</v>
      </c>
      <c r="K297" s="2366"/>
      <c r="L297" s="2366"/>
      <c r="M297" s="2371"/>
      <c r="N297" s="2373"/>
    </row>
    <row r="298" spans="2:16" x14ac:dyDescent="0.3">
      <c r="C298" s="2564" t="str">
        <f t="shared" si="19"/>
        <v>(e) Insurance</v>
      </c>
      <c r="D298" s="2374"/>
      <c r="E298" s="1172">
        <f>SUMIF('Master TB'!$E:$E,H298,'Master TB'!$J:$J)</f>
        <v>2867.3222999999998</v>
      </c>
      <c r="F298" s="1215">
        <f>SUMIF('Master TB'!$Q:$Q,'Notes To P&amp;L'!H298,'Master TB'!$V:$V)</f>
        <v>4364.16</v>
      </c>
      <c r="G298" s="41"/>
      <c r="H298" s="185" t="s">
        <v>1087</v>
      </c>
      <c r="I298" s="81" t="str">
        <f t="shared" si="18"/>
        <v>Yes</v>
      </c>
      <c r="K298" s="2366"/>
      <c r="L298" s="2366"/>
      <c r="M298" s="2371"/>
      <c r="N298" s="2373">
        <f t="shared" si="21"/>
        <v>0</v>
      </c>
      <c r="O298" s="14" t="s">
        <v>3835</v>
      </c>
      <c r="P298" s="14" t="s">
        <v>234</v>
      </c>
    </row>
    <row r="299" spans="2:16" x14ac:dyDescent="0.3">
      <c r="C299" s="2564" t="s">
        <v>3848</v>
      </c>
      <c r="D299" s="2374"/>
      <c r="E299" s="1172">
        <f>SUMIF('Master TB'!$E:$E,H299,'Master TB'!$J:$J)</f>
        <v>1561.2844</v>
      </c>
      <c r="F299" s="1215">
        <f>SUMIF('Master TB'!$Q:$Q,'Notes To P&amp;L'!H299,'Master TB'!$V:$V)</f>
        <v>1775.8050000000001</v>
      </c>
      <c r="G299" s="41"/>
      <c r="H299" s="185" t="s">
        <v>3515</v>
      </c>
      <c r="I299" s="81" t="str">
        <f t="shared" si="18"/>
        <v>Yes</v>
      </c>
      <c r="K299" s="2366"/>
      <c r="L299" s="2366"/>
      <c r="M299" s="2371">
        <f>+K299-L299</f>
        <v>0</v>
      </c>
      <c r="N299" s="2373"/>
    </row>
    <row r="300" spans="2:16" s="1802" customFormat="1" x14ac:dyDescent="0.3">
      <c r="B300" s="14"/>
      <c r="C300" s="2564" t="str">
        <f t="shared" si="19"/>
        <v>(g) Rates and taxes</v>
      </c>
      <c r="D300" s="2374"/>
      <c r="E300" s="1172">
        <f>SUMIF('Master TB'!$E:$E,H300,'Master TB'!$J:$J)</f>
        <v>26445.179500000002</v>
      </c>
      <c r="F300" s="1215">
        <f>SUMIF('Master TB'!$Q:$Q,'Notes To P&amp;L'!H300,'Master TB'!$V:$V)</f>
        <v>740.96669999999995</v>
      </c>
      <c r="G300" s="41"/>
      <c r="H300" s="1800" t="s">
        <v>1088</v>
      </c>
      <c r="I300" s="81" t="str">
        <f t="shared" si="18"/>
        <v>Yes</v>
      </c>
      <c r="K300" s="2366"/>
      <c r="L300" s="2366"/>
      <c r="M300" s="2371">
        <f>+K300-L300</f>
        <v>0</v>
      </c>
      <c r="O300" s="1802" t="s">
        <v>3849</v>
      </c>
      <c r="P300" s="1802" t="s">
        <v>235</v>
      </c>
    </row>
    <row r="301" spans="2:16" hidden="1" x14ac:dyDescent="0.3">
      <c r="C301" s="2564" t="str">
        <f t="shared" si="19"/>
        <v>(h) Communication Expenses</v>
      </c>
      <c r="D301" s="2374"/>
      <c r="E301" s="1172">
        <f>SUMIF('Master TB'!$E:$E,H301,'Master TB'!$J:$J)</f>
        <v>0</v>
      </c>
      <c r="F301" s="1215">
        <f>SUMIF('Master TB'!$Q:$Q,'Notes To P&amp;L'!H301,'Master TB'!$V:$V)</f>
        <v>0</v>
      </c>
      <c r="G301" s="41"/>
      <c r="H301" s="185" t="s">
        <v>1089</v>
      </c>
      <c r="I301" s="81" t="str">
        <f t="shared" si="18"/>
        <v>No</v>
      </c>
      <c r="K301" s="2366"/>
      <c r="L301" s="2366"/>
      <c r="M301" s="2366"/>
      <c r="O301" s="14" t="str">
        <f>IF(I300="Yes",CHAR(CODE(O300)+1),O300)</f>
        <v>h</v>
      </c>
      <c r="P301" s="14" t="s">
        <v>793</v>
      </c>
    </row>
    <row r="302" spans="2:16" x14ac:dyDescent="0.3">
      <c r="C302" s="2564" t="str">
        <f t="shared" si="19"/>
        <v>(h) Travelling and conveyance</v>
      </c>
      <c r="D302" s="2374"/>
      <c r="E302" s="1172">
        <f>SUMIF('Master TB'!$E:$E,H302,'Master TB'!$J:$J)</f>
        <v>12526.891000000001</v>
      </c>
      <c r="F302" s="1215">
        <f>SUMIF('Master TB'!$Q:$Q,'Notes To P&amp;L'!H302,'Master TB'!$V:$V)</f>
        <v>6704.1957999999995</v>
      </c>
      <c r="G302" s="41"/>
      <c r="H302" s="185" t="s">
        <v>1090</v>
      </c>
      <c r="I302" s="81" t="str">
        <f t="shared" si="18"/>
        <v>Yes</v>
      </c>
      <c r="K302" s="2366"/>
      <c r="L302" s="2366"/>
      <c r="M302" s="2366"/>
      <c r="O302" s="14" t="str">
        <f t="shared" si="20"/>
        <v>h</v>
      </c>
      <c r="P302" s="14" t="s">
        <v>766</v>
      </c>
    </row>
    <row r="303" spans="2:16" hidden="1" x14ac:dyDescent="0.3">
      <c r="C303" s="2564" t="str">
        <f t="shared" si="19"/>
        <v>(i) Printing and stationery</v>
      </c>
      <c r="D303" s="2374"/>
      <c r="E303" s="1172">
        <f>SUMIF('Master TB'!$E:$E,H303,'Master TB'!$J:$J)</f>
        <v>0</v>
      </c>
      <c r="F303" s="1215">
        <f>SUMIF('Master TB'!$Q:$Q,'Notes To P&amp;L'!H303,'Master TB'!$V:$V)</f>
        <v>0</v>
      </c>
      <c r="G303" s="41"/>
      <c r="H303" s="185" t="s">
        <v>1091</v>
      </c>
      <c r="I303" s="81" t="str">
        <f t="shared" si="18"/>
        <v>No</v>
      </c>
      <c r="K303" s="2366"/>
      <c r="L303" s="2366"/>
      <c r="M303" s="2366"/>
      <c r="O303" s="14" t="str">
        <f t="shared" si="20"/>
        <v>i</v>
      </c>
      <c r="P303" s="14" t="s">
        <v>792</v>
      </c>
    </row>
    <row r="304" spans="2:16" x14ac:dyDescent="0.3">
      <c r="C304" s="2564" t="str">
        <f t="shared" si="19"/>
        <v>(i) Freight and forwarding</v>
      </c>
      <c r="D304" s="2374"/>
      <c r="E304" s="1172">
        <f>SUMIF('Master TB'!$E:$E,H304,'Master TB'!$J:$J)</f>
        <v>720.30889999999988</v>
      </c>
      <c r="F304" s="1215">
        <f>SUMIF('Master TB'!$Q:$Q,'Notes To P&amp;L'!H304,'Master TB'!$V:$V)</f>
        <v>760.48440000000005</v>
      </c>
      <c r="G304" s="41"/>
      <c r="H304" s="185" t="s">
        <v>1092</v>
      </c>
      <c r="I304" s="81" t="str">
        <f t="shared" si="18"/>
        <v>Yes</v>
      </c>
      <c r="K304" s="2366"/>
      <c r="L304" s="2366"/>
      <c r="M304" s="2371"/>
      <c r="O304" s="14" t="str">
        <f t="shared" si="20"/>
        <v>i</v>
      </c>
      <c r="P304" s="14" t="s">
        <v>1629</v>
      </c>
    </row>
    <row r="305" spans="2:32" hidden="1" x14ac:dyDescent="0.3">
      <c r="C305" s="2564" t="str">
        <f t="shared" si="19"/>
        <v>(j) Selling Expenses</v>
      </c>
      <c r="D305" s="2374"/>
      <c r="E305" s="1172">
        <f>SUMIF('Master TB'!$E:$E,H305,'Master TB'!$J:$J)</f>
        <v>0</v>
      </c>
      <c r="F305" s="1215">
        <f>SUMIF('Master TB'!$Q:$Q,'Notes To P&amp;L'!H305,'Master TB'!$V:$V)</f>
        <v>0</v>
      </c>
      <c r="G305" s="41"/>
      <c r="H305" s="185" t="s">
        <v>1093</v>
      </c>
      <c r="I305" s="81" t="str">
        <f t="shared" si="18"/>
        <v>No</v>
      </c>
      <c r="K305" s="2366"/>
      <c r="L305" s="2366"/>
      <c r="M305" s="2366"/>
      <c r="O305" s="14" t="str">
        <f t="shared" si="20"/>
        <v>j</v>
      </c>
      <c r="P305" s="14" t="s">
        <v>767</v>
      </c>
    </row>
    <row r="306" spans="2:32" hidden="1" x14ac:dyDescent="0.3">
      <c r="C306" s="2564" t="str">
        <f t="shared" si="19"/>
        <v>(j) Donations and contributions</v>
      </c>
      <c r="D306" s="2374"/>
      <c r="E306" s="1172">
        <f>SUMIF('Master TB'!$E:$E,H306,'Master TB'!$J:$J)</f>
        <v>0</v>
      </c>
      <c r="F306" s="1215">
        <f>SUMIF('Master TB'!$Q:$Q,'Notes To P&amp;L'!H306,'Master TB'!$V:$V)</f>
        <v>0</v>
      </c>
      <c r="G306" s="41"/>
      <c r="H306" s="185" t="s">
        <v>1094</v>
      </c>
      <c r="I306" s="81" t="str">
        <f t="shared" si="18"/>
        <v>No</v>
      </c>
      <c r="K306" s="2366"/>
      <c r="L306" s="2366"/>
      <c r="M306" s="2366"/>
      <c r="O306" s="14" t="str">
        <f t="shared" si="20"/>
        <v>j</v>
      </c>
      <c r="P306" s="14" t="s">
        <v>236</v>
      </c>
    </row>
    <row r="307" spans="2:32" hidden="1" x14ac:dyDescent="0.3">
      <c r="C307" s="2564" t="str">
        <f t="shared" si="19"/>
        <v>(j) Expenditure on Corporate Social Responsibility</v>
      </c>
      <c r="D307" s="2375"/>
      <c r="E307" s="1172">
        <f>SUMIF('Master TB'!$E:$E,H307,'Master TB'!$J:$J)</f>
        <v>0</v>
      </c>
      <c r="F307" s="1215">
        <f>SUMIF('Master TB'!$Q:$Q,'Notes To P&amp;L'!H307,'Master TB'!$V:$V)</f>
        <v>0</v>
      </c>
      <c r="G307" s="41"/>
      <c r="H307" s="185" t="s">
        <v>1095</v>
      </c>
      <c r="I307" s="81" t="str">
        <f t="shared" si="18"/>
        <v>No</v>
      </c>
      <c r="K307" s="2366"/>
      <c r="L307" s="2366"/>
      <c r="M307" s="2366"/>
      <c r="O307" s="14" t="str">
        <f t="shared" si="20"/>
        <v>j</v>
      </c>
      <c r="P307" s="14" t="s">
        <v>715</v>
      </c>
    </row>
    <row r="308" spans="2:32" x14ac:dyDescent="0.3">
      <c r="C308" s="2564" t="s">
        <v>3850</v>
      </c>
      <c r="D308" s="2375"/>
      <c r="E308" s="1172">
        <f>SUMIF('Master TB'!$E:$E,H308,'Master TB'!$J:$J)</f>
        <v>4972.3101999999999</v>
      </c>
      <c r="F308" s="1215">
        <f>SUMIF('Master TB'!$Q:$Q,'Notes To P&amp;L'!H308,'Master TB'!$V:$V)</f>
        <v>5863.0460999999996</v>
      </c>
      <c r="G308" s="41"/>
      <c r="H308" s="185" t="s">
        <v>3516</v>
      </c>
      <c r="I308" s="81" t="str">
        <f t="shared" si="18"/>
        <v>Yes</v>
      </c>
      <c r="K308" s="2366"/>
      <c r="L308" s="2366"/>
      <c r="M308" s="2366">
        <f>+L308-K308</f>
        <v>0</v>
      </c>
    </row>
    <row r="309" spans="2:32" s="1802" customFormat="1" x14ac:dyDescent="0.3">
      <c r="B309" s="14"/>
      <c r="C309" s="2564" t="str">
        <f t="shared" si="19"/>
        <v>(k) Legal and professional</v>
      </c>
      <c r="D309" s="2374"/>
      <c r="E309" s="1172">
        <f>SUMIF('Master TB'!$E:$E,H309,'Master TB'!$J:$J)</f>
        <v>29960.129000000001</v>
      </c>
      <c r="F309" s="1215">
        <f>SUMIF('Master TB'!$Q:$Q,'Notes To P&amp;L'!H309,'Master TB'!$V:$V)</f>
        <v>26380.750700000004</v>
      </c>
      <c r="G309" s="41"/>
      <c r="H309" s="1800" t="s">
        <v>1096</v>
      </c>
      <c r="I309" s="1801" t="str">
        <f t="shared" si="18"/>
        <v>Yes</v>
      </c>
      <c r="K309" s="2366"/>
      <c r="L309" s="2366"/>
      <c r="M309" s="2366">
        <f>+K309-L309</f>
        <v>0</v>
      </c>
      <c r="O309" s="1802" t="s">
        <v>3851</v>
      </c>
      <c r="P309" s="1802" t="s">
        <v>771</v>
      </c>
    </row>
    <row r="310" spans="2:32" s="1802" customFormat="1" hidden="1" x14ac:dyDescent="0.3">
      <c r="B310" s="14"/>
      <c r="C310" s="2564" t="str">
        <f t="shared" si="19"/>
        <v>(l) Commission</v>
      </c>
      <c r="D310" s="2374"/>
      <c r="E310" s="1172">
        <f>SUMIF('Master TB'!$E:$E,H310,'Master TB'!$J:$J)</f>
        <v>0</v>
      </c>
      <c r="F310" s="1215">
        <f>SUMIF('Master TB'!$Q:$Q,'Notes To P&amp;L'!H310,'Master TB'!$V:$V)</f>
        <v>0</v>
      </c>
      <c r="G310" s="41"/>
      <c r="H310" s="1800" t="s">
        <v>1097</v>
      </c>
      <c r="I310" s="1801" t="str">
        <f t="shared" si="18"/>
        <v>No</v>
      </c>
      <c r="K310" s="2366"/>
      <c r="L310" s="2366"/>
      <c r="M310" s="2366">
        <f>+K310-L310</f>
        <v>0</v>
      </c>
      <c r="O310" s="1802" t="str">
        <f t="shared" si="20"/>
        <v>l</v>
      </c>
      <c r="P310" s="1802" t="s">
        <v>754</v>
      </c>
      <c r="AF310" s="1802" t="s">
        <v>3356</v>
      </c>
    </row>
    <row r="311" spans="2:32" hidden="1" x14ac:dyDescent="0.3">
      <c r="C311" s="2564" t="str">
        <f t="shared" si="19"/>
        <v>(l) Payments to Auditors</v>
      </c>
      <c r="D311" s="2374"/>
      <c r="E311" s="1172">
        <f>SUMIF('Master TB'!$E:$E,H311,'Master TB'!$J:$J)</f>
        <v>0</v>
      </c>
      <c r="F311" s="1215">
        <f>SUMIF('Master TB'!$Q:$Q,'Notes To P&amp;L'!H311,'Master TB'!$V:$V)</f>
        <v>0</v>
      </c>
      <c r="G311" s="41"/>
      <c r="H311" s="185" t="s">
        <v>1098</v>
      </c>
      <c r="I311" s="81" t="str">
        <f t="shared" si="18"/>
        <v>No</v>
      </c>
      <c r="K311" s="2366"/>
      <c r="L311" s="2366"/>
      <c r="M311" s="2366"/>
      <c r="O311" s="14" t="str">
        <f t="shared" si="20"/>
        <v>l</v>
      </c>
      <c r="P311" s="14" t="s">
        <v>1009</v>
      </c>
    </row>
    <row r="312" spans="2:32" hidden="1" x14ac:dyDescent="0.3">
      <c r="C312" s="2564" t="str">
        <f t="shared" si="19"/>
        <v>(l) Provision for doubtful trade and receivables, loans and advances (net)</v>
      </c>
      <c r="D312" s="2374"/>
      <c r="E312" s="1172">
        <f>SUMIF('Master TB'!$E:$E,H312,'Master TB'!$J:$J)</f>
        <v>0</v>
      </c>
      <c r="F312" s="1215">
        <f>SUMIF('Master TB'!$Q:$Q,'Notes To P&amp;L'!H312,'Master TB'!$V:$V)</f>
        <v>0</v>
      </c>
      <c r="G312" s="41"/>
      <c r="H312" s="185" t="s">
        <v>1099</v>
      </c>
      <c r="I312" s="81" t="str">
        <f t="shared" si="18"/>
        <v>No</v>
      </c>
      <c r="K312" s="2366"/>
      <c r="L312" s="2366"/>
      <c r="M312" s="2366"/>
      <c r="O312" s="14" t="str">
        <f t="shared" si="20"/>
        <v>l</v>
      </c>
      <c r="P312" s="14" t="s">
        <v>1630</v>
      </c>
    </row>
    <row r="313" spans="2:32" hidden="1" x14ac:dyDescent="0.3">
      <c r="C313" s="2564" t="str">
        <f t="shared" si="19"/>
        <v>(l) Bad trade and other receivables, loans and advances written off</v>
      </c>
      <c r="D313" s="2374"/>
      <c r="E313" s="1172">
        <f>SUMIF('Master TB'!$E:$E,H313,'Master TB'!$J:$J)</f>
        <v>0</v>
      </c>
      <c r="F313" s="1215">
        <f>SUMIF('Master TB'!$Q:$Q,'Notes To P&amp;L'!H313,'Master TB'!$V:$V)</f>
        <v>0</v>
      </c>
      <c r="G313" s="41"/>
      <c r="H313" s="185" t="s">
        <v>1100</v>
      </c>
      <c r="I313" s="81" t="str">
        <f t="shared" si="18"/>
        <v>No</v>
      </c>
      <c r="K313" s="2366"/>
      <c r="L313" s="2366"/>
      <c r="M313" s="2366"/>
      <c r="O313" s="14" t="str">
        <f t="shared" si="20"/>
        <v>l</v>
      </c>
      <c r="P313" s="14" t="s">
        <v>237</v>
      </c>
    </row>
    <row r="314" spans="2:32" hidden="1" x14ac:dyDescent="0.3">
      <c r="C314" s="2564" t="s">
        <v>3507</v>
      </c>
      <c r="D314" s="2374"/>
      <c r="E314" s="1172">
        <f>+SUMIF('Master TB'!E:E,'Notes To P&amp;L'!H314,'Master TB'!J:J)</f>
        <v>0</v>
      </c>
      <c r="F314" s="1215">
        <f>+SUMIF('Master TB'!Q:Q,'Notes To P&amp;L'!H314,'Master TB'!V:V)</f>
        <v>0</v>
      </c>
      <c r="G314" s="41"/>
      <c r="H314" s="185" t="s">
        <v>3508</v>
      </c>
      <c r="I314" s="81"/>
      <c r="K314" s="2366"/>
      <c r="M314" s="2366"/>
    </row>
    <row r="315" spans="2:32" x14ac:dyDescent="0.3">
      <c r="C315" s="2564" t="str">
        <f t="shared" si="19"/>
        <v>(l) Telephone</v>
      </c>
      <c r="D315" s="2376"/>
      <c r="E315" s="1172">
        <f>SUMIF('Master TB'!$E:$E,H315,'Master TB'!$J:$J)</f>
        <v>2550.6217999999999</v>
      </c>
      <c r="F315" s="1215">
        <f>SUMIF('Master TB'!$Q:$Q,'Notes To P&amp;L'!H315,'Master TB'!$V:$V)</f>
        <v>3008.2469000000001</v>
      </c>
      <c r="G315" s="41"/>
      <c r="H315" s="185" t="s">
        <v>1102</v>
      </c>
      <c r="I315" s="81" t="str">
        <f t="shared" si="18"/>
        <v>Yes</v>
      </c>
      <c r="K315" s="2366"/>
      <c r="L315" s="2366"/>
      <c r="M315" s="2366"/>
      <c r="O315" s="14" t="str">
        <f>IF(I313="Yes",CHAR(CODE(O313)+1),O313)</f>
        <v>l</v>
      </c>
      <c r="P315" s="14" t="s">
        <v>765</v>
      </c>
    </row>
    <row r="316" spans="2:32" x14ac:dyDescent="0.3">
      <c r="C316" s="2564" t="str">
        <f t="shared" si="19"/>
        <v>(m) Audit fees</v>
      </c>
      <c r="D316" s="2376"/>
      <c r="E316" s="1172">
        <f>SUMIF('Master TB'!$E:$E,H316,'Master TB'!$J:$J)</f>
        <v>5648.8</v>
      </c>
      <c r="F316" s="1215">
        <f>SUMIF('Master TB'!$Q:$Q,'Notes To P&amp;L'!H316,'Master TB'!$V:$V)</f>
        <v>14035.2996</v>
      </c>
      <c r="G316" s="41"/>
      <c r="H316" s="185" t="s">
        <v>1103</v>
      </c>
      <c r="I316" s="81" t="str">
        <f t="shared" si="18"/>
        <v>Yes</v>
      </c>
      <c r="K316" s="2366"/>
      <c r="L316" s="2366"/>
      <c r="M316" s="2366"/>
      <c r="O316" s="14" t="str">
        <f t="shared" si="20"/>
        <v>m</v>
      </c>
      <c r="P316" s="14" t="s">
        <v>987</v>
      </c>
    </row>
    <row r="317" spans="2:32" hidden="1" x14ac:dyDescent="0.3">
      <c r="C317" s="2564" t="str">
        <f t="shared" si="19"/>
        <v>(n) Provision for doubtful debts</v>
      </c>
      <c r="D317" s="2376"/>
      <c r="E317" s="1172">
        <f>SUMIF('Master TB'!$E:$E,H317,'Master TB'!$J:$J)</f>
        <v>0</v>
      </c>
      <c r="F317" s="1215">
        <f>SUMIF('Master TB'!$Q:$Q,'Notes To P&amp;L'!H317,'Master TB'!$V:$V)</f>
        <v>0</v>
      </c>
      <c r="G317" s="41"/>
      <c r="H317" s="185" t="s">
        <v>1104</v>
      </c>
      <c r="I317" s="81" t="str">
        <f t="shared" si="18"/>
        <v>No</v>
      </c>
      <c r="K317" s="2366"/>
      <c r="L317" s="2366"/>
      <c r="M317" s="2366"/>
      <c r="O317" s="14" t="str">
        <f t="shared" si="20"/>
        <v>n</v>
      </c>
      <c r="P317" s="14" t="s">
        <v>768</v>
      </c>
    </row>
    <row r="318" spans="2:32" hidden="1" x14ac:dyDescent="0.3">
      <c r="C318" s="2564" t="str">
        <f t="shared" si="19"/>
        <v>(n) Bad debts</v>
      </c>
      <c r="D318" s="2376"/>
      <c r="E318" s="1172">
        <f>SUMIF('Master TB'!$E:$E,H318,'Master TB'!$J:$J)</f>
        <v>0</v>
      </c>
      <c r="F318" s="1215">
        <f>SUMIF('Master TB'!$Q:$Q,'Notes To P&amp;L'!H318,'Master TB'!$V:$V)</f>
        <v>0</v>
      </c>
      <c r="G318" s="41"/>
      <c r="H318" s="185" t="s">
        <v>1105</v>
      </c>
      <c r="I318" s="81" t="str">
        <f t="shared" si="18"/>
        <v>No</v>
      </c>
      <c r="J318" s="387"/>
      <c r="K318" s="2366"/>
      <c r="L318" s="2366"/>
      <c r="M318" s="2366"/>
      <c r="O318" s="14" t="str">
        <f t="shared" si="20"/>
        <v>n</v>
      </c>
      <c r="P318" s="14" t="s">
        <v>770</v>
      </c>
    </row>
    <row r="319" spans="2:32" x14ac:dyDescent="0.3">
      <c r="C319" s="2564" t="str">
        <f t="shared" si="19"/>
        <v>(n) Software Subscription</v>
      </c>
      <c r="D319" s="2376"/>
      <c r="E319" s="831">
        <f>SUMIF('Master TB'!$E:$E,H319,'Master TB'!$J:$J)</f>
        <v>1241.8217</v>
      </c>
      <c r="F319" s="1216">
        <f>SUMIF('Master TB'!$Q:$Q,'Notes To P&amp;L'!H319,'Master TB'!$V:$V)</f>
        <v>1462.9560999999999</v>
      </c>
      <c r="G319" s="41"/>
      <c r="H319" s="185" t="s">
        <v>1753</v>
      </c>
      <c r="I319" s="81" t="str">
        <f t="shared" si="18"/>
        <v>Yes</v>
      </c>
      <c r="J319" s="387"/>
      <c r="K319" s="2366"/>
      <c r="L319" s="2366"/>
      <c r="M319" s="2366"/>
      <c r="O319" s="14" t="str">
        <f t="shared" si="20"/>
        <v>n</v>
      </c>
      <c r="P319" s="14" t="s">
        <v>2868</v>
      </c>
    </row>
    <row r="320" spans="2:32" x14ac:dyDescent="0.3">
      <c r="C320" s="2564" t="str">
        <f t="shared" si="19"/>
        <v>(o) Foreign Exchange Loss/Gain</v>
      </c>
      <c r="D320" s="2376"/>
      <c r="E320" s="831">
        <f>SUMIF('Master TB'!$E:$E,H320,'Master TB'!$J:$J)</f>
        <v>8377.0280000000002</v>
      </c>
      <c r="F320" s="1216">
        <f>SUMIF('Master TB'!$Q:$Q,'Notes To P&amp;L'!H320,'Master TB'!$V:$V)</f>
        <v>47540.795199999993</v>
      </c>
      <c r="G320" s="41"/>
      <c r="H320" s="185" t="s">
        <v>1989</v>
      </c>
      <c r="I320" s="81" t="str">
        <f t="shared" si="18"/>
        <v>Yes</v>
      </c>
      <c r="J320" s="387"/>
      <c r="K320" s="2366"/>
      <c r="L320" s="2366"/>
      <c r="M320" s="2366">
        <f>+K320-L320</f>
        <v>0</v>
      </c>
      <c r="O320" s="14" t="str">
        <f t="shared" si="20"/>
        <v>o</v>
      </c>
      <c r="P320" s="14" t="str">
        <f>+'Qualitative Disclosures'!C637</f>
        <v>Foreign Exchange Loss/Gain</v>
      </c>
    </row>
    <row r="321" spans="3:16" hidden="1" x14ac:dyDescent="0.3">
      <c r="C321" s="2564" t="str">
        <f t="shared" si="19"/>
        <v>(p) 0</v>
      </c>
      <c r="D321" s="2376"/>
      <c r="E321" s="831">
        <f>SUMIF('Master TB'!$E:$E,H321,'Master TB'!$J:$J)</f>
        <v>0</v>
      </c>
      <c r="F321" s="1216">
        <f>SUMIF('Master TB'!$Q:$Q,'Notes To P&amp;L'!H321,'Master TB'!$V:$V)</f>
        <v>0</v>
      </c>
      <c r="G321" s="41"/>
      <c r="H321" s="185" t="s">
        <v>1990</v>
      </c>
      <c r="I321" s="81" t="str">
        <f t="shared" si="18"/>
        <v>No</v>
      </c>
      <c r="J321" s="387"/>
      <c r="K321" s="2366"/>
      <c r="L321" s="2366"/>
      <c r="M321" s="2366"/>
      <c r="O321" s="14" t="str">
        <f t="shared" si="20"/>
        <v>p</v>
      </c>
      <c r="P321" s="14">
        <f>+'Qualitative Disclosures'!C638</f>
        <v>0</v>
      </c>
    </row>
    <row r="322" spans="3:16" hidden="1" x14ac:dyDescent="0.3">
      <c r="C322" s="2564" t="str">
        <f t="shared" si="19"/>
        <v>(p) 0</v>
      </c>
      <c r="D322" s="2376"/>
      <c r="E322" s="831">
        <f>SUMIF('Master TB'!$E:$E,H322,'Master TB'!$J:$J)</f>
        <v>0</v>
      </c>
      <c r="F322" s="1216">
        <f>SUMIF('Master TB'!$Q:$Q,'Notes To P&amp;L'!H322,'Master TB'!$V:$V)</f>
        <v>0</v>
      </c>
      <c r="G322" s="41"/>
      <c r="H322" s="185" t="s">
        <v>1991</v>
      </c>
      <c r="I322" s="81" t="str">
        <f t="shared" si="18"/>
        <v>No</v>
      </c>
      <c r="J322" s="387"/>
      <c r="K322" s="2366"/>
      <c r="L322" s="2366"/>
      <c r="M322" s="2366"/>
      <c r="O322" s="14" t="str">
        <f t="shared" si="20"/>
        <v>p</v>
      </c>
      <c r="P322" s="14">
        <f>+'Qualitative Disclosures'!C639</f>
        <v>0</v>
      </c>
    </row>
    <row r="323" spans="3:16" hidden="1" x14ac:dyDescent="0.3">
      <c r="C323" s="2564" t="str">
        <f t="shared" si="19"/>
        <v>(p) dosbv</v>
      </c>
      <c r="D323" s="2376"/>
      <c r="E323" s="831">
        <f>SUMIF('Master TB'!$E:$E,H323,'Master TB'!$J:$J)</f>
        <v>0</v>
      </c>
      <c r="F323" s="1216">
        <f>SUMIF('Master TB'!$Q:$Q,'Notes To P&amp;L'!H323,'Master TB'!$V:$V)</f>
        <v>0</v>
      </c>
      <c r="G323" s="41"/>
      <c r="H323" s="185" t="s">
        <v>1992</v>
      </c>
      <c r="I323" s="81" t="str">
        <f t="shared" si="18"/>
        <v>No</v>
      </c>
      <c r="J323" s="387"/>
      <c r="K323" s="2366"/>
      <c r="L323" s="2366"/>
      <c r="M323" s="2366"/>
      <c r="O323" s="14" t="str">
        <f t="shared" si="20"/>
        <v>p</v>
      </c>
      <c r="P323" s="14" t="str">
        <f>+'Qualitative Disclosures'!C640</f>
        <v>dosbv</v>
      </c>
    </row>
    <row r="324" spans="3:16" hidden="1" x14ac:dyDescent="0.3">
      <c r="C324" s="2564" t="str">
        <f t="shared" si="19"/>
        <v>(p) 0</v>
      </c>
      <c r="D324" s="2376"/>
      <c r="E324" s="831">
        <f>SUMIF('Master TB'!$E:$E,H324,'Master TB'!$J:$J)</f>
        <v>0</v>
      </c>
      <c r="F324" s="1216">
        <f>SUMIF('Master TB'!$Q:$Q,'Notes To P&amp;L'!H324,'Master TB'!$V:$V)</f>
        <v>0</v>
      </c>
      <c r="G324" s="41"/>
      <c r="H324" s="185" t="s">
        <v>1993</v>
      </c>
      <c r="I324" s="81" t="str">
        <f t="shared" si="18"/>
        <v>No</v>
      </c>
      <c r="J324" s="387"/>
      <c r="K324" s="2366"/>
      <c r="L324" s="2366"/>
      <c r="M324" s="2366"/>
      <c r="O324" s="14" t="str">
        <f t="shared" si="20"/>
        <v>p</v>
      </c>
      <c r="P324" s="14">
        <f>+'Qualitative Disclosures'!C641</f>
        <v>0</v>
      </c>
    </row>
    <row r="325" spans="3:16" hidden="1" x14ac:dyDescent="0.3">
      <c r="C325" s="2564" t="str">
        <f t="shared" si="19"/>
        <v>(p) 0</v>
      </c>
      <c r="D325" s="2376"/>
      <c r="E325" s="831">
        <f>SUMIF('Master TB'!$E:$E,H325,'Master TB'!$J:$J)</f>
        <v>0</v>
      </c>
      <c r="F325" s="1216">
        <f>SUMIF('Master TB'!$Q:$Q,'Notes To P&amp;L'!H325,'Master TB'!$V:$V)</f>
        <v>0</v>
      </c>
      <c r="G325" s="41"/>
      <c r="H325" s="185" t="s">
        <v>1994</v>
      </c>
      <c r="I325" s="81" t="str">
        <f t="shared" si="18"/>
        <v>No</v>
      </c>
      <c r="J325" s="387"/>
      <c r="K325" s="2366"/>
      <c r="L325" s="2366"/>
      <c r="M325" s="2366"/>
      <c r="O325" s="14" t="str">
        <f t="shared" si="20"/>
        <v>p</v>
      </c>
      <c r="P325" s="14">
        <f>+'Qualitative Disclosures'!C642</f>
        <v>0</v>
      </c>
    </row>
    <row r="326" spans="3:16" hidden="1" x14ac:dyDescent="0.3">
      <c r="C326" s="2564" t="str">
        <f t="shared" si="19"/>
        <v>(p) 0</v>
      </c>
      <c r="D326" s="2376"/>
      <c r="E326" s="831">
        <f>SUMIF('Master TB'!$E:$E,H326,'Master TB'!$J:$J)</f>
        <v>0</v>
      </c>
      <c r="F326" s="1216">
        <f>SUMIF('Master TB'!$Q:$Q,'Notes To P&amp;L'!H326,'Master TB'!$V:$V)</f>
        <v>0</v>
      </c>
      <c r="G326" s="41"/>
      <c r="H326" s="185" t="s">
        <v>1995</v>
      </c>
      <c r="I326" s="81" t="str">
        <f t="shared" si="18"/>
        <v>No</v>
      </c>
      <c r="J326" s="387"/>
      <c r="K326" s="2366"/>
      <c r="L326" s="2366"/>
      <c r="M326" s="2366"/>
      <c r="O326" s="14" t="str">
        <f t="shared" si="20"/>
        <v>p</v>
      </c>
      <c r="P326" s="14">
        <f>+'Qualitative Disclosures'!C643</f>
        <v>0</v>
      </c>
    </row>
    <row r="327" spans="3:16" hidden="1" x14ac:dyDescent="0.3">
      <c r="C327" s="2564" t="str">
        <f t="shared" si="19"/>
        <v>(p) 0</v>
      </c>
      <c r="D327" s="2376"/>
      <c r="E327" s="831">
        <f>SUMIF('Master TB'!$E:$E,H327,'Master TB'!$J:$J)</f>
        <v>0</v>
      </c>
      <c r="F327" s="1216">
        <f>SUMIF('Master TB'!$Q:$Q,'Notes To P&amp;L'!H327,'Master TB'!$V:$V)</f>
        <v>0</v>
      </c>
      <c r="G327" s="41"/>
      <c r="H327" s="185" t="s">
        <v>1996</v>
      </c>
      <c r="I327" s="81" t="str">
        <f t="shared" si="18"/>
        <v>No</v>
      </c>
      <c r="J327" s="387"/>
      <c r="K327" s="2366"/>
      <c r="L327" s="2366"/>
      <c r="M327" s="2366"/>
      <c r="O327" s="14" t="str">
        <f t="shared" si="20"/>
        <v>p</v>
      </c>
      <c r="P327" s="14">
        <f>+'Qualitative Disclosures'!C644</f>
        <v>0</v>
      </c>
    </row>
    <row r="328" spans="3:16" hidden="1" x14ac:dyDescent="0.3">
      <c r="C328" s="2564" t="str">
        <f t="shared" si="19"/>
        <v>(p) 0</v>
      </c>
      <c r="D328" s="2376"/>
      <c r="E328" s="831">
        <f>SUMIF('Master TB'!$E:$E,H328,'Master TB'!$J:$J)</f>
        <v>0</v>
      </c>
      <c r="F328" s="1216">
        <f>SUMIF('Master TB'!$Q:$Q,'Notes To P&amp;L'!H328,'Master TB'!$V:$V)</f>
        <v>0</v>
      </c>
      <c r="G328" s="41"/>
      <c r="H328" s="185" t="s">
        <v>1997</v>
      </c>
      <c r="I328" s="81" t="str">
        <f t="shared" si="18"/>
        <v>No</v>
      </c>
      <c r="J328" s="387"/>
      <c r="K328" s="2366"/>
      <c r="L328" s="2366"/>
      <c r="M328" s="2366"/>
      <c r="O328" s="14" t="str">
        <f t="shared" si="20"/>
        <v>p</v>
      </c>
      <c r="P328" s="14">
        <f>+'Qualitative Disclosures'!C645</f>
        <v>0</v>
      </c>
    </row>
    <row r="329" spans="3:16" hidden="1" x14ac:dyDescent="0.3">
      <c r="C329" s="2564" t="str">
        <f t="shared" si="19"/>
        <v>(p) 0</v>
      </c>
      <c r="D329" s="2376"/>
      <c r="E329" s="831">
        <f>SUMIF('Master TB'!$E:$E,H329,'Master TB'!$J:$J)</f>
        <v>0</v>
      </c>
      <c r="F329" s="1216">
        <f>SUMIF('Master TB'!$Q:$Q,'Notes To P&amp;L'!H329,'Master TB'!$V:$V)</f>
        <v>0</v>
      </c>
      <c r="G329" s="41"/>
      <c r="H329" s="185" t="s">
        <v>1998</v>
      </c>
      <c r="I329" s="81" t="str">
        <f t="shared" si="18"/>
        <v>No</v>
      </c>
      <c r="J329" s="387"/>
      <c r="K329" s="2366"/>
      <c r="L329" s="2366"/>
      <c r="M329" s="2366"/>
      <c r="O329" s="14" t="str">
        <f t="shared" si="20"/>
        <v>p</v>
      </c>
      <c r="P329" s="14">
        <f>+'Qualitative Disclosures'!C646</f>
        <v>0</v>
      </c>
    </row>
    <row r="330" spans="3:16" hidden="1" x14ac:dyDescent="0.3">
      <c r="C330" s="2564" t="str">
        <f t="shared" si="19"/>
        <v>(p) 0</v>
      </c>
      <c r="D330" s="2376"/>
      <c r="E330" s="831">
        <f>SUMIF('Master TB'!$E:$E,H330,'Master TB'!$J:$J)</f>
        <v>0</v>
      </c>
      <c r="F330" s="1216">
        <f>SUMIF('Master TB'!$Q:$Q,'Notes To P&amp;L'!H330,'Master TB'!$V:$V)</f>
        <v>0</v>
      </c>
      <c r="G330" s="41"/>
      <c r="H330" s="185" t="s">
        <v>1999</v>
      </c>
      <c r="I330" s="81" t="str">
        <f t="shared" si="18"/>
        <v>No</v>
      </c>
      <c r="J330" s="387"/>
      <c r="K330" s="2366"/>
      <c r="L330" s="2366"/>
      <c r="M330" s="2366"/>
      <c r="O330" s="14" t="str">
        <f t="shared" si="20"/>
        <v>p</v>
      </c>
      <c r="P330" s="14">
        <f>+'Qualitative Disclosures'!C647</f>
        <v>0</v>
      </c>
    </row>
    <row r="331" spans="3:16" hidden="1" x14ac:dyDescent="0.3">
      <c r="C331" s="2564" t="str">
        <f t="shared" si="19"/>
        <v>(p) 0</v>
      </c>
      <c r="D331" s="2376"/>
      <c r="E331" s="831">
        <f>SUMIF('Master TB'!$E:$E,H331,'Master TB'!$J:$J)</f>
        <v>0</v>
      </c>
      <c r="F331" s="1216">
        <f>SUMIF('Master TB'!$Q:$Q,'Notes To P&amp;L'!H331,'Master TB'!$V:$V)</f>
        <v>0</v>
      </c>
      <c r="G331" s="41"/>
      <c r="H331" s="185" t="s">
        <v>2000</v>
      </c>
      <c r="I331" s="81" t="str">
        <f t="shared" si="18"/>
        <v>No</v>
      </c>
      <c r="J331" s="387"/>
      <c r="K331" s="2366"/>
      <c r="L331" s="2366"/>
      <c r="M331" s="2366"/>
      <c r="O331" s="14" t="str">
        <f t="shared" si="20"/>
        <v>p</v>
      </c>
      <c r="P331" s="14">
        <f>+'Qualitative Disclosures'!C648</f>
        <v>0</v>
      </c>
    </row>
    <row r="332" spans="3:16" x14ac:dyDescent="0.3">
      <c r="C332" s="2564" t="s">
        <v>3852</v>
      </c>
      <c r="D332" s="2376"/>
      <c r="E332" s="831">
        <f>+SUMIF('Master TB'!E:E,'Notes To P&amp;L'!H332,'Master TB'!J:J)</f>
        <v>55668.878600000004</v>
      </c>
      <c r="F332" s="1216">
        <f>+SUMIF('Master TB'!Q:Q,'Notes To P&amp;L'!H332,'Master TB'!V:V)</f>
        <v>155739.76999999999</v>
      </c>
      <c r="G332" s="41"/>
      <c r="H332" s="185" t="s">
        <v>3509</v>
      </c>
      <c r="I332" s="81" t="str">
        <f t="shared" si="18"/>
        <v>Yes</v>
      </c>
      <c r="J332" s="387"/>
      <c r="K332" s="2366"/>
      <c r="L332" s="2366"/>
      <c r="M332" s="2366"/>
    </row>
    <row r="333" spans="3:16" hidden="1" x14ac:dyDescent="0.3">
      <c r="C333" s="2564" t="s">
        <v>3519</v>
      </c>
      <c r="D333" s="2376"/>
      <c r="E333" s="831">
        <f>+SUMIF('Master TB'!E:E,'Notes To P&amp;L'!H333,'Master TB'!J:J)</f>
        <v>0</v>
      </c>
      <c r="F333" s="1216">
        <f>+SUMIF('Master TB'!Q:Q,'Notes To P&amp;L'!H333,'Master TB'!V:V)</f>
        <v>0</v>
      </c>
      <c r="G333" s="41"/>
      <c r="H333" s="185" t="s">
        <v>3520</v>
      </c>
      <c r="I333" s="81" t="str">
        <f t="shared" si="18"/>
        <v>No</v>
      </c>
      <c r="J333" s="387"/>
      <c r="K333" s="2366"/>
      <c r="L333" s="2366"/>
      <c r="M333" s="2366"/>
    </row>
    <row r="334" spans="3:16" hidden="1" x14ac:dyDescent="0.3">
      <c r="C334" s="2564" t="s">
        <v>3521</v>
      </c>
      <c r="D334" s="2376"/>
      <c r="E334" s="831">
        <f>+SUMIF('Master TB'!E:E,'Notes To P&amp;L'!H334,'Master TB'!J:J)</f>
        <v>0</v>
      </c>
      <c r="F334" s="1216">
        <f>+SUMIF('Master TB'!Q:Q,'Notes To P&amp;L'!H334,'Master TB'!V:V)</f>
        <v>0</v>
      </c>
      <c r="G334" s="41"/>
      <c r="H334" s="185" t="s">
        <v>3522</v>
      </c>
      <c r="I334" s="81" t="str">
        <f t="shared" si="18"/>
        <v>No</v>
      </c>
      <c r="J334" s="387"/>
      <c r="K334" s="2366"/>
      <c r="L334" s="2366"/>
      <c r="M334" s="2366"/>
    </row>
    <row r="335" spans="3:16" x14ac:dyDescent="0.3">
      <c r="C335" s="2564" t="s">
        <v>3853</v>
      </c>
      <c r="D335" s="2376"/>
      <c r="E335" s="831">
        <f>+SUMIF('Master TB'!E:E,'Notes To P&amp;L'!H335,'Master TB'!J:J)</f>
        <v>3568.1054999999997</v>
      </c>
      <c r="F335" s="1216">
        <f>+SUMIF('Master TB'!Q:Q,'Notes To P&amp;L'!H335,'Master TB'!V:V)</f>
        <v>1431.3064999999999</v>
      </c>
      <c r="G335" s="41"/>
      <c r="H335" s="185" t="s">
        <v>3518</v>
      </c>
      <c r="I335" s="81" t="str">
        <f t="shared" si="18"/>
        <v>Yes</v>
      </c>
      <c r="J335" s="387"/>
      <c r="K335" s="2366"/>
      <c r="L335" s="2366"/>
      <c r="M335" s="2366"/>
    </row>
    <row r="336" spans="3:16" hidden="1" x14ac:dyDescent="0.3">
      <c r="C336" s="2564" t="s">
        <v>2753</v>
      </c>
      <c r="D336" s="2376"/>
      <c r="E336" s="831">
        <f>+SUMIF('Master TB'!E:E,'Notes To P&amp;L'!H336,'Master TB'!J:J)</f>
        <v>0</v>
      </c>
      <c r="F336" s="1216">
        <f>+SUMIF('Master TB'!Q:Q,'Notes To P&amp;L'!H336,'Master TB'!V:V)</f>
        <v>0</v>
      </c>
      <c r="G336" s="41"/>
      <c r="H336" s="185" t="s">
        <v>3511</v>
      </c>
      <c r="I336" s="81" t="str">
        <f t="shared" si="18"/>
        <v>No</v>
      </c>
      <c r="J336" s="387"/>
      <c r="K336" s="2366"/>
      <c r="L336" s="2366"/>
      <c r="M336" s="2366"/>
    </row>
    <row r="337" spans="3:16" hidden="1" x14ac:dyDescent="0.3">
      <c r="C337" s="2564" t="s">
        <v>2181</v>
      </c>
      <c r="D337" s="2376"/>
      <c r="E337" s="831">
        <f>+SUMIF('Master TB'!E:E,'Notes To P&amp;L'!H337,'Master TB'!J:J)</f>
        <v>0</v>
      </c>
      <c r="F337" s="1216">
        <f>+SUMIF('Master TB'!Q:Q,'Notes To P&amp;L'!H337,'Master TB'!V:V)</f>
        <v>0</v>
      </c>
      <c r="G337" s="41"/>
      <c r="H337" s="185" t="s">
        <v>3514</v>
      </c>
      <c r="I337" s="81" t="str">
        <f t="shared" si="18"/>
        <v>No</v>
      </c>
      <c r="J337" s="387"/>
      <c r="K337" s="2366"/>
      <c r="L337" s="2366"/>
      <c r="M337" s="2366"/>
    </row>
    <row r="338" spans="3:16" x14ac:dyDescent="0.3">
      <c r="C338" s="2564" t="s">
        <v>3838</v>
      </c>
      <c r="D338" s="2376"/>
      <c r="E338" s="831">
        <f>+SUMIF('Master TB'!E:E,'Notes To P&amp;L'!H338,'Master TB'!J:J)</f>
        <v>497.03</v>
      </c>
      <c r="F338" s="1216">
        <f>+SUMIF('Master TB'!Q:Q,'Notes To P&amp;L'!H338,'Master TB'!V:V)</f>
        <v>410.71</v>
      </c>
      <c r="G338" s="41"/>
      <c r="H338" s="185" t="s">
        <v>3513</v>
      </c>
      <c r="I338" s="81" t="str">
        <f t="shared" si="18"/>
        <v>Yes</v>
      </c>
      <c r="J338" s="387"/>
      <c r="K338" s="2366"/>
      <c r="L338" s="2366"/>
      <c r="M338" s="2366"/>
    </row>
    <row r="339" spans="3:16" x14ac:dyDescent="0.3">
      <c r="C339" s="2564" t="s">
        <v>3876</v>
      </c>
      <c r="D339" s="2376"/>
      <c r="E339" s="831">
        <f>+SUMIF('Master TB'!E:E,'Notes To P&amp;L'!H339,'Master TB'!J:J)</f>
        <v>2393.5500000000002</v>
      </c>
      <c r="F339" s="1216">
        <f>+SUMIF('Master TB'!Q:Q,'Notes To P&amp;L'!H339,'Master TB'!V:V)</f>
        <v>2323.04</v>
      </c>
      <c r="G339" s="41"/>
      <c r="H339" s="185" t="s">
        <v>3525</v>
      </c>
      <c r="I339" s="81" t="str">
        <f t="shared" si="18"/>
        <v>Yes</v>
      </c>
      <c r="J339" s="387"/>
      <c r="K339" s="2366"/>
      <c r="L339" s="2366"/>
      <c r="M339" s="2366"/>
    </row>
    <row r="340" spans="3:16" x14ac:dyDescent="0.3">
      <c r="C340" s="2564" t="s">
        <v>3878</v>
      </c>
      <c r="D340" s="2376"/>
      <c r="E340" s="831">
        <v>115.11</v>
      </c>
      <c r="F340" s="1216">
        <v>0</v>
      </c>
      <c r="G340" s="41"/>
      <c r="I340" s="81" t="str">
        <f t="shared" si="18"/>
        <v>Yes</v>
      </c>
      <c r="J340" s="387"/>
      <c r="K340" s="2366"/>
      <c r="L340" s="2366"/>
      <c r="M340" s="2366"/>
    </row>
    <row r="341" spans="3:16" hidden="1" x14ac:dyDescent="0.3">
      <c r="C341" s="2564" t="s">
        <v>2737</v>
      </c>
      <c r="D341" s="2376"/>
      <c r="E341" s="831">
        <f>+SUMIF('Master TB'!E:E,'Notes To P&amp;L'!H341,'Master TB'!J:J)</f>
        <v>0</v>
      </c>
      <c r="F341" s="1216">
        <f>+SUMIF('Master TB'!Q:Q,'Notes To P&amp;L'!H341,'Master TB'!V:V)</f>
        <v>0</v>
      </c>
      <c r="G341" s="41"/>
      <c r="H341" s="185" t="s">
        <v>3524</v>
      </c>
      <c r="I341" s="81" t="str">
        <f t="shared" si="18"/>
        <v>No</v>
      </c>
      <c r="J341" s="387"/>
      <c r="K341" s="2366"/>
      <c r="L341" s="2366"/>
      <c r="M341" s="2366"/>
    </row>
    <row r="342" spans="3:16" x14ac:dyDescent="0.3">
      <c r="C342" s="2564" t="str">
        <f t="shared" si="19"/>
        <v>(u) Other miscellaneous expenses</v>
      </c>
      <c r="D342" s="2376"/>
      <c r="E342" s="831">
        <f>SUMIF('Master TB'!$E:$E,H342,'Master TB'!$J:$J)+1</f>
        <v>1094.3202000000001</v>
      </c>
      <c r="F342" s="1216">
        <f>SUMIF('Master TB'!$Q:$Q,'Notes To P&amp;L'!H342,'Master TB'!$V:$V)-2</f>
        <v>711.39870000000008</v>
      </c>
      <c r="G342" s="41"/>
      <c r="H342" s="185" t="s">
        <v>1101</v>
      </c>
      <c r="I342" s="81" t="str">
        <f t="shared" si="18"/>
        <v>Yes</v>
      </c>
      <c r="K342" s="2366"/>
      <c r="M342" s="2366">
        <f>+L342-K342</f>
        <v>0</v>
      </c>
      <c r="O342" s="14" t="s">
        <v>3877</v>
      </c>
      <c r="P342" s="14" t="s">
        <v>772</v>
      </c>
    </row>
    <row r="343" spans="3:16" x14ac:dyDescent="0.3">
      <c r="C343" s="2570" t="s">
        <v>35</v>
      </c>
      <c r="D343" s="1968"/>
      <c r="E343" s="1958">
        <f>SUM(E288:E342)-1</f>
        <v>1408037.1584000001</v>
      </c>
      <c r="F343" s="1958">
        <f>SUM(F288:F342)</f>
        <v>1578422.5781999999</v>
      </c>
      <c r="G343" s="41"/>
      <c r="H343" s="81"/>
      <c r="I343" s="81" t="str">
        <f>IF(AND(I318="No",I317="No",I316="No",I315="No",I342="No",I313="No",I312="No",I291="No",I293="No",I294="No",I295="No",I296="No",I298="No",I300="No",I301="No",I302="No",I311="No",I310="No",I309="No",I307="No",I306="No",I305="No",I304="No",I303="No",I319="No"),"No","Yes")</f>
        <v>Yes</v>
      </c>
      <c r="K343" s="2366"/>
    </row>
    <row r="344" spans="3:16" x14ac:dyDescent="0.3">
      <c r="C344" s="214"/>
      <c r="D344" s="214"/>
      <c r="E344" s="841"/>
      <c r="F344" s="841"/>
      <c r="G344" s="41"/>
      <c r="H344" s="81"/>
      <c r="I344" s="81" t="str">
        <f>IF(I343="No","No","Yes")</f>
        <v>Yes</v>
      </c>
      <c r="K344" s="2366"/>
    </row>
    <row r="345" spans="3:16" x14ac:dyDescent="0.3">
      <c r="C345" s="42" t="s">
        <v>3386</v>
      </c>
      <c r="D345" s="42"/>
      <c r="E345" s="1210"/>
      <c r="F345" s="1678" t="str">
        <f>+F286</f>
        <v>Amount in Rs '00.</v>
      </c>
      <c r="G345" s="41"/>
      <c r="H345" s="81"/>
      <c r="I345" s="81" t="str">
        <f>I346</f>
        <v>Yes</v>
      </c>
    </row>
    <row r="346" spans="3:16" ht="45" x14ac:dyDescent="0.3">
      <c r="C346" s="2613" t="s">
        <v>20</v>
      </c>
      <c r="D346" s="1934"/>
      <c r="E346" s="1951" t="str">
        <f>PLCY</f>
        <v>For the Year ended 31st March 2025</v>
      </c>
      <c r="F346" s="1951" t="str">
        <f>PLPY</f>
        <v>For the Year ended 31st March 2024</v>
      </c>
      <c r="G346" s="172"/>
      <c r="H346" s="81"/>
      <c r="I346" s="81" t="str">
        <f>IF(AND(I348="No",I349="No",I357="No",I359="No"),"No","Yes")</f>
        <v>Yes</v>
      </c>
    </row>
    <row r="347" spans="3:16" ht="33" hidden="1" x14ac:dyDescent="0.3">
      <c r="C347" s="116" t="s">
        <v>647</v>
      </c>
      <c r="D347" s="47"/>
      <c r="E347" s="831">
        <f>+'Qualitative Disclosures'!E653</f>
        <v>0</v>
      </c>
      <c r="F347" s="831">
        <f>+'Qualitative Disclosures'!F653</f>
        <v>0</v>
      </c>
      <c r="G347" s="41"/>
      <c r="H347" s="81"/>
      <c r="I347" s="81" t="str">
        <f>IF(AND(I348="No",I349="No",I357="No",I359="No"),"No","Yes")</f>
        <v>Yes</v>
      </c>
    </row>
    <row r="348" spans="3:16" hidden="1" x14ac:dyDescent="0.3">
      <c r="C348" s="1265" t="s">
        <v>628</v>
      </c>
      <c r="D348" s="1263"/>
      <c r="E348" s="831">
        <f>+'Qualitative Disclosures'!E654</f>
        <v>0</v>
      </c>
      <c r="F348" s="831">
        <f>+'Qualitative Disclosures'!F654</f>
        <v>0</v>
      </c>
      <c r="G348" s="41"/>
      <c r="H348" s="81"/>
      <c r="I348" s="81" t="str">
        <f>IF(AND(E348=0,F348=0),"No","Yes")</f>
        <v>No</v>
      </c>
    </row>
    <row r="349" spans="3:16" x14ac:dyDescent="0.3">
      <c r="C349" s="1266" t="s">
        <v>617</v>
      </c>
      <c r="D349" s="1264"/>
      <c r="E349" s="831">
        <f>+'Qualitative Disclosures'!E655</f>
        <v>2500</v>
      </c>
      <c r="F349" s="831">
        <f>+'Qualitative Disclosures'!F655</f>
        <v>10000</v>
      </c>
      <c r="G349" s="41"/>
      <c r="H349" s="81"/>
      <c r="I349" s="81" t="str">
        <f>IF(AND(I355="No",I353="No",I354="No",I352="No",I351="No",I350="No"),"No","Yes")</f>
        <v>Yes</v>
      </c>
    </row>
    <row r="350" spans="3:16" x14ac:dyDescent="0.3">
      <c r="C350" s="1266" t="s">
        <v>494</v>
      </c>
      <c r="D350" s="1264"/>
      <c r="E350" s="831">
        <f>+'Qualitative Disclosures'!E656</f>
        <v>2500</v>
      </c>
      <c r="F350" s="831">
        <f>+'Qualitative Disclosures'!F656</f>
        <v>0</v>
      </c>
      <c r="G350" s="41"/>
      <c r="H350" s="81"/>
      <c r="I350" s="81" t="str">
        <f t="shared" ref="I350:I356" si="22">IF(AND(E350=0,F350=0),"No","Yes")</f>
        <v>Yes</v>
      </c>
    </row>
    <row r="351" spans="3:16" hidden="1" x14ac:dyDescent="0.3">
      <c r="C351" s="1266" t="s">
        <v>495</v>
      </c>
      <c r="D351" s="1264"/>
      <c r="E351" s="1809">
        <f>+'Qualitative Disclosures'!E657</f>
        <v>0</v>
      </c>
      <c r="F351" s="831">
        <f>+'Qualitative Disclosures'!F657</f>
        <v>0</v>
      </c>
      <c r="G351" s="41"/>
      <c r="H351" s="81"/>
      <c r="I351" s="81" t="str">
        <f t="shared" si="22"/>
        <v>No</v>
      </c>
    </row>
    <row r="352" spans="3:16" hidden="1" x14ac:dyDescent="0.3">
      <c r="C352" s="1266" t="s">
        <v>496</v>
      </c>
      <c r="D352" s="1264"/>
      <c r="E352" s="1809">
        <f>+'Qualitative Disclosures'!E658</f>
        <v>0</v>
      </c>
      <c r="F352" s="831">
        <f>+'Qualitative Disclosures'!F658</f>
        <v>0</v>
      </c>
      <c r="G352" s="41"/>
      <c r="H352" s="81"/>
      <c r="I352" s="81" t="str">
        <f t="shared" si="22"/>
        <v>No</v>
      </c>
    </row>
    <row r="353" spans="3:9" x14ac:dyDescent="0.3">
      <c r="C353" s="1266" t="s">
        <v>497</v>
      </c>
      <c r="D353" s="1264"/>
      <c r="E353" s="831">
        <f>+'Qualitative Disclosures'!E659</f>
        <v>620</v>
      </c>
      <c r="F353" s="831">
        <f>+'Qualitative Disclosures'!F659</f>
        <v>4035</v>
      </c>
      <c r="G353" s="41"/>
      <c r="H353" s="81"/>
      <c r="I353" s="81" t="str">
        <f t="shared" si="22"/>
        <v>Yes</v>
      </c>
    </row>
    <row r="354" spans="3:9" x14ac:dyDescent="0.3">
      <c r="C354" s="1266" t="s">
        <v>238</v>
      </c>
      <c r="D354" s="1264"/>
      <c r="E354" s="1953">
        <f>+'Qualitative Disclosures'!E660</f>
        <v>28.8</v>
      </c>
      <c r="F354" s="1953">
        <f>+'Qualitative Disclosures'!F660</f>
        <v>0</v>
      </c>
      <c r="G354" s="41"/>
      <c r="H354" s="81"/>
      <c r="I354" s="81" t="str">
        <f t="shared" si="22"/>
        <v>Yes</v>
      </c>
    </row>
    <row r="355" spans="3:9" hidden="1" x14ac:dyDescent="0.3">
      <c r="C355" s="1266"/>
      <c r="D355" s="1264"/>
      <c r="E355" s="831">
        <f>+'Qualitative Disclosures'!E661</f>
        <v>5648.8</v>
      </c>
      <c r="F355" s="831">
        <f>+'Qualitative Disclosures'!F661</f>
        <v>14035</v>
      </c>
      <c r="G355" s="41"/>
      <c r="H355" s="81"/>
      <c r="I355" s="81" t="str">
        <f t="shared" si="22"/>
        <v>Yes</v>
      </c>
    </row>
    <row r="356" spans="3:9" hidden="1" x14ac:dyDescent="0.3">
      <c r="C356" s="1265" t="str">
        <f>IF(I356="No","(b) To branch auditors for branch audit ",IF(I348="No","(a) To branch auditors for branch audit ","(b) To branch auditors for branch audit "))</f>
        <v xml:space="preserve">(b) To branch auditors for branch audit </v>
      </c>
      <c r="D356" s="1263"/>
      <c r="E356" s="831">
        <f>+'Qualitative Disclosures'!E662</f>
        <v>0</v>
      </c>
      <c r="F356" s="831">
        <f>+'Qualitative Disclosures'!F662</f>
        <v>0</v>
      </c>
      <c r="G356" s="41"/>
      <c r="H356" s="81"/>
      <c r="I356" s="81" t="str">
        <f t="shared" si="22"/>
        <v>No</v>
      </c>
    </row>
    <row r="357" spans="3:9" hidden="1" x14ac:dyDescent="0.3">
      <c r="C357" s="1265"/>
      <c r="D357" s="1263"/>
      <c r="E357" s="831">
        <f>+'Qualitative Disclosures'!E663</f>
        <v>0</v>
      </c>
      <c r="F357" s="831">
        <f>+'Qualitative Disclosures'!F663</f>
        <v>0</v>
      </c>
      <c r="G357" s="41"/>
      <c r="H357" s="81"/>
      <c r="I357" s="81" t="str">
        <f>I356</f>
        <v>No</v>
      </c>
    </row>
    <row r="358" spans="3:9" hidden="1" x14ac:dyDescent="0.3">
      <c r="C358" s="1265" t="str">
        <f>IF(I358="No","(c) To cost auditors for cost audit",IF(AND(I348="No",I356="No"),"(a) To cost auditors for cost audit",IF(AND(I348="Yes",I356="Yes"),"(a) To cost auditors for cost audit",IF(AND(I348="Yes",I356="No"),"(b) To cost auditors for cost audit",IF(AND(I348="No",I356="Yes"),"(b) To cost auditors for cost audit")))))</f>
        <v>(c) To cost auditors for cost audit</v>
      </c>
      <c r="D358" s="1263"/>
      <c r="E358" s="831">
        <f>+'Qualitative Disclosures'!E664</f>
        <v>0</v>
      </c>
      <c r="F358" s="831">
        <f>+'Qualitative Disclosures'!F664</f>
        <v>0</v>
      </c>
      <c r="G358" s="41"/>
      <c r="H358" s="81"/>
      <c r="I358" s="81" t="str">
        <f>IF(AND(E358=0,F358=0),"No","Yes")</f>
        <v>No</v>
      </c>
    </row>
    <row r="359" spans="3:9" hidden="1" x14ac:dyDescent="0.3">
      <c r="C359" s="141"/>
      <c r="D359" s="50"/>
      <c r="E359" s="831">
        <f>+'Qualitative Disclosures'!E665</f>
        <v>0</v>
      </c>
      <c r="F359" s="831">
        <f>+'Qualitative Disclosures'!F665</f>
        <v>0</v>
      </c>
      <c r="G359" s="41"/>
      <c r="H359" s="81"/>
      <c r="I359" s="81" t="str">
        <f>I358</f>
        <v>No</v>
      </c>
    </row>
    <row r="360" spans="3:9" x14ac:dyDescent="0.3">
      <c r="C360" s="2612" t="s">
        <v>35</v>
      </c>
      <c r="D360" s="1966"/>
      <c r="E360" s="1958">
        <f>+'Qualitative Disclosures'!E666</f>
        <v>5648.8</v>
      </c>
      <c r="F360" s="1958">
        <f>+'Qualitative Disclosures'!F666</f>
        <v>14035</v>
      </c>
      <c r="G360" s="41"/>
      <c r="H360" s="81"/>
      <c r="I360" s="81" t="str">
        <f>IF(AND(E360=0,F360=0),"No","Yes")</f>
        <v>Yes</v>
      </c>
    </row>
    <row r="361" spans="3:9" hidden="1" x14ac:dyDescent="0.3">
      <c r="C361" s="1485" t="str">
        <f>+IF(Footnotes!C209="","",Footnotes!C209)</f>
        <v/>
      </c>
      <c r="D361" s="1485" t="str">
        <f>+IF(Footnotes!D209="","",Footnotes!D209)</f>
        <v/>
      </c>
      <c r="E361" s="1536" t="str">
        <f>+IF(Footnotes!E209="","",Footnotes!E209)</f>
        <v/>
      </c>
      <c r="F361" s="1536" t="str">
        <f>+IF(Footnotes!F209="","",Footnotes!F209)</f>
        <v/>
      </c>
      <c r="G361" s="41"/>
      <c r="H361" s="81"/>
      <c r="I361" s="81" t="str">
        <f t="shared" ref="I361:I366" si="23">+IF(AND(F361="",C361="",D361="",E361=""),"No","Yes")</f>
        <v>No</v>
      </c>
    </row>
    <row r="362" spans="3:9" hidden="1" x14ac:dyDescent="0.3">
      <c r="C362" s="1485" t="str">
        <f>+IF(Footnotes!C210="","",Footnotes!C210)</f>
        <v/>
      </c>
      <c r="D362" s="1485" t="str">
        <f>+IF(Footnotes!D210="","",Footnotes!D210)</f>
        <v/>
      </c>
      <c r="E362" s="1536" t="str">
        <f>+IF(Footnotes!E210="","",Footnotes!E210)</f>
        <v/>
      </c>
      <c r="F362" s="1536" t="str">
        <f>+IF(Footnotes!F210="","",Footnotes!F210)</f>
        <v/>
      </c>
      <c r="G362" s="41"/>
      <c r="H362" s="81"/>
      <c r="I362" s="81" t="str">
        <f t="shared" si="23"/>
        <v>No</v>
      </c>
    </row>
    <row r="363" spans="3:9" hidden="1" x14ac:dyDescent="0.3">
      <c r="C363" s="1485" t="str">
        <f>+IF(Footnotes!C211="","",Footnotes!C211)</f>
        <v/>
      </c>
      <c r="D363" s="1485" t="str">
        <f>+IF(Footnotes!D211="","",Footnotes!D211)</f>
        <v/>
      </c>
      <c r="E363" s="1536" t="str">
        <f>+IF(Footnotes!E211="","",Footnotes!E211)</f>
        <v/>
      </c>
      <c r="F363" s="1536" t="str">
        <f>+IF(Footnotes!F211="","",Footnotes!F211)</f>
        <v/>
      </c>
      <c r="G363" s="41"/>
      <c r="H363" s="81"/>
      <c r="I363" s="81" t="str">
        <f t="shared" si="23"/>
        <v>No</v>
      </c>
    </row>
    <row r="364" spans="3:9" hidden="1" x14ac:dyDescent="0.3">
      <c r="C364" s="1485" t="str">
        <f>+IF(Footnotes!C212="","",Footnotes!C212)</f>
        <v/>
      </c>
      <c r="D364" s="1485" t="str">
        <f>+IF(Footnotes!D212="","",Footnotes!D212)</f>
        <v/>
      </c>
      <c r="E364" s="1536" t="str">
        <f>+IF(Footnotes!E212="","",Footnotes!E212)</f>
        <v/>
      </c>
      <c r="F364" s="1536" t="str">
        <f>+IF(Footnotes!F212="","",Footnotes!F212)</f>
        <v/>
      </c>
      <c r="G364" s="41"/>
      <c r="H364" s="81"/>
      <c r="I364" s="81" t="str">
        <f t="shared" si="23"/>
        <v>No</v>
      </c>
    </row>
    <row r="365" spans="3:9" hidden="1" x14ac:dyDescent="0.3">
      <c r="C365" s="1485" t="str">
        <f>+IF(Footnotes!C213="","",Footnotes!C213)</f>
        <v/>
      </c>
      <c r="D365" s="1485" t="str">
        <f>+IF(Footnotes!D213="","",Footnotes!D213)</f>
        <v/>
      </c>
      <c r="E365" s="1536" t="str">
        <f>+IF(Footnotes!E213="","",Footnotes!E213)</f>
        <v/>
      </c>
      <c r="F365" s="1536" t="str">
        <f>+IF(Footnotes!F213="","",Footnotes!F213)</f>
        <v/>
      </c>
      <c r="G365" s="41"/>
      <c r="H365" s="81"/>
      <c r="I365" s="81" t="str">
        <f t="shared" si="23"/>
        <v>No</v>
      </c>
    </row>
    <row r="366" spans="3:9" hidden="1" x14ac:dyDescent="0.3">
      <c r="C366" s="1490" t="str">
        <f>+IF(Footnotes!C214="","",Footnotes!C214)</f>
        <v/>
      </c>
      <c r="D366" s="1490" t="str">
        <f>+IF(Footnotes!D214="","",Footnotes!D214)</f>
        <v/>
      </c>
      <c r="E366" s="1550" t="str">
        <f>+IF(Footnotes!E214="","",Footnotes!E214)</f>
        <v/>
      </c>
      <c r="F366" s="1550" t="str">
        <f>+IF(Footnotes!F214="","",Footnotes!F214)</f>
        <v/>
      </c>
      <c r="I366" s="81" t="str">
        <f t="shared" si="23"/>
        <v>No</v>
      </c>
    </row>
    <row r="367" spans="3:9" x14ac:dyDescent="0.3">
      <c r="D367" s="2644"/>
      <c r="I367" s="221" t="str">
        <f>IF(I368="No","No","Yes")</f>
        <v>Yes</v>
      </c>
    </row>
    <row r="368" spans="3:9" x14ac:dyDescent="0.3">
      <c r="C368" s="17" t="str">
        <f>"Note "&amp;'Profit and Loss'!E32&amp;" - Exceptional Items"</f>
        <v>Note 21 - Exceptional Items</v>
      </c>
      <c r="D368" s="17"/>
      <c r="E368" s="1522"/>
      <c r="F368" s="841"/>
      <c r="G368" s="18"/>
      <c r="H368" s="113"/>
      <c r="I368" s="113" t="str">
        <f>IF(I370="No","No","Yes")</f>
        <v>Yes</v>
      </c>
    </row>
    <row r="369" spans="3:9" x14ac:dyDescent="0.3">
      <c r="C369" s="382"/>
      <c r="D369" s="382"/>
      <c r="E369" s="1522"/>
      <c r="F369" s="1396" t="str">
        <f>'Master Data'!$C$26</f>
        <v>Amount in Rs '00.</v>
      </c>
      <c r="G369" s="18"/>
      <c r="H369" s="113"/>
      <c r="I369" s="113" t="str">
        <f>IF(I370="No","No","Yes")</f>
        <v>Yes</v>
      </c>
    </row>
    <row r="370" spans="3:9" ht="45" x14ac:dyDescent="0.3">
      <c r="C370" s="2575" t="str">
        <f>+'Qualitative Disclosures'!C719</f>
        <v>Particulars</v>
      </c>
      <c r="D370" s="2576"/>
      <c r="E370" s="1951" t="str">
        <f>+'Qualitative Disclosures'!E719</f>
        <v>For the Year ended 31st March 2025</v>
      </c>
      <c r="F370" s="1951" t="str">
        <f>+'Qualitative Disclosures'!F719</f>
        <v>For the Year ended 31st March 2024</v>
      </c>
      <c r="G370" s="18"/>
      <c r="H370" s="378"/>
      <c r="I370" s="378" t="str">
        <f>IF(I386="No","No","Yes")</f>
        <v>Yes</v>
      </c>
    </row>
    <row r="371" spans="3:9" x14ac:dyDescent="0.3">
      <c r="C371" s="2600" t="s">
        <v>3792</v>
      </c>
      <c r="D371" s="2599"/>
      <c r="E371" s="2445"/>
      <c r="F371" s="2445"/>
      <c r="G371" s="18"/>
      <c r="H371" s="378"/>
      <c r="I371" s="378"/>
    </row>
    <row r="372" spans="3:9" x14ac:dyDescent="0.3">
      <c r="C372" s="2571" t="str">
        <f>+IF('Qualitative Disclosures'!C720="","",'Qualitative Disclosures'!C720)</f>
        <v>Prior period Sales to Mastercard Technology Private Limited</v>
      </c>
      <c r="D372" s="2572"/>
      <c r="E372" s="2357">
        <f>+'Qualitative Disclosures'!E720</f>
        <v>58726.74</v>
      </c>
      <c r="F372" s="2357">
        <f>+'Qualitative Disclosures'!F720</f>
        <v>0</v>
      </c>
      <c r="G372" s="18"/>
      <c r="H372" s="378"/>
      <c r="I372" s="378" t="str">
        <f>IF(AND(E372=0,F372=0),"No","Yes")</f>
        <v>Yes</v>
      </c>
    </row>
    <row r="373" spans="3:9" hidden="1" x14ac:dyDescent="0.3">
      <c r="C373" s="2571" t="str">
        <f>+IF('Qualitative Disclosures'!C721="","",'Qualitative Disclosures'!C721)</f>
        <v/>
      </c>
      <c r="D373" s="2573"/>
      <c r="E373" s="2574">
        <f>+'Qualitative Disclosures'!E721</f>
        <v>0</v>
      </c>
      <c r="F373" s="2357">
        <f>+'Qualitative Disclosures'!F721</f>
        <v>0</v>
      </c>
      <c r="G373" s="18"/>
      <c r="H373" s="378"/>
      <c r="I373" s="378" t="str">
        <f t="shared" ref="I373:I386" si="24">IF(AND(E373=0,F373=0),"No","Yes")</f>
        <v>No</v>
      </c>
    </row>
    <row r="374" spans="3:9" hidden="1" x14ac:dyDescent="0.3">
      <c r="C374" s="2571" t="str">
        <f>+IF('Qualitative Disclosures'!C722="","",'Qualitative Disclosures'!C722)</f>
        <v/>
      </c>
      <c r="D374" s="2572"/>
      <c r="E374" s="2357">
        <f>+'Qualitative Disclosures'!E722</f>
        <v>0</v>
      </c>
      <c r="F374" s="2357">
        <f>+'Qualitative Disclosures'!F722</f>
        <v>0</v>
      </c>
      <c r="G374" s="18"/>
      <c r="H374" s="378"/>
      <c r="I374" s="378" t="str">
        <f t="shared" si="24"/>
        <v>No</v>
      </c>
    </row>
    <row r="375" spans="3:9" hidden="1" x14ac:dyDescent="0.3">
      <c r="C375" s="2571" t="str">
        <f>+IF('Qualitative Disclosures'!C723="","",'Qualitative Disclosures'!C723)</f>
        <v/>
      </c>
      <c r="D375" s="2572"/>
      <c r="E375" s="2357">
        <f>+'Qualitative Disclosures'!E723</f>
        <v>0</v>
      </c>
      <c r="F375" s="2357">
        <f>+'Qualitative Disclosures'!F723</f>
        <v>0</v>
      </c>
      <c r="G375" s="18"/>
      <c r="H375" s="378"/>
      <c r="I375" s="378" t="str">
        <f t="shared" si="24"/>
        <v>No</v>
      </c>
    </row>
    <row r="376" spans="3:9" hidden="1" x14ac:dyDescent="0.3">
      <c r="C376" s="2571" t="str">
        <f>+IF('Qualitative Disclosures'!C724="","",'Qualitative Disclosures'!C724)</f>
        <v/>
      </c>
      <c r="D376" s="2572"/>
      <c r="E376" s="2357">
        <f>+'Qualitative Disclosures'!E724</f>
        <v>0</v>
      </c>
      <c r="F376" s="2357">
        <f>+'Qualitative Disclosures'!F724</f>
        <v>0</v>
      </c>
      <c r="G376" s="18"/>
      <c r="H376" s="378"/>
      <c r="I376" s="378" t="str">
        <f t="shared" si="24"/>
        <v>No</v>
      </c>
    </row>
    <row r="377" spans="3:9" hidden="1" x14ac:dyDescent="0.3">
      <c r="C377" s="2571" t="str">
        <f>+IF('Qualitative Disclosures'!C725="","",'Qualitative Disclosures'!C725)</f>
        <v/>
      </c>
      <c r="D377" s="2572"/>
      <c r="E377" s="2357">
        <f>+'Qualitative Disclosures'!E725</f>
        <v>0</v>
      </c>
      <c r="F377" s="2357">
        <f>+'Qualitative Disclosures'!F725</f>
        <v>0</v>
      </c>
      <c r="G377" s="18"/>
      <c r="H377" s="378"/>
      <c r="I377" s="378" t="str">
        <f t="shared" si="24"/>
        <v>No</v>
      </c>
    </row>
    <row r="378" spans="3:9" hidden="1" x14ac:dyDescent="0.3">
      <c r="C378" s="2571" t="str">
        <f>+IF('Qualitative Disclosures'!C726="","",'Qualitative Disclosures'!C726)</f>
        <v/>
      </c>
      <c r="D378" s="2572"/>
      <c r="E378" s="2357">
        <f>+'Qualitative Disclosures'!E726</f>
        <v>0</v>
      </c>
      <c r="F378" s="2357">
        <f>+'Qualitative Disclosures'!F726</f>
        <v>0</v>
      </c>
      <c r="G378" s="18"/>
      <c r="H378" s="378"/>
      <c r="I378" s="378" t="str">
        <f t="shared" si="24"/>
        <v>No</v>
      </c>
    </row>
    <row r="379" spans="3:9" hidden="1" x14ac:dyDescent="0.3">
      <c r="C379" s="2571" t="str">
        <f>+IF('Qualitative Disclosures'!C727="","",'Qualitative Disclosures'!C727)</f>
        <v/>
      </c>
      <c r="D379" s="2572"/>
      <c r="E379" s="2357">
        <f>+'Qualitative Disclosures'!E727</f>
        <v>0</v>
      </c>
      <c r="F379" s="2357">
        <f>+'Qualitative Disclosures'!F727</f>
        <v>0</v>
      </c>
      <c r="G379" s="18"/>
      <c r="H379" s="378"/>
      <c r="I379" s="378" t="str">
        <f t="shared" si="24"/>
        <v>No</v>
      </c>
    </row>
    <row r="380" spans="3:9" hidden="1" x14ac:dyDescent="0.3">
      <c r="C380" s="2571" t="str">
        <f>+IF('Qualitative Disclosures'!C728="","",'Qualitative Disclosures'!C728)</f>
        <v/>
      </c>
      <c r="D380" s="2572"/>
      <c r="E380" s="2357">
        <f>+'Qualitative Disclosures'!E728</f>
        <v>0</v>
      </c>
      <c r="F380" s="2357">
        <f>+'Qualitative Disclosures'!F728</f>
        <v>0</v>
      </c>
      <c r="G380" s="18"/>
      <c r="H380" s="378"/>
      <c r="I380" s="378" t="str">
        <f t="shared" si="24"/>
        <v>No</v>
      </c>
    </row>
    <row r="381" spans="3:9" hidden="1" x14ac:dyDescent="0.3">
      <c r="C381" s="2571" t="str">
        <f>+IF('Qualitative Disclosures'!C729="","",'Qualitative Disclosures'!C729)</f>
        <v/>
      </c>
      <c r="D381" s="2572"/>
      <c r="E381" s="2357">
        <f>+'Qualitative Disclosures'!E729</f>
        <v>0</v>
      </c>
      <c r="F381" s="2357">
        <f>+'Qualitative Disclosures'!F729</f>
        <v>0</v>
      </c>
      <c r="G381" s="18"/>
      <c r="H381" s="378"/>
      <c r="I381" s="378" t="str">
        <f t="shared" si="24"/>
        <v>No</v>
      </c>
    </row>
    <row r="382" spans="3:9" hidden="1" x14ac:dyDescent="0.3">
      <c r="C382" s="2571" t="str">
        <f>+IF('Qualitative Disclosures'!C730="","",'Qualitative Disclosures'!C730)</f>
        <v/>
      </c>
      <c r="D382" s="2572"/>
      <c r="E382" s="2357">
        <f>+'Qualitative Disclosures'!E730</f>
        <v>0</v>
      </c>
      <c r="F382" s="2357">
        <f>+'Qualitative Disclosures'!F730</f>
        <v>0</v>
      </c>
      <c r="G382" s="18"/>
      <c r="H382" s="378"/>
      <c r="I382" s="378" t="str">
        <f t="shared" si="24"/>
        <v>No</v>
      </c>
    </row>
    <row r="383" spans="3:9" hidden="1" x14ac:dyDescent="0.3">
      <c r="C383" s="2571" t="str">
        <f>+IF('Qualitative Disclosures'!C731="","",'Qualitative Disclosures'!C731)</f>
        <v/>
      </c>
      <c r="D383" s="2572"/>
      <c r="E383" s="2357">
        <f>+'Qualitative Disclosures'!E731</f>
        <v>0</v>
      </c>
      <c r="F383" s="2357">
        <f>+'Qualitative Disclosures'!F731</f>
        <v>0</v>
      </c>
      <c r="G383" s="18"/>
      <c r="H383" s="378"/>
      <c r="I383" s="378" t="str">
        <f t="shared" si="24"/>
        <v>No</v>
      </c>
    </row>
    <row r="384" spans="3:9" hidden="1" x14ac:dyDescent="0.3">
      <c r="C384" s="2571" t="str">
        <f>+IF('Qualitative Disclosures'!C732="","",'Qualitative Disclosures'!C732)</f>
        <v/>
      </c>
      <c r="D384" s="2572"/>
      <c r="E384" s="2357">
        <f>+'Qualitative Disclosures'!E732</f>
        <v>0</v>
      </c>
      <c r="F384" s="2357">
        <f>+'Qualitative Disclosures'!F732</f>
        <v>0</v>
      </c>
      <c r="G384" s="18"/>
      <c r="H384" s="378"/>
      <c r="I384" s="378" t="str">
        <f t="shared" si="24"/>
        <v>No</v>
      </c>
    </row>
    <row r="385" spans="3:9" hidden="1" x14ac:dyDescent="0.3">
      <c r="C385" s="2571" t="str">
        <f>+IF('Qualitative Disclosures'!C733="","",'Qualitative Disclosures'!C733)</f>
        <v/>
      </c>
      <c r="D385" s="2572"/>
      <c r="E385" s="2357">
        <f>+'Qualitative Disclosures'!E733</f>
        <v>0</v>
      </c>
      <c r="F385" s="2357">
        <f>+'Qualitative Disclosures'!F733</f>
        <v>0</v>
      </c>
      <c r="G385" s="18"/>
      <c r="H385" s="378"/>
      <c r="I385" s="378" t="str">
        <f t="shared" si="24"/>
        <v>No</v>
      </c>
    </row>
    <row r="386" spans="3:9" x14ac:dyDescent="0.3">
      <c r="C386" s="316" t="str">
        <f>+IF('Qualitative Disclosures'!C734="","",'Qualitative Disclosures'!C734)</f>
        <v xml:space="preserve">Total </v>
      </c>
      <c r="D386" s="667"/>
      <c r="E386" s="2531">
        <f>+'Qualitative Disclosures'!E734</f>
        <v>58726.74</v>
      </c>
      <c r="F386" s="2531">
        <f>+'Qualitative Disclosures'!F734</f>
        <v>0</v>
      </c>
      <c r="G386" s="18"/>
      <c r="H386" s="378"/>
      <c r="I386" s="378" t="str">
        <f t="shared" si="24"/>
        <v>Yes</v>
      </c>
    </row>
    <row r="387" spans="3:9" x14ac:dyDescent="0.3">
      <c r="C387" s="18"/>
      <c r="D387" s="18"/>
      <c r="E387" s="841"/>
      <c r="F387" s="841"/>
      <c r="G387" s="18"/>
      <c r="H387" s="113"/>
      <c r="I387" s="113" t="str">
        <f>IF(I386="No","No","Yes")</f>
        <v>Yes</v>
      </c>
    </row>
    <row r="388" spans="3:9" hidden="1" x14ac:dyDescent="0.3">
      <c r="C388" s="310" t="str">
        <f>"Note "&amp;'Profit and Loss'!E36&amp;" Extraordinary Items"</f>
        <v>Note 21 Extraordinary Items</v>
      </c>
      <c r="D388" s="310"/>
      <c r="E388" s="841"/>
      <c r="F388" s="841"/>
      <c r="G388" s="18"/>
      <c r="H388" s="378"/>
      <c r="I388" s="378" t="str">
        <f>IF(I402="No","No","Yes")</f>
        <v>No</v>
      </c>
    </row>
    <row r="389" spans="3:9" hidden="1" x14ac:dyDescent="0.3">
      <c r="C389" s="42"/>
      <c r="D389" s="42"/>
      <c r="E389" s="841"/>
      <c r="F389" s="1396" t="str">
        <f>'Master Data'!$C$26</f>
        <v>Amount in Rs '00.</v>
      </c>
      <c r="G389" s="18"/>
      <c r="H389" s="113"/>
      <c r="I389" s="113" t="str">
        <f>IF(I402="No","No","Yes")</f>
        <v>No</v>
      </c>
    </row>
    <row r="390" spans="3:9" ht="45" hidden="1" x14ac:dyDescent="0.3">
      <c r="C390" s="1304" t="s">
        <v>20</v>
      </c>
      <c r="D390" s="1305"/>
      <c r="E390" s="1391" t="str">
        <f>PLCY</f>
        <v>For the Year ended 31st March 2025</v>
      </c>
      <c r="F390" s="1391" t="str">
        <f>PLPY</f>
        <v>For the Year ended 31st March 2024</v>
      </c>
      <c r="G390" s="18"/>
      <c r="H390" s="378"/>
      <c r="I390" s="378" t="str">
        <f>IF(I402="No","No","Yes")</f>
        <v>No</v>
      </c>
    </row>
    <row r="391" spans="3:9" hidden="1" x14ac:dyDescent="0.3">
      <c r="C391" s="1297" t="str">
        <f>+IF('Qualitative Disclosures'!C739="","",'Qualitative Disclosures'!C739)</f>
        <v/>
      </c>
      <c r="D391" s="1300"/>
      <c r="E391" s="1392">
        <f>+'Qualitative Disclosures'!E739</f>
        <v>0</v>
      </c>
      <c r="F391" s="1393">
        <f>+'Qualitative Disclosures'!F739</f>
        <v>0</v>
      </c>
      <c r="G391" s="18"/>
      <c r="H391" s="378"/>
      <c r="I391" s="378" t="str">
        <f>IF(AND(E391=0,F391=0),"No","Yes")</f>
        <v>No</v>
      </c>
    </row>
    <row r="392" spans="3:9" hidden="1" x14ac:dyDescent="0.3">
      <c r="C392" s="1297" t="str">
        <f>+IF('Qualitative Disclosures'!C740="","",'Qualitative Disclosures'!C740)</f>
        <v/>
      </c>
      <c r="D392" s="1300"/>
      <c r="E392" s="1393">
        <f>+'Qualitative Disclosures'!E740</f>
        <v>0</v>
      </c>
      <c r="F392" s="1393">
        <f>+'Qualitative Disclosures'!F740</f>
        <v>0</v>
      </c>
      <c r="G392" s="18"/>
      <c r="H392" s="378"/>
      <c r="I392" s="378" t="str">
        <f t="shared" ref="I392:I402" si="25">IF(AND(E392=0,F392=0),"No","Yes")</f>
        <v>No</v>
      </c>
    </row>
    <row r="393" spans="3:9" hidden="1" x14ac:dyDescent="0.3">
      <c r="C393" s="1297" t="str">
        <f>+IF('Qualitative Disclosures'!C741="","",'Qualitative Disclosures'!C741)</f>
        <v/>
      </c>
      <c r="D393" s="1300"/>
      <c r="E393" s="1393">
        <f>+'Qualitative Disclosures'!E741</f>
        <v>0</v>
      </c>
      <c r="F393" s="1393">
        <f>+'Qualitative Disclosures'!F741</f>
        <v>0</v>
      </c>
      <c r="G393" s="18"/>
      <c r="H393" s="378"/>
      <c r="I393" s="378" t="str">
        <f t="shared" si="25"/>
        <v>No</v>
      </c>
    </row>
    <row r="394" spans="3:9" hidden="1" x14ac:dyDescent="0.3">
      <c r="C394" s="1297" t="str">
        <f>+IF('Qualitative Disclosures'!C742="","",'Qualitative Disclosures'!C742)</f>
        <v/>
      </c>
      <c r="D394" s="1300"/>
      <c r="E394" s="1393">
        <f>+'Qualitative Disclosures'!E742</f>
        <v>0</v>
      </c>
      <c r="F394" s="1393">
        <f>+'Qualitative Disclosures'!F742</f>
        <v>0</v>
      </c>
      <c r="G394" s="18"/>
      <c r="H394" s="378"/>
      <c r="I394" s="378" t="str">
        <f t="shared" si="25"/>
        <v>No</v>
      </c>
    </row>
    <row r="395" spans="3:9" hidden="1" x14ac:dyDescent="0.3">
      <c r="C395" s="1297" t="str">
        <f>+IF('Qualitative Disclosures'!C743="","",'Qualitative Disclosures'!C743)</f>
        <v/>
      </c>
      <c r="D395" s="1300"/>
      <c r="E395" s="1393">
        <f>+'Qualitative Disclosures'!E743</f>
        <v>0</v>
      </c>
      <c r="F395" s="1393">
        <f>+'Qualitative Disclosures'!F743</f>
        <v>0</v>
      </c>
      <c r="G395" s="18"/>
      <c r="H395" s="378"/>
      <c r="I395" s="378" t="str">
        <f t="shared" si="25"/>
        <v>No</v>
      </c>
    </row>
    <row r="396" spans="3:9" hidden="1" x14ac:dyDescent="0.3">
      <c r="C396" s="1297" t="str">
        <f>+IF('Qualitative Disclosures'!C744="","",'Qualitative Disclosures'!C744)</f>
        <v/>
      </c>
      <c r="D396" s="1300"/>
      <c r="E396" s="1393">
        <f>+'Qualitative Disclosures'!E744</f>
        <v>0</v>
      </c>
      <c r="F396" s="1393">
        <f>+'Qualitative Disclosures'!F744</f>
        <v>0</v>
      </c>
      <c r="G396" s="18"/>
      <c r="H396" s="378"/>
      <c r="I396" s="378" t="str">
        <f t="shared" si="25"/>
        <v>No</v>
      </c>
    </row>
    <row r="397" spans="3:9" hidden="1" x14ac:dyDescent="0.3">
      <c r="C397" s="1297" t="str">
        <f>+IF('Qualitative Disclosures'!C745="","",'Qualitative Disclosures'!C745)</f>
        <v/>
      </c>
      <c r="D397" s="1300"/>
      <c r="E397" s="1393">
        <f>+'Qualitative Disclosures'!E745</f>
        <v>0</v>
      </c>
      <c r="F397" s="1393">
        <f>+'Qualitative Disclosures'!F745</f>
        <v>0</v>
      </c>
      <c r="G397" s="18"/>
      <c r="H397" s="378"/>
      <c r="I397" s="378" t="str">
        <f t="shared" si="25"/>
        <v>No</v>
      </c>
    </row>
    <row r="398" spans="3:9" hidden="1" x14ac:dyDescent="0.3">
      <c r="C398" s="1297" t="str">
        <f>+IF('Qualitative Disclosures'!C746="","",'Qualitative Disclosures'!C746)</f>
        <v/>
      </c>
      <c r="D398" s="1300"/>
      <c r="E398" s="1565">
        <f>+'Qualitative Disclosures'!E746</f>
        <v>0</v>
      </c>
      <c r="F398" s="1393">
        <f>+'Qualitative Disclosures'!F746</f>
        <v>0</v>
      </c>
      <c r="G398" s="18"/>
      <c r="H398" s="378"/>
      <c r="I398" s="378" t="str">
        <f t="shared" si="25"/>
        <v>No</v>
      </c>
    </row>
    <row r="399" spans="3:9" hidden="1" x14ac:dyDescent="0.3">
      <c r="C399" s="1297" t="str">
        <f>+IF('Qualitative Disclosures'!C747="","",'Qualitative Disclosures'!C747)</f>
        <v/>
      </c>
      <c r="D399" s="1300"/>
      <c r="E399" s="1565">
        <f>+'Qualitative Disclosures'!E747</f>
        <v>0</v>
      </c>
      <c r="F399" s="1393">
        <f>+'Qualitative Disclosures'!F747</f>
        <v>0</v>
      </c>
      <c r="G399" s="18"/>
      <c r="H399" s="378"/>
      <c r="I399" s="378" t="str">
        <f t="shared" si="25"/>
        <v>No</v>
      </c>
    </row>
    <row r="400" spans="3:9" hidden="1" x14ac:dyDescent="0.3">
      <c r="C400" s="1297" t="str">
        <f>+IF('Qualitative Disclosures'!C748="","",'Qualitative Disclosures'!C748)</f>
        <v/>
      </c>
      <c r="D400" s="1300"/>
      <c r="E400" s="1565">
        <f>+'Qualitative Disclosures'!E748</f>
        <v>0</v>
      </c>
      <c r="F400" s="1393">
        <f>+'Qualitative Disclosures'!F748</f>
        <v>0</v>
      </c>
      <c r="G400" s="18"/>
      <c r="H400" s="378"/>
      <c r="I400" s="378" t="str">
        <f t="shared" si="25"/>
        <v>No</v>
      </c>
    </row>
    <row r="401" spans="3:9" hidden="1" x14ac:dyDescent="0.3">
      <c r="C401" s="1297" t="str">
        <f>+IF('Qualitative Disclosures'!C749="","",'Qualitative Disclosures'!C749)</f>
        <v/>
      </c>
      <c r="D401" s="1300"/>
      <c r="E401" s="1566">
        <f>+'Qualitative Disclosures'!E749</f>
        <v>0</v>
      </c>
      <c r="F401" s="1393">
        <f>+'Qualitative Disclosures'!F749</f>
        <v>0</v>
      </c>
      <c r="G401" s="18"/>
      <c r="H401" s="378"/>
      <c r="I401" s="378" t="str">
        <f t="shared" si="25"/>
        <v>No</v>
      </c>
    </row>
    <row r="402" spans="3:9" hidden="1" x14ac:dyDescent="0.3">
      <c r="C402" s="1298" t="str">
        <f>+IF('Qualitative Disclosures'!C750="","",'Qualitative Disclosures'!C750)</f>
        <v xml:space="preserve">Total </v>
      </c>
      <c r="D402" s="1301"/>
      <c r="E402" s="1407">
        <f>+'Qualitative Disclosures'!E750</f>
        <v>0</v>
      </c>
      <c r="F402" s="1407">
        <f>+'Qualitative Disclosures'!F750</f>
        <v>0</v>
      </c>
      <c r="G402" s="18"/>
      <c r="H402" s="378"/>
      <c r="I402" s="378" t="str">
        <f t="shared" si="25"/>
        <v>No</v>
      </c>
    </row>
    <row r="403" spans="3:9" hidden="1" x14ac:dyDescent="0.3">
      <c r="I403" s="221" t="s">
        <v>990</v>
      </c>
    </row>
    <row r="404" spans="3:9" hidden="1" x14ac:dyDescent="0.3"/>
  </sheetData>
  <mergeCells count="19">
    <mergeCell ref="C209:D209"/>
    <mergeCell ref="C226:D226"/>
    <mergeCell ref="C250:D250"/>
    <mergeCell ref="C267:D267"/>
    <mergeCell ref="C287:D287"/>
    <mergeCell ref="E12:F12"/>
    <mergeCell ref="C13:D13"/>
    <mergeCell ref="C31:D31"/>
    <mergeCell ref="C42:D42"/>
    <mergeCell ref="C53:D53"/>
    <mergeCell ref="C29:D29"/>
    <mergeCell ref="C127:D127"/>
    <mergeCell ref="C151:D151"/>
    <mergeCell ref="C178:D178"/>
    <mergeCell ref="C55:D55"/>
    <mergeCell ref="C67:D67"/>
    <mergeCell ref="C79:D79"/>
    <mergeCell ref="C91:D91"/>
    <mergeCell ref="C111:D111"/>
  </mergeCells>
  <dataValidations disablePrompts="1" count="9">
    <dataValidation allowBlank="1" showInputMessage="1" showErrorMessage="1" prompt="Give breakup if required - given below" sqref="C112:D112"/>
    <dataValidation allowBlank="1" showInputMessage="1" showErrorMessage="1" prompt="current and long-term investments to be disclosed seperately" sqref="C113:D113 C117:D117 C119:D119"/>
    <dataValidation allowBlank="1" showInputMessage="1" showErrorMessage="1" prompt="other than considered as finance cost" sqref="C114:D114"/>
    <dataValidation allowBlank="1" showInputMessage="1" showErrorMessage="1" prompt="current and long-term investments to be disclosed seperately_x000a__x000a_" sqref="C118:D118"/>
    <dataValidation allowBlank="1" showInputMessage="1" showErrorMessage="1" prompt="net of expenses directly attributable to such income &amp; Give breakup if required - given below_x000a_" sqref="C123:D123"/>
    <dataValidation allowBlank="1" showInputMessage="1" showErrorMessage="1" prompt="Relevant in case of section 8 companies only" sqref="C25:D25"/>
    <dataValidation allowBlank="1" showInputMessage="1" showErrorMessage="1" prompt="This disclosure is applicable for manufacturing companies only." sqref="C176:D176 C207:D207 C224:D224"/>
    <dataValidation allowBlank="1" showInputMessage="1" showErrorMessage="1" prompt="Certain donations need to be disclosed as required under the Companies Act (Section 182)" sqref="D306"/>
    <dataValidation allowBlank="1" showInputMessage="1" showErrorMessage="1" prompt="Consumption of packing  materials which are not classified by the Company as part of raw materials should be disclosed separately under Other expenses." sqref="D289"/>
  </dataValidations>
  <pageMargins left="0.5" right="0.5" top="0.25" bottom="0.25" header="0.5" footer="0.5"/>
  <pageSetup paperSize="9" scale="62" fitToHeight="8" orientation="portrait" r:id="rId1"/>
  <rowBreaks count="1" manualBreakCount="1">
    <brk id="222" min="1" max="6" man="1"/>
  </rowBreaks>
  <ignoredErrors>
    <ignoredError sqref="I232 I238 I26:I29 I25 I30 I109 I89" formula="1"/>
    <ignoredError sqref="C372:C386 E372:F386 C391:C401 E391:F402" unlockedFormula="1"/>
  </ignoredErrors>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8:N155"/>
  <sheetViews>
    <sheetView showGridLines="0" view="pageBreakPreview" zoomScale="80" zoomScaleNormal="70" zoomScaleSheetLayoutView="80" workbookViewId="0">
      <selection activeCell="C52" sqref="C52:C53"/>
    </sheetView>
  </sheetViews>
  <sheetFormatPr defaultColWidth="8.85546875" defaultRowHeight="16.5" x14ac:dyDescent="0.25"/>
  <cols>
    <col min="1" max="1" width="3.7109375" style="18" customWidth="1"/>
    <col min="2" max="2" width="5.5703125" style="18" customWidth="1"/>
    <col min="3" max="3" width="81.7109375" style="113" bestFit="1" customWidth="1"/>
    <col min="4" max="4" width="23" style="18" customWidth="1"/>
    <col min="5" max="5" width="11.5703125" style="18" hidden="1" customWidth="1"/>
    <col min="6" max="6" width="2.5703125" style="18" hidden="1" customWidth="1"/>
    <col min="7" max="7" width="26.140625" style="18" customWidth="1"/>
    <col min="8" max="8" width="27.5703125" style="18" hidden="1" customWidth="1"/>
    <col min="9" max="9" width="18.7109375" style="18" hidden="1" customWidth="1"/>
    <col min="10" max="10" width="26.140625" style="18" customWidth="1"/>
    <col min="11" max="11" width="3.7109375" style="18" customWidth="1"/>
    <col min="12" max="12" width="8.85546875" style="18"/>
    <col min="13" max="13" width="0" style="18" hidden="1" customWidth="1"/>
    <col min="14" max="14" width="14.5703125" style="18" bestFit="1" customWidth="1"/>
    <col min="15" max="16384" width="8.85546875" style="18"/>
  </cols>
  <sheetData>
    <row r="8" spans="2:14" x14ac:dyDescent="0.25">
      <c r="C8" s="17" t="str">
        <f>Company_Name</f>
        <v>Sample Company</v>
      </c>
    </row>
    <row r="9" spans="2:14" x14ac:dyDescent="0.25">
      <c r="C9" s="17" t="s">
        <v>90</v>
      </c>
    </row>
    <row r="10" spans="2:14" x14ac:dyDescent="0.25">
      <c r="C10" s="18"/>
    </row>
    <row r="11" spans="2:14" hidden="1" x14ac:dyDescent="0.25">
      <c r="C11" s="178" t="s">
        <v>3901</v>
      </c>
      <c r="M11" s="42" t="str" cm="1">
        <f t="array" ref="M11">IFERROR(INDEX(M12:M138, MATCH(TRUE,M12:M138="Yes",0)),"No")</f>
        <v>Yes</v>
      </c>
    </row>
    <row r="12" spans="2:14" hidden="1" x14ac:dyDescent="0.25"/>
    <row r="13" spans="2:14" x14ac:dyDescent="0.25">
      <c r="B13" s="2696">
        <v>22</v>
      </c>
      <c r="C13" s="101" t="str">
        <f>+IF('Qualitative Disclosures for AS'!C89="","",'Qualitative Disclosures for AS'!C89)</f>
        <v>Employee benefit plans</v>
      </c>
      <c r="D13" s="18" t="str">
        <f>+IF('Qualitative Disclosures for AS'!D89="","",'Qualitative Disclosures for AS'!D89)</f>
        <v/>
      </c>
      <c r="E13" s="18" t="str">
        <f>+IF('Qualitative Disclosures for AS'!E89="","",'Qualitative Disclosures for AS'!E89)</f>
        <v/>
      </c>
      <c r="F13" s="18" t="str">
        <f>+IF('Qualitative Disclosures for AS'!F89="","",'Qualitative Disclosures for AS'!F89)</f>
        <v/>
      </c>
      <c r="G13" s="18" t="str">
        <f>+IF('Qualitative Disclosures for AS'!G89="","",'Qualitative Disclosures for AS'!G89)</f>
        <v/>
      </c>
      <c r="H13" s="18" t="str">
        <f>+IF('Qualitative Disclosures for AS'!H89="","",'Qualitative Disclosures for AS'!H89)</f>
        <v/>
      </c>
      <c r="I13" s="18" t="str">
        <f>+IF('Qualitative Disclosures for AS'!I89="","",'Qualitative Disclosures for AS'!I89)</f>
        <v/>
      </c>
    </row>
    <row r="14" spans="2:14" x14ac:dyDescent="0.25">
      <c r="C14" s="1032" t="str">
        <f>+IF('Qualitative Disclosures for AS'!C90="","",'Qualitative Disclosures for AS'!C90)</f>
        <v>Defined contribution plans</v>
      </c>
      <c r="D14" s="18" t="str">
        <f>+IF('Qualitative Disclosures for AS'!D90="","",'Qualitative Disclosures for AS'!D90)</f>
        <v/>
      </c>
      <c r="E14" s="18" t="str">
        <f>+IF('Qualitative Disclosures for AS'!E90="","",'Qualitative Disclosures for AS'!E90)</f>
        <v/>
      </c>
      <c r="F14" s="18" t="str">
        <f>+IF('Qualitative Disclosures for AS'!F90="","",'Qualitative Disclosures for AS'!F90)</f>
        <v/>
      </c>
      <c r="H14" s="18" t="str">
        <f>+IF('Qualitative Disclosures for AS'!H90="","",'Qualitative Disclosures for AS'!H90)</f>
        <v/>
      </c>
      <c r="I14" s="18" t="str">
        <f>+IF('Qualitative Disclosures for AS'!I90="","",'Qualitative Disclosures for AS'!I90)</f>
        <v/>
      </c>
    </row>
    <row r="15" spans="2:14" ht="55.5" customHeight="1" x14ac:dyDescent="0.25">
      <c r="C15" s="2901" t="str">
        <f>+IF('Qualitative Disclosures for AS'!C91="","",'Qualitative Disclosures for AS'!C91)</f>
        <v>The Company makes Provident Fund contributions which are defined contribution plans. The Company recognised  Rs. 84,496  for the year ended 31 March, 2025 for Provident Fund contributions in the Statement of Profit and Loss.</v>
      </c>
      <c r="D15" s="2901" t="str">
        <f>+IF('Qualitative Disclosures for AS'!D91="","",'Qualitative Disclosures for AS'!D91)</f>
        <v/>
      </c>
      <c r="E15" s="2901" t="str">
        <f>+IF('Qualitative Disclosures for AS'!E91="","",'Qualitative Disclosures for AS'!E91)</f>
        <v/>
      </c>
      <c r="F15" s="2901" t="str">
        <f>+IF('Qualitative Disclosures for AS'!F91="","",'Qualitative Disclosures for AS'!F91)</f>
        <v/>
      </c>
      <c r="G15" s="2901" t="str">
        <f>+IF('Qualitative Disclosures for AS'!G91="","",'Qualitative Disclosures for AS'!G91)</f>
        <v/>
      </c>
      <c r="H15" s="2901" t="str">
        <f>+IF('Qualitative Disclosures for AS'!H91="","",'Qualitative Disclosures for AS'!H91)</f>
        <v/>
      </c>
      <c r="I15" s="2901" t="str">
        <f>+IF('Qualitative Disclosures for AS'!I91="","",'Qualitative Disclosures for AS'!I91)</f>
        <v/>
      </c>
      <c r="J15" s="852"/>
      <c r="K15" s="147"/>
      <c r="N15" s="935"/>
    </row>
    <row r="16" spans="2:14" hidden="1" x14ac:dyDescent="0.25">
      <c r="C16" s="2901" t="str">
        <f>+IF('Qualitative Disclosures for AS'!C92="","",'Qualitative Disclosures for AS'!C92)</f>
        <v>In case the Company has contributions to foreign defined contribution plans and benefit plans, the details of the same should be disclosed.</v>
      </c>
      <c r="D16" s="2901" t="str">
        <f>+IF('Qualitative Disclosures for AS'!D92="","",'Qualitative Disclosures for AS'!D92)</f>
        <v/>
      </c>
      <c r="E16" s="2901" t="str">
        <f>+IF('Qualitative Disclosures for AS'!E92="","",'Qualitative Disclosures for AS'!E92)</f>
        <v/>
      </c>
      <c r="F16" s="2901" t="str">
        <f>+IF('Qualitative Disclosures for AS'!F92="","",'Qualitative Disclosures for AS'!F92)</f>
        <v/>
      </c>
      <c r="G16" s="2901" t="str">
        <f>+IF('Qualitative Disclosures for AS'!G92="","",'Qualitative Disclosures for AS'!G92)</f>
        <v/>
      </c>
      <c r="H16" s="2901" t="str">
        <f>+IF('Qualitative Disclosures for AS'!H92="","",'Qualitative Disclosures for AS'!H92)</f>
        <v/>
      </c>
      <c r="I16" s="2901" t="str">
        <f>+IF('Qualitative Disclosures for AS'!I92="","",'Qualitative Disclosures for AS'!I92)</f>
        <v/>
      </c>
      <c r="J16" s="121"/>
    </row>
    <row r="17" spans="3:14" hidden="1" x14ac:dyDescent="0.25">
      <c r="C17" s="121" t="str">
        <f>+IF('Qualitative Disclosures for AS'!C93="","",'Qualitative Disclosures for AS'!C93)</f>
        <v/>
      </c>
      <c r="D17" s="121" t="str">
        <f>+IF('Qualitative Disclosures for AS'!D93="","",'Qualitative Disclosures for AS'!D93)</f>
        <v/>
      </c>
      <c r="E17" s="121" t="str">
        <f>+IF('Qualitative Disclosures for AS'!E93="","",'Qualitative Disclosures for AS'!E93)</f>
        <v/>
      </c>
      <c r="F17" s="121" t="str">
        <f>+IF('Qualitative Disclosures for AS'!F93="","",'Qualitative Disclosures for AS'!F93)</f>
        <v/>
      </c>
      <c r="G17" s="121" t="str">
        <f>+IF('Qualitative Disclosures for AS'!G93="","",'Qualitative Disclosures for AS'!G93)</f>
        <v/>
      </c>
      <c r="H17" s="121" t="str">
        <f>+IF('Qualitative Disclosures for AS'!H93="","",'Qualitative Disclosures for AS'!H93)</f>
        <v/>
      </c>
      <c r="I17" s="121" t="str">
        <f>+IF('Qualitative Disclosures for AS'!I93="","",'Qualitative Disclosures for AS'!I93)</f>
        <v/>
      </c>
      <c r="J17" s="121"/>
    </row>
    <row r="18" spans="3:14" hidden="1" x14ac:dyDescent="0.25">
      <c r="C18" s="121"/>
      <c r="D18" s="121"/>
      <c r="E18" s="121"/>
      <c r="F18" s="121"/>
      <c r="G18" s="121"/>
      <c r="H18" s="121"/>
      <c r="I18" s="121"/>
      <c r="J18" s="121"/>
    </row>
    <row r="19" spans="3:14" x14ac:dyDescent="0.25">
      <c r="C19" s="1032" t="str">
        <f>+IF('Qualitative Disclosures for AS'!C94="","",'Qualitative Disclosures for AS'!C94)</f>
        <v>Defined benefit plans</v>
      </c>
      <c r="D19" s="18" t="str">
        <f>+IF('Qualitative Disclosures for AS'!D94="","",'Qualitative Disclosures for AS'!D94)</f>
        <v/>
      </c>
      <c r="E19" s="18" t="e">
        <f>+IF('Qualitative Disclosures for AS'!#REF!="","",'Qualitative Disclosures for AS'!#REF!)</f>
        <v>#REF!</v>
      </c>
      <c r="F19" s="18" t="str">
        <f>+IF('Qualitative Disclosures for AS'!F94="","",'Qualitative Disclosures for AS'!F94)</f>
        <v/>
      </c>
      <c r="G19" s="18" t="str">
        <f>+IF('Qualitative Disclosures for AS'!G94="","",'Qualitative Disclosures for AS'!G94)</f>
        <v/>
      </c>
      <c r="H19" s="18" t="str">
        <f>+IF('Qualitative Disclosures for AS'!H94="","",'Qualitative Disclosures for AS'!H94)</f>
        <v/>
      </c>
      <c r="I19" s="18" t="str">
        <f>+IF('Qualitative Disclosures for AS'!I94="","",'Qualitative Disclosures for AS'!I94)</f>
        <v/>
      </c>
      <c r="N19" s="935"/>
    </row>
    <row r="20" spans="3:14" x14ac:dyDescent="0.25">
      <c r="C20" s="18" t="str">
        <f>+'Qualitative Disclosures for AS'!C95</f>
        <v>The Company offers the following employee benefit schemes to its employees:</v>
      </c>
      <c r="D20" s="18" t="str">
        <f>+IF('Qualitative Disclosures for AS'!D95="","",'Qualitative Disclosures for AS'!D95)</f>
        <v/>
      </c>
      <c r="E20" s="18" t="str">
        <f>+IF('Qualitative Disclosures for AS'!E95="","",'Qualitative Disclosures for AS'!E95)</f>
        <v/>
      </c>
      <c r="F20" s="18" t="str">
        <f>+IF('Qualitative Disclosures for AS'!F95="","",'Qualitative Disclosures for AS'!F95)</f>
        <v/>
      </c>
      <c r="G20" s="18" t="str">
        <f>+IF('Qualitative Disclosures for AS'!G95="","",'Qualitative Disclosures for AS'!G95)</f>
        <v/>
      </c>
      <c r="H20" s="18" t="str">
        <f>+IF('Qualitative Disclosures for AS'!H95="","",'Qualitative Disclosures for AS'!H95)</f>
        <v/>
      </c>
      <c r="I20" s="18" t="str">
        <f>+IF('Qualitative Disclosures for AS'!I95="","",'Qualitative Disclosures for AS'!I95)</f>
        <v/>
      </c>
    </row>
    <row r="21" spans="3:14" x14ac:dyDescent="0.25">
      <c r="C21" s="18" t="s">
        <v>3810</v>
      </c>
      <c r="D21" s="18" t="str">
        <f>+IF('Qualitative Disclosures for AS'!D96="","",'Qualitative Disclosures for AS'!D96)</f>
        <v/>
      </c>
      <c r="E21" s="18" t="str">
        <f>+IF('Qualitative Disclosures for AS'!E96="","",'Qualitative Disclosures for AS'!E96)</f>
        <v/>
      </c>
      <c r="F21" s="18" t="str">
        <f>+IF('Qualitative Disclosures for AS'!F96="","",'Qualitative Disclosures for AS'!F96)</f>
        <v/>
      </c>
      <c r="G21" s="18" t="str">
        <f>+IF('Qualitative Disclosures for AS'!G96="","",'Qualitative Disclosures for AS'!G96)</f>
        <v/>
      </c>
      <c r="H21" s="18" t="str">
        <f>+IF('Qualitative Disclosures for AS'!H96="","",'Qualitative Disclosures for AS'!H96)</f>
        <v/>
      </c>
      <c r="I21" s="18" t="str">
        <f>+IF('Qualitative Disclosures for AS'!I96="","",'Qualitative Disclosures for AS'!I96)</f>
        <v/>
      </c>
    </row>
    <row r="22" spans="3:14" hidden="1" x14ac:dyDescent="0.25">
      <c r="C22" s="18" t="str">
        <f>+IF('Qualitative Disclosures for AS'!C97="","",'Qualitative Disclosures for AS'!C97)</f>
        <v>ii. Post-employment medical benefits (included as part of (state line item) in Note 25 Employee benefits expense)</v>
      </c>
      <c r="D22" s="18" t="str">
        <f>+IF('Qualitative Disclosures for AS'!D97="","",'Qualitative Disclosures for AS'!D97)</f>
        <v/>
      </c>
      <c r="E22" s="18" t="str">
        <f>+IF('Qualitative Disclosures for AS'!E97="","",'Qualitative Disclosures for AS'!E97)</f>
        <v/>
      </c>
      <c r="F22" s="18" t="str">
        <f>+IF('Qualitative Disclosures for AS'!F97="","",'Qualitative Disclosures for AS'!F97)</f>
        <v/>
      </c>
      <c r="G22" s="18" t="str">
        <f>+IF('Qualitative Disclosures for AS'!G97="","",'Qualitative Disclosures for AS'!G97)</f>
        <v/>
      </c>
      <c r="H22" s="18" t="str">
        <f>+IF('Qualitative Disclosures for AS'!H97="","",'Qualitative Disclosures for AS'!H97)</f>
        <v/>
      </c>
      <c r="I22" s="18" t="str">
        <f>+IF('Qualitative Disclosures for AS'!I97="","",'Qualitative Disclosures for AS'!I97)</f>
        <v/>
      </c>
    </row>
    <row r="23" spans="3:14" hidden="1" x14ac:dyDescent="0.25">
      <c r="C23" s="18" t="str">
        <f>+IF('Qualitative Disclosures for AS'!C98="","",'Qualitative Disclosures for AS'!C98)</f>
        <v>iii. Other defined benefit plans (specify nature) (included as part of (state line item) in Note 25 Employee benefits expense)</v>
      </c>
      <c r="D23" s="18" t="str">
        <f>+IF('Qualitative Disclosures for AS'!D98="","",'Qualitative Disclosures for AS'!D98)</f>
        <v/>
      </c>
      <c r="E23" s="18" t="str">
        <f>+IF('Qualitative Disclosures for AS'!E98="","",'Qualitative Disclosures for AS'!E98)</f>
        <v/>
      </c>
      <c r="F23" s="18" t="str">
        <f>+IF('Qualitative Disclosures for AS'!F98="","",'Qualitative Disclosures for AS'!F98)</f>
        <v/>
      </c>
      <c r="G23" s="18" t="str">
        <f>+IF('Qualitative Disclosures for AS'!G98="","",'Qualitative Disclosures for AS'!G98)</f>
        <v/>
      </c>
      <c r="H23" s="18" t="str">
        <f>+IF('Qualitative Disclosures for AS'!H98="","",'Qualitative Disclosures for AS'!H98)</f>
        <v/>
      </c>
      <c r="I23" s="18" t="str">
        <f>+IF('Qualitative Disclosures for AS'!I98="","",'Qualitative Disclosures for AS'!I98)</f>
        <v/>
      </c>
    </row>
    <row r="24" spans="3:14" x14ac:dyDescent="0.25">
      <c r="C24" s="2901" t="str">
        <f>+IF('Qualitative Disclosures for AS'!C99="","",'Qualitative Disclosures for AS'!C99)</f>
        <v xml:space="preserve">The following table sets out the funded status of the defined benefit schemes and the amount recognised in the financial statements: </v>
      </c>
      <c r="D24" s="2901" t="str">
        <f>+IF('Qualitative Disclosures for AS'!D99="","",'Qualitative Disclosures for AS'!D99)</f>
        <v/>
      </c>
      <c r="E24" s="2901" t="str">
        <f>+IF('Qualitative Disclosures for AS'!E99="","",'Qualitative Disclosures for AS'!E99)</f>
        <v/>
      </c>
      <c r="F24" s="2901" t="str">
        <f>+IF('Qualitative Disclosures for AS'!F99="","",'Qualitative Disclosures for AS'!F99)</f>
        <v/>
      </c>
      <c r="G24" s="2901" t="str">
        <f>+IF('Qualitative Disclosures for AS'!G99="","",'Qualitative Disclosures for AS'!G99)</f>
        <v/>
      </c>
      <c r="H24" s="2901" t="str">
        <f>+IF('Qualitative Disclosures for AS'!H99="","",'Qualitative Disclosures for AS'!H99)</f>
        <v/>
      </c>
      <c r="I24" s="2901" t="str">
        <f>+IF('Qualitative Disclosures for AS'!I99="","",'Qualitative Disclosures for AS'!I99)</f>
        <v/>
      </c>
      <c r="J24" s="121"/>
      <c r="K24" s="147"/>
    </row>
    <row r="25" spans="3:14" x14ac:dyDescent="0.25">
      <c r="C25" s="18"/>
      <c r="I25" s="102" t="s">
        <v>1</v>
      </c>
      <c r="J25" s="102"/>
    </row>
    <row r="26" spans="3:14" x14ac:dyDescent="0.25">
      <c r="C26" s="18"/>
      <c r="G26" s="2525" t="s">
        <v>847</v>
      </c>
      <c r="I26" s="102"/>
      <c r="J26" s="102"/>
    </row>
    <row r="27" spans="3:14" ht="15.95" customHeight="1" x14ac:dyDescent="0.25">
      <c r="C27" s="2902" t="str">
        <f>+IF('Qualitative Disclosures for AS'!C101="","",'Qualitative Disclosures for AS'!C101)</f>
        <v>Particulars</v>
      </c>
      <c r="D27" s="2903" t="str">
        <f>+IF('Qualitative Disclosures for AS'!D101="","",'Qualitative Disclosures for AS'!D101)</f>
        <v>As At 31st March 2025</v>
      </c>
      <c r="E27" s="2903" t="str">
        <f>+IF('Qualitative Disclosures for AS'!E101="","",'Qualitative Disclosures for AS'!E101)</f>
        <v/>
      </c>
      <c r="F27" s="2903" t="str">
        <f>+IF('Qualitative Disclosures for AS'!F101="","",'Qualitative Disclosures for AS'!F101)</f>
        <v/>
      </c>
      <c r="G27" s="2903" t="str">
        <f>+IF('Qualitative Disclosures for AS'!G101="","",'Qualitative Disclosures for AS'!G101)</f>
        <v>As At 31st March 2024</v>
      </c>
      <c r="H27" s="2903" t="str">
        <f>+IF('Qualitative Disclosures for AS'!H101="","",'Qualitative Disclosures for AS'!H101)</f>
        <v/>
      </c>
      <c r="I27" s="2903" t="str">
        <f>+IF('Qualitative Disclosures for AS'!I101="","",'Qualitative Disclosures for AS'!I101)</f>
        <v/>
      </c>
      <c r="J27" s="167"/>
    </row>
    <row r="28" spans="3:14" ht="28.15" customHeight="1" x14ac:dyDescent="0.25">
      <c r="C28" s="2902" t="str">
        <f>+IF('Qualitative Disclosures for AS'!C102="","",'Qualitative Disclosures for AS'!C102)</f>
        <v/>
      </c>
      <c r="D28" s="2492" t="str">
        <f>+IF('Qualitative Disclosures for AS'!D102="","",'Qualitative Disclosures for AS'!D102)</f>
        <v>Gratuity</v>
      </c>
      <c r="E28" s="2492" t="str">
        <f>+IF('Qualitative Disclosures for AS'!E102="","",'Qualitative Disclosures for AS'!E102)</f>
        <v>Post-employment medical benefits</v>
      </c>
      <c r="F28" s="2492" t="str">
        <f>+IF('Qualitative Disclosures for AS'!F102="","",'Qualitative Disclosures for AS'!F102)</f>
        <v>Other defined benefit plans (specify nature)</v>
      </c>
      <c r="G28" s="2492" t="str">
        <f>+IF('Qualitative Disclosures for AS'!G102="","",'Qualitative Disclosures for AS'!G102)</f>
        <v>Gratuity</v>
      </c>
      <c r="H28" s="2492" t="str">
        <f>+IF('Qualitative Disclosures for AS'!H102="","",'Qualitative Disclosures for AS'!H102)</f>
        <v>Post-employment medical benefits</v>
      </c>
      <c r="I28" s="2492" t="str">
        <f>+IF('Qualitative Disclosures for AS'!I102="","",'Qualitative Disclosures for AS'!I102)</f>
        <v>Other defined benefit plans (specify nature)</v>
      </c>
      <c r="J28" s="990"/>
    </row>
    <row r="29" spans="3:14" x14ac:dyDescent="0.25">
      <c r="C29" s="129" t="str">
        <f>+IF('Qualitative Disclosures for AS'!C103="","",'Qualitative Disclosures for AS'!C103)</f>
        <v>Components of employer's expense</v>
      </c>
      <c r="D29" s="251" t="str">
        <f>+IF('Qualitative Disclosures for AS'!D103="","",'Qualitative Disclosures for AS'!D103)</f>
        <v/>
      </c>
      <c r="E29" s="229" t="str">
        <f>+IF('Qualitative Disclosures for AS'!E103="","",'Qualitative Disclosures for AS'!E103)</f>
        <v/>
      </c>
      <c r="F29" s="229" t="str">
        <f>+IF('Qualitative Disclosures for AS'!F103="","",'Qualitative Disclosures for AS'!F103)</f>
        <v/>
      </c>
      <c r="G29" s="2628" t="str">
        <f>+IF('Qualitative Disclosures for AS'!G103="","",'Qualitative Disclosures for AS'!G103)</f>
        <v/>
      </c>
      <c r="H29" s="229" t="str">
        <f>+IF('Qualitative Disclosures for AS'!H103="","",'Qualitative Disclosures for AS'!H103)</f>
        <v/>
      </c>
      <c r="I29" s="229" t="str">
        <f>+IF('Qualitative Disclosures for AS'!I103="","",'Qualitative Disclosures for AS'!I103)</f>
        <v/>
      </c>
      <c r="M29" s="42" t="str">
        <f t="shared" ref="M29:M48" si="0">IF(AND(D29=0,E29=0,F29=0,G29=0,H29=0,I29=0),"No","Yes")</f>
        <v>Yes</v>
      </c>
    </row>
    <row r="30" spans="3:14" x14ac:dyDescent="0.25">
      <c r="C30" s="106" t="str">
        <f>+IF('Qualitative Disclosures for AS'!C104="","",'Qualitative Disclosures for AS'!C104)</f>
        <v>Current service cost</v>
      </c>
      <c r="D30" s="831">
        <f>+IF('Qualitative Disclosures for AS'!D104="","",'Qualitative Disclosures for AS'!D104)</f>
        <v>23202.03</v>
      </c>
      <c r="E30" s="1172" t="str">
        <f>+IF('Qualitative Disclosures for AS'!E104="","",'Qualitative Disclosures for AS'!E104)</f>
        <v/>
      </c>
      <c r="F30" s="1172" t="str">
        <f>+IF('Qualitative Disclosures for AS'!F104="","",'Qualitative Disclosures for AS'!F104)</f>
        <v/>
      </c>
      <c r="G30" s="1213">
        <f>+IF('Qualitative Disclosures for AS'!G104="","",'Qualitative Disclosures for AS'!G104)</f>
        <v>21705.73</v>
      </c>
      <c r="H30" s="229" t="str">
        <f>+IF('Qualitative Disclosures for AS'!H104="","",'Qualitative Disclosures for AS'!H104)</f>
        <v/>
      </c>
      <c r="I30" s="229" t="str">
        <f>+IF('Qualitative Disclosures for AS'!I104="","",'Qualitative Disclosures for AS'!I104)</f>
        <v/>
      </c>
      <c r="M30" s="42" t="str">
        <f t="shared" si="0"/>
        <v>Yes</v>
      </c>
    </row>
    <row r="31" spans="3:14" x14ac:dyDescent="0.25">
      <c r="C31" s="106" t="str">
        <f>+IF('Qualitative Disclosures for AS'!C105="","",'Qualitative Disclosures for AS'!C105)</f>
        <v>Interest cost</v>
      </c>
      <c r="D31" s="831">
        <f>+IF('Qualitative Disclosures for AS'!D105="","",'Qualitative Disclosures for AS'!D105)</f>
        <v>4903.6400000000003</v>
      </c>
      <c r="E31" s="1172" t="str">
        <f>+IF('Qualitative Disclosures for AS'!E105="","",'Qualitative Disclosures for AS'!E105)</f>
        <v/>
      </c>
      <c r="F31" s="1172" t="str">
        <f>+IF('Qualitative Disclosures for AS'!F105="","",'Qualitative Disclosures for AS'!F105)</f>
        <v/>
      </c>
      <c r="G31" s="1213">
        <f>+IF('Qualitative Disclosures for AS'!G105="","",'Qualitative Disclosures for AS'!G105)</f>
        <v>3378.74</v>
      </c>
      <c r="H31" s="229" t="str">
        <f>+IF('Qualitative Disclosures for AS'!H105="","",'Qualitative Disclosures for AS'!H105)</f>
        <v/>
      </c>
      <c r="I31" s="229" t="str">
        <f>+IF('Qualitative Disclosures for AS'!I105="","",'Qualitative Disclosures for AS'!I105)</f>
        <v/>
      </c>
      <c r="M31" s="42" t="str">
        <f t="shared" si="0"/>
        <v>Yes</v>
      </c>
    </row>
    <row r="32" spans="3:14" x14ac:dyDescent="0.25">
      <c r="C32" s="106" t="str">
        <f>+IF('Qualitative Disclosures for AS'!C106="","",'Qualitative Disclosures for AS'!C106)</f>
        <v>Expected return on plan assets</v>
      </c>
      <c r="D32" s="831">
        <f>+IF('Qualitative Disclosures for AS'!D106="","",'Qualitative Disclosures for AS'!D106)</f>
        <v>-5435.89</v>
      </c>
      <c r="E32" s="1172" t="str">
        <f>+IF('Qualitative Disclosures for AS'!E106="","",'Qualitative Disclosures for AS'!E106)</f>
        <v/>
      </c>
      <c r="F32" s="1172" t="str">
        <f>+IF('Qualitative Disclosures for AS'!F106="","",'Qualitative Disclosures for AS'!F106)</f>
        <v/>
      </c>
      <c r="G32" s="1213">
        <f>+IF('Qualitative Disclosures for AS'!G106="","",'Qualitative Disclosures for AS'!G106)</f>
        <v>-4952.6099999999997</v>
      </c>
      <c r="H32" s="229" t="str">
        <f>+IF('Qualitative Disclosures for AS'!H106="","",'Qualitative Disclosures for AS'!H106)</f>
        <v/>
      </c>
      <c r="I32" s="229" t="str">
        <f>+IF('Qualitative Disclosures for AS'!I106="","",'Qualitative Disclosures for AS'!I106)</f>
        <v/>
      </c>
      <c r="M32" s="42" t="str">
        <f t="shared" si="0"/>
        <v>Yes</v>
      </c>
    </row>
    <row r="33" spans="3:13" hidden="1" x14ac:dyDescent="0.25">
      <c r="C33" s="106" t="str">
        <f>+IF('Qualitative Disclosures for AS'!C107="","",'Qualitative Disclosures for AS'!C107)</f>
        <v>Curtailment cost / (credit)</v>
      </c>
      <c r="D33" s="831">
        <f>+IF('Qualitative Disclosures for AS'!D107="","",'Qualitative Disclosures for AS'!D107)</f>
        <v>0</v>
      </c>
      <c r="E33" s="1172" t="str">
        <f>+IF('Qualitative Disclosures for AS'!E107="","",'Qualitative Disclosures for AS'!E107)</f>
        <v/>
      </c>
      <c r="F33" s="1172" t="str">
        <f>+IF('Qualitative Disclosures for AS'!F107="","",'Qualitative Disclosures for AS'!F107)</f>
        <v/>
      </c>
      <c r="G33" s="1213">
        <f>+IF('Qualitative Disclosures for AS'!G107="","",'Qualitative Disclosures for AS'!G107)</f>
        <v>0</v>
      </c>
      <c r="H33" s="229" t="str">
        <f>+IF('Qualitative Disclosures for AS'!H107="","",'Qualitative Disclosures for AS'!H107)</f>
        <v/>
      </c>
      <c r="I33" s="229" t="str">
        <f>+IF('Qualitative Disclosures for AS'!I107="","",'Qualitative Disclosures for AS'!I107)</f>
        <v/>
      </c>
      <c r="M33" s="42" t="str">
        <f t="shared" si="0"/>
        <v>Yes</v>
      </c>
    </row>
    <row r="34" spans="3:13" hidden="1" x14ac:dyDescent="0.25">
      <c r="C34" s="106" t="str">
        <f>+IF('Qualitative Disclosures for AS'!C108="","",'Qualitative Disclosures for AS'!C108)</f>
        <v>Settlement cost / (credit)</v>
      </c>
      <c r="D34" s="831">
        <f>+IF('Qualitative Disclosures for AS'!D108="","",'Qualitative Disclosures for AS'!D108)</f>
        <v>0</v>
      </c>
      <c r="E34" s="1172" t="str">
        <f>+IF('Qualitative Disclosures for AS'!E108="","",'Qualitative Disclosures for AS'!E108)</f>
        <v/>
      </c>
      <c r="F34" s="1172" t="str">
        <f>+IF('Qualitative Disclosures for AS'!F108="","",'Qualitative Disclosures for AS'!F108)</f>
        <v/>
      </c>
      <c r="G34" s="1213">
        <f>+IF('Qualitative Disclosures for AS'!G108="","",'Qualitative Disclosures for AS'!G108)</f>
        <v>0</v>
      </c>
      <c r="H34" s="229" t="str">
        <f>+IF('Qualitative Disclosures for AS'!H108="","",'Qualitative Disclosures for AS'!H108)</f>
        <v/>
      </c>
      <c r="I34" s="229" t="str">
        <f>+IF('Qualitative Disclosures for AS'!I108="","",'Qualitative Disclosures for AS'!I108)</f>
        <v/>
      </c>
      <c r="M34" s="42" t="str">
        <f t="shared" si="0"/>
        <v>Yes</v>
      </c>
    </row>
    <row r="35" spans="3:13" hidden="1" x14ac:dyDescent="0.25">
      <c r="C35" s="106" t="str">
        <f>+IF('Qualitative Disclosures for AS'!C109="","",'Qualitative Disclosures for AS'!C109)</f>
        <v>Past service cost</v>
      </c>
      <c r="D35" s="831">
        <f>+IF('Qualitative Disclosures for AS'!D109="","",'Qualitative Disclosures for AS'!D109)</f>
        <v>0</v>
      </c>
      <c r="E35" s="1172" t="str">
        <f>+IF('Qualitative Disclosures for AS'!E109="","",'Qualitative Disclosures for AS'!E109)</f>
        <v/>
      </c>
      <c r="F35" s="1172" t="str">
        <f>+IF('Qualitative Disclosures for AS'!F109="","",'Qualitative Disclosures for AS'!F109)</f>
        <v/>
      </c>
      <c r="G35" s="1213">
        <f>+IF('Qualitative Disclosures for AS'!G109="","",'Qualitative Disclosures for AS'!G109)</f>
        <v>0</v>
      </c>
      <c r="H35" s="229" t="str">
        <f>+IF('Qualitative Disclosures for AS'!H109="","",'Qualitative Disclosures for AS'!H109)</f>
        <v/>
      </c>
      <c r="I35" s="229" t="str">
        <f>+IF('Qualitative Disclosures for AS'!I109="","",'Qualitative Disclosures for AS'!I109)</f>
        <v/>
      </c>
      <c r="M35" s="42" t="str">
        <f t="shared" si="0"/>
        <v>Yes</v>
      </c>
    </row>
    <row r="36" spans="3:13" x14ac:dyDescent="0.25">
      <c r="C36" s="106" t="str">
        <f>+IF('Qualitative Disclosures for AS'!C110="","",'Qualitative Disclosures for AS'!C110)</f>
        <v>Actuarial losses/(gains)</v>
      </c>
      <c r="D36" s="1953">
        <f>+IF('Qualitative Disclosures for AS'!D110="","",'Qualitative Disclosures for AS'!D110)</f>
        <v>-8668.64</v>
      </c>
      <c r="E36" s="1172" t="str">
        <f>+IF('Qualitative Disclosures for AS'!E110="","",'Qualitative Disclosures for AS'!E110)</f>
        <v/>
      </c>
      <c r="F36" s="1172" t="str">
        <f>+IF('Qualitative Disclosures for AS'!F110="","",'Qualitative Disclosures for AS'!F110)</f>
        <v/>
      </c>
      <c r="G36" s="1213">
        <f>+IF('Qualitative Disclosures for AS'!G110="","",'Qualitative Disclosures for AS'!G110)</f>
        <v>-1993.89</v>
      </c>
      <c r="H36" s="229" t="str">
        <f>+IF('Qualitative Disclosures for AS'!H110="","",'Qualitative Disclosures for AS'!H110)</f>
        <v/>
      </c>
      <c r="I36" s="229" t="str">
        <f>+IF('Qualitative Disclosures for AS'!I110="","",'Qualitative Disclosures for AS'!I110)</f>
        <v/>
      </c>
      <c r="M36" s="42" t="str">
        <f t="shared" si="0"/>
        <v>Yes</v>
      </c>
    </row>
    <row r="37" spans="3:13" x14ac:dyDescent="0.25">
      <c r="C37" s="2622" t="str">
        <f>+IF('Qualitative Disclosures for AS'!C111="","",'Qualitative Disclosures for AS'!C111)</f>
        <v>Total expense recognised in the Statement of Profit and Loss</v>
      </c>
      <c r="D37" s="2661">
        <f>+IF('Qualitative Disclosures for AS'!D111="","",'Qualitative Disclosures for AS'!D111)</f>
        <v>14001.14</v>
      </c>
      <c r="E37" s="2661" t="str">
        <f>+IF('Qualitative Disclosures for AS'!E111="","",'Qualitative Disclosures for AS'!E111)</f>
        <v/>
      </c>
      <c r="F37" s="2661" t="str">
        <f>+IF('Qualitative Disclosures for AS'!F111="","",'Qualitative Disclosures for AS'!F111)</f>
        <v/>
      </c>
      <c r="G37" s="1958">
        <f>+IF('Qualitative Disclosures for AS'!G111="","",'Qualitative Disclosures for AS'!G111)</f>
        <v>18137.97</v>
      </c>
      <c r="H37" s="229" t="str">
        <f>+IF('Qualitative Disclosures for AS'!H111="","",'Qualitative Disclosures for AS'!H111)</f>
        <v/>
      </c>
      <c r="I37" s="229" t="str">
        <f>+IF('Qualitative Disclosures for AS'!I111="","",'Qualitative Disclosures for AS'!I111)</f>
        <v/>
      </c>
      <c r="M37" s="42" t="str">
        <f t="shared" si="0"/>
        <v>Yes</v>
      </c>
    </row>
    <row r="38" spans="3:13" x14ac:dyDescent="0.25">
      <c r="C38" s="106" t="str">
        <f>+IF('Qualitative Disclosures for AS'!C112="","",'Qualitative Disclosures for AS'!C112)</f>
        <v/>
      </c>
      <c r="D38" s="843" t="str">
        <f>+IF('Qualitative Disclosures for AS'!D112="","",'Qualitative Disclosures for AS'!D112)</f>
        <v/>
      </c>
      <c r="E38" s="1598" t="str">
        <f>+IF('Qualitative Disclosures for AS'!E112="","",'Qualitative Disclosures for AS'!E112)</f>
        <v/>
      </c>
      <c r="F38" s="1598" t="str">
        <f>+IF('Qualitative Disclosures for AS'!F112="","",'Qualitative Disclosures for AS'!F112)</f>
        <v/>
      </c>
      <c r="G38" s="2404" t="str">
        <f>+IF('Qualitative Disclosures for AS'!G112="","",'Qualitative Disclosures for AS'!G112)</f>
        <v/>
      </c>
      <c r="H38" s="229" t="str">
        <f>+IF('Qualitative Disclosures for AS'!H112="","",'Qualitative Disclosures for AS'!H112)</f>
        <v/>
      </c>
      <c r="I38" s="229" t="str">
        <f>+IF('Qualitative Disclosures for AS'!I112="","",'Qualitative Disclosures for AS'!I112)</f>
        <v/>
      </c>
      <c r="M38" s="42" t="str">
        <f t="shared" si="0"/>
        <v>Yes</v>
      </c>
    </row>
    <row r="39" spans="3:13" hidden="1" x14ac:dyDescent="0.25">
      <c r="C39" s="999" t="str">
        <f>+IF('Qualitative Disclosures for AS'!C113="","",'Qualitative Disclosures for AS'!C113)</f>
        <v xml:space="preserve">Actual contribution and benefit payments for the year </v>
      </c>
      <c r="D39" s="831" t="str">
        <f>+IF('Qualitative Disclosures for AS'!D113="","",'Qualitative Disclosures for AS'!D113)</f>
        <v/>
      </c>
      <c r="E39" s="1172" t="str">
        <f>+IF('Qualitative Disclosures for AS'!E113="","",'Qualitative Disclosures for AS'!E113)</f>
        <v/>
      </c>
      <c r="F39" s="1172" t="str">
        <f>+IF('Qualitative Disclosures for AS'!F113="","",'Qualitative Disclosures for AS'!F113)</f>
        <v/>
      </c>
      <c r="G39" s="1213" t="str">
        <f>+IF('Qualitative Disclosures for AS'!G113="","",'Qualitative Disclosures for AS'!G113)</f>
        <v/>
      </c>
      <c r="H39" s="229" t="str">
        <f>+IF('Qualitative Disclosures for AS'!H113="","",'Qualitative Disclosures for AS'!H113)</f>
        <v/>
      </c>
      <c r="I39" s="229" t="str">
        <f>+IF('Qualitative Disclosures for AS'!I113="","",'Qualitative Disclosures for AS'!I113)</f>
        <v/>
      </c>
      <c r="M39" s="42" t="str">
        <f t="shared" si="0"/>
        <v>Yes</v>
      </c>
    </row>
    <row r="40" spans="3:13" hidden="1" x14ac:dyDescent="0.25">
      <c r="C40" s="106" t="str">
        <f>+IF('Qualitative Disclosures for AS'!C114="","",'Qualitative Disclosures for AS'!C114)</f>
        <v>Actual benefit payments</v>
      </c>
      <c r="D40" s="831" t="str">
        <f>+IF('Qualitative Disclosures for AS'!D114="","",'Qualitative Disclosures for AS'!D114)</f>
        <v/>
      </c>
      <c r="E40" s="1172" t="str">
        <f>+IF('Qualitative Disclosures for AS'!E114="","",'Qualitative Disclosures for AS'!E114)</f>
        <v/>
      </c>
      <c r="F40" s="1172" t="str">
        <f>+IF('Qualitative Disclosures for AS'!F114="","",'Qualitative Disclosures for AS'!F114)</f>
        <v/>
      </c>
      <c r="G40" s="1213" t="str">
        <f>+IF('Qualitative Disclosures for AS'!G114="","",'Qualitative Disclosures for AS'!G114)</f>
        <v/>
      </c>
      <c r="H40" s="229" t="str">
        <f>+IF('Qualitative Disclosures for AS'!H114="","",'Qualitative Disclosures for AS'!H114)</f>
        <v/>
      </c>
      <c r="I40" s="229" t="str">
        <f>+IF('Qualitative Disclosures for AS'!I114="","",'Qualitative Disclosures for AS'!I114)</f>
        <v/>
      </c>
      <c r="M40" s="42" t="str">
        <f t="shared" si="0"/>
        <v>Yes</v>
      </c>
    </row>
    <row r="41" spans="3:13" hidden="1" x14ac:dyDescent="0.25">
      <c r="C41" s="106" t="str">
        <f>+IF('Qualitative Disclosures for AS'!C115="","",'Qualitative Disclosures for AS'!C115)</f>
        <v>Actual contributions</v>
      </c>
      <c r="D41" s="831" t="str">
        <f>+IF('Qualitative Disclosures for AS'!D115="","",'Qualitative Disclosures for AS'!D115)</f>
        <v/>
      </c>
      <c r="E41" s="1172" t="str">
        <f>+IF('Qualitative Disclosures for AS'!E115="","",'Qualitative Disclosures for AS'!E115)</f>
        <v/>
      </c>
      <c r="F41" s="1182" t="str">
        <f>+IF('Qualitative Disclosures for AS'!F115="","",'Qualitative Disclosures for AS'!F115)</f>
        <v/>
      </c>
      <c r="G41" s="1213" t="str">
        <f>+IF('Qualitative Disclosures for AS'!G115="","",'Qualitative Disclosures for AS'!G115)</f>
        <v/>
      </c>
      <c r="H41" s="229" t="str">
        <f>+IF('Qualitative Disclosures for AS'!H115="","",'Qualitative Disclosures for AS'!H115)</f>
        <v/>
      </c>
      <c r="I41" s="229" t="str">
        <f>+IF('Qualitative Disclosures for AS'!I115="","",'Qualitative Disclosures for AS'!I115)</f>
        <v/>
      </c>
      <c r="M41" s="42" t="str">
        <f t="shared" si="0"/>
        <v>Yes</v>
      </c>
    </row>
    <row r="42" spans="3:13" hidden="1" x14ac:dyDescent="0.25">
      <c r="C42" s="106" t="str">
        <f>+IF('Qualitative Disclosures for AS'!C116="","",'Qualitative Disclosures for AS'!C116)</f>
        <v/>
      </c>
      <c r="D42" s="1686" t="str">
        <f>+IF('Qualitative Disclosures for AS'!D116="","",'Qualitative Disclosures for AS'!D116)</f>
        <v/>
      </c>
      <c r="E42" s="1591" t="str">
        <f>+IF('Qualitative Disclosures for AS'!E116="","",'Qualitative Disclosures for AS'!E116)</f>
        <v/>
      </c>
      <c r="F42" s="1591" t="str">
        <f>+IF('Qualitative Disclosures for AS'!F116="","",'Qualitative Disclosures for AS'!F116)</f>
        <v/>
      </c>
      <c r="G42" s="1213" t="str">
        <f>+IF('Qualitative Disclosures for AS'!G116="","",'Qualitative Disclosures for AS'!G116)</f>
        <v/>
      </c>
      <c r="H42" s="229" t="str">
        <f>+IF('Qualitative Disclosures for AS'!H116="","",'Qualitative Disclosures for AS'!H116)</f>
        <v/>
      </c>
      <c r="I42" s="229" t="str">
        <f>+IF('Qualitative Disclosures for AS'!I116="","",'Qualitative Disclosures for AS'!I116)</f>
        <v/>
      </c>
      <c r="M42" s="42" t="str">
        <f t="shared" si="0"/>
        <v>Yes</v>
      </c>
    </row>
    <row r="43" spans="3:13" ht="15" customHeight="1" x14ac:dyDescent="0.25">
      <c r="C43" s="999" t="str">
        <f>+IF('Qualitative Disclosures for AS'!C117="","",'Qualitative Disclosures for AS'!C117)</f>
        <v xml:space="preserve">Net asset / (liability) recognised in the Balance Sheet </v>
      </c>
      <c r="D43" s="831" t="str">
        <f>+IF('Qualitative Disclosures for AS'!D117="","",'Qualitative Disclosures for AS'!D117)</f>
        <v/>
      </c>
      <c r="E43" s="1172" t="str">
        <f>+IF('Qualitative Disclosures for AS'!E117="","",'Qualitative Disclosures for AS'!E117)</f>
        <v/>
      </c>
      <c r="F43" s="1172" t="str">
        <f>+IF('Qualitative Disclosures for AS'!F117="","",'Qualitative Disclosures for AS'!F117)</f>
        <v/>
      </c>
      <c r="G43" s="1213" t="str">
        <f>+IF('Qualitative Disclosures for AS'!G117="","",'Qualitative Disclosures for AS'!G117)</f>
        <v/>
      </c>
      <c r="H43" s="229" t="str">
        <f>+IF('Qualitative Disclosures for AS'!H117="","",'Qualitative Disclosures for AS'!H117)</f>
        <v/>
      </c>
      <c r="I43" s="229" t="str">
        <f>+IF('Qualitative Disclosures for AS'!I117="","",'Qualitative Disclosures for AS'!I117)</f>
        <v/>
      </c>
      <c r="M43" s="42" t="str">
        <f t="shared" si="0"/>
        <v>Yes</v>
      </c>
    </row>
    <row r="44" spans="3:13" x14ac:dyDescent="0.25">
      <c r="C44" s="106" t="str">
        <f>+IF('Qualitative Disclosures for AS'!C118="","",'Qualitative Disclosures for AS'!C118)</f>
        <v>Present value of defined benefit obligation</v>
      </c>
      <c r="D44" s="831">
        <f>+IF('Qualitative Disclosures for AS'!D118="","",'Qualitative Disclosures for AS'!D118)</f>
        <v>88486.38</v>
      </c>
      <c r="E44" s="1172" t="str">
        <f>+IF('Qualitative Disclosures for AS'!E118="","",'Qualitative Disclosures for AS'!E118)</f>
        <v/>
      </c>
      <c r="F44" s="1172" t="str">
        <f>+IF('Qualitative Disclosures for AS'!F118="","",'Qualitative Disclosures for AS'!F118)</f>
        <v/>
      </c>
      <c r="G44" s="1213">
        <f>+IF('Qualitative Disclosures for AS'!G118="","",'Qualitative Disclosures for AS'!G118)</f>
        <v>68871.39</v>
      </c>
      <c r="H44" s="229" t="str">
        <f>+IF('Qualitative Disclosures for AS'!H118="","",'Qualitative Disclosures for AS'!H118)</f>
        <v/>
      </c>
      <c r="I44" s="229" t="str">
        <f>+IF('Qualitative Disclosures for AS'!I118="","",'Qualitative Disclosures for AS'!I118)</f>
        <v/>
      </c>
      <c r="M44" s="42" t="str">
        <f t="shared" si="0"/>
        <v>Yes</v>
      </c>
    </row>
    <row r="45" spans="3:13" x14ac:dyDescent="0.25">
      <c r="C45" s="106" t="str">
        <f>+IF('Qualitative Disclosures for AS'!C119="","",'Qualitative Disclosures for AS'!C119)</f>
        <v>Fair value of plan assets</v>
      </c>
      <c r="D45" s="831">
        <f>+IF('Qualitative Disclosures for AS'!D119="","",'Qualitative Disclosures for AS'!D119)</f>
        <v>85997.29</v>
      </c>
      <c r="E45" s="1172" t="str">
        <f>+IF('Qualitative Disclosures for AS'!E119="","",'Qualitative Disclosures for AS'!E119)</f>
        <v/>
      </c>
      <c r="F45" s="1172" t="str">
        <f>+IF('Qualitative Disclosures for AS'!F119="","",'Qualitative Disclosures for AS'!F119)</f>
        <v/>
      </c>
      <c r="G45" s="1213">
        <f>+IF('Qualitative Disclosures for AS'!G119="","",'Qualitative Disclosures for AS'!G119)</f>
        <v>69572.240000000005</v>
      </c>
      <c r="H45" s="229" t="str">
        <f>+IF('Qualitative Disclosures for AS'!H119="","",'Qualitative Disclosures for AS'!H119)</f>
        <v/>
      </c>
      <c r="I45" s="229" t="str">
        <f>+IF('Qualitative Disclosures for AS'!I119="","",'Qualitative Disclosures for AS'!I119)</f>
        <v/>
      </c>
      <c r="M45" s="42" t="str">
        <f t="shared" si="0"/>
        <v>Yes</v>
      </c>
    </row>
    <row r="46" spans="3:13" x14ac:dyDescent="0.25">
      <c r="C46" s="106" t="str">
        <f>+IF('Qualitative Disclosures for AS'!C120="","",'Qualitative Disclosures for AS'!C120)</f>
        <v>Funded status [Surplus / (Deficit)]</v>
      </c>
      <c r="D46" s="831">
        <f>+IF('Qualitative Disclosures for AS'!D120="","",'Qualitative Disclosures for AS'!D120)</f>
        <v>-2489.09</v>
      </c>
      <c r="E46" s="1172" t="str">
        <f>+IF('Qualitative Disclosures for AS'!E120="","",'Qualitative Disclosures for AS'!E120)</f>
        <v/>
      </c>
      <c r="F46" s="1172" t="str">
        <f>+IF('Qualitative Disclosures for AS'!F120="","",'Qualitative Disclosures for AS'!F120)</f>
        <v/>
      </c>
      <c r="G46" s="1213">
        <f>+IF('Qualitative Disclosures for AS'!G120="","",'Qualitative Disclosures for AS'!G120)</f>
        <v>700.85</v>
      </c>
      <c r="H46" s="229" t="str">
        <f>+IF('Qualitative Disclosures for AS'!H120="","",'Qualitative Disclosures for AS'!H120)</f>
        <v/>
      </c>
      <c r="I46" s="229" t="str">
        <f>+IF('Qualitative Disclosures for AS'!I120="","",'Qualitative Disclosures for AS'!I120)</f>
        <v/>
      </c>
      <c r="M46" s="42" t="str">
        <f t="shared" si="0"/>
        <v>Yes</v>
      </c>
    </row>
    <row r="47" spans="3:13" hidden="1" x14ac:dyDescent="0.25">
      <c r="C47" s="106" t="str">
        <f>+IF('Qualitative Disclosures for AS'!C121="","",'Qualitative Disclosures for AS'!C121)</f>
        <v>Unrecognised past service costs</v>
      </c>
      <c r="D47" s="831">
        <f>+IF('Qualitative Disclosures for AS'!D121="","",'Qualitative Disclosures for AS'!D121)</f>
        <v>0</v>
      </c>
      <c r="E47" s="1172" t="str">
        <f>+IF('Qualitative Disclosures for AS'!E121="","",'Qualitative Disclosures for AS'!E121)</f>
        <v/>
      </c>
      <c r="F47" s="1172" t="str">
        <f>+IF('Qualitative Disclosures for AS'!F121="","",'Qualitative Disclosures for AS'!F121)</f>
        <v/>
      </c>
      <c r="G47" s="1213">
        <f>+IF('Qualitative Disclosures for AS'!G121="","",'Qualitative Disclosures for AS'!G121)</f>
        <v>0</v>
      </c>
      <c r="H47" s="229" t="str">
        <f>+IF('Qualitative Disclosures for AS'!H121="","",'Qualitative Disclosures for AS'!H121)</f>
        <v/>
      </c>
      <c r="I47" s="229" t="str">
        <f>+IF('Qualitative Disclosures for AS'!I121="","",'Qualitative Disclosures for AS'!I121)</f>
        <v/>
      </c>
      <c r="M47" s="42" t="str">
        <f t="shared" si="0"/>
        <v>Yes</v>
      </c>
    </row>
    <row r="48" spans="3:13" x14ac:dyDescent="0.25">
      <c r="C48" s="2624" t="str">
        <f>+IF('Qualitative Disclosures for AS'!C122="","",'Qualitative Disclosures for AS'!C122)</f>
        <v>Net asset / (liability) recognised in the Balance Sheet</v>
      </c>
      <c r="D48" s="1958">
        <f>+IF('Qualitative Disclosures for AS'!D122="","",'Qualitative Disclosures for AS'!D122)</f>
        <v>-2489.09</v>
      </c>
      <c r="E48" s="1958" t="str">
        <f>+IF('Qualitative Disclosures for AS'!E122="","",'Qualitative Disclosures for AS'!E122)</f>
        <v/>
      </c>
      <c r="F48" s="1958" t="str">
        <f>+IF('Qualitative Disclosures for AS'!F122="","",'Qualitative Disclosures for AS'!F122)</f>
        <v/>
      </c>
      <c r="G48" s="1958">
        <f>+IF('Qualitative Disclosures for AS'!G122="","",'Qualitative Disclosures for AS'!G122)</f>
        <v>700.85</v>
      </c>
      <c r="H48" s="229" t="str">
        <f>+IF('Qualitative Disclosures for AS'!H122="","",'Qualitative Disclosures for AS'!H122)</f>
        <v/>
      </c>
      <c r="I48" s="229" t="str">
        <f>+IF('Qualitative Disclosures for AS'!I122="","",'Qualitative Disclosures for AS'!I122)</f>
        <v/>
      </c>
      <c r="M48" s="42" t="str">
        <f t="shared" si="0"/>
        <v>Yes</v>
      </c>
    </row>
    <row r="49" spans="3:13" x14ac:dyDescent="0.25">
      <c r="C49" s="101"/>
      <c r="D49" s="996"/>
      <c r="E49" s="996"/>
      <c r="F49" s="996"/>
      <c r="M49" s="42"/>
    </row>
    <row r="50" spans="3:13" hidden="1" x14ac:dyDescent="0.25">
      <c r="C50" s="17" t="str">
        <f>C11</f>
        <v>Note 21 Disclosures under Accounting Standards</v>
      </c>
      <c r="D50" s="17"/>
      <c r="M50" s="42" t="str" cm="1">
        <f t="array" ref="M50">IFERROR(INDEX(M29:M48, MATCH(TRUE,M29:M48="Yes",0)),"No")</f>
        <v>Yes</v>
      </c>
    </row>
    <row r="51" spans="3:13" x14ac:dyDescent="0.25">
      <c r="J51" s="102" t="s">
        <v>1</v>
      </c>
      <c r="K51" s="102"/>
    </row>
    <row r="52" spans="3:13" ht="15.95" customHeight="1" x14ac:dyDescent="0.25">
      <c r="C52" s="2888" t="str">
        <f>+IF('Qualitative Disclosures for AS'!C125="","",'Qualitative Disclosures for AS'!C125)</f>
        <v>Particulars</v>
      </c>
      <c r="D52" s="2889" t="str">
        <f>+IF('Qualitative Disclosures for AS'!D125="","",'Qualitative Disclosures for AS'!D125)</f>
        <v>As At 31st March 2025</v>
      </c>
      <c r="E52" s="2889" t="str">
        <f>+IF('Qualitative Disclosures for AS'!E125="","",'Qualitative Disclosures for AS'!E125)</f>
        <v/>
      </c>
      <c r="F52" s="2889" t="str">
        <f>+IF('Qualitative Disclosures for AS'!F125="","",'Qualitative Disclosures for AS'!F125)</f>
        <v/>
      </c>
      <c r="G52" s="2889" t="str">
        <f>+IF('Qualitative Disclosures for AS'!G125="","",'Qualitative Disclosures for AS'!G125)</f>
        <v>As At 31st March 2024</v>
      </c>
      <c r="H52" s="2889" t="str">
        <f>+IF('Qualitative Disclosures for AS'!H125="","",'Qualitative Disclosures for AS'!H125)</f>
        <v/>
      </c>
      <c r="I52" s="2889" t="str">
        <f>+IF('Qualitative Disclosures for AS'!I125="","",'Qualitative Disclosures for AS'!I125)</f>
        <v/>
      </c>
      <c r="J52" s="167"/>
    </row>
    <row r="53" spans="3:13" ht="27.6" customHeight="1" x14ac:dyDescent="0.25">
      <c r="C53" s="2888" t="str">
        <f>+IF('Qualitative Disclosures for AS'!C127="","",'Qualitative Disclosures for AS'!C127)</f>
        <v/>
      </c>
      <c r="D53" s="2629" t="str">
        <f>+IF('Qualitative Disclosures for AS'!D126="","",'Qualitative Disclosures for AS'!D126)</f>
        <v>Gratuity</v>
      </c>
      <c r="E53" s="2492" t="str">
        <f>+IF('Qualitative Disclosures for AS'!E126="","",'Qualitative Disclosures for AS'!E126)</f>
        <v>Post-employment medical benefits</v>
      </c>
      <c r="F53" s="2492" t="str">
        <f>+IF('Qualitative Disclosures for AS'!F126="","",'Qualitative Disclosures for AS'!F126)</f>
        <v>Other defined benefit plans (specify nature)</v>
      </c>
      <c r="G53" s="2629" t="str">
        <f>+IF('Qualitative Disclosures for AS'!G126="","",'Qualitative Disclosures for AS'!G126)</f>
        <v>Gratuity</v>
      </c>
      <c r="H53" s="2492" t="str">
        <f>+IF('Qualitative Disclosures for AS'!H126="","",'Qualitative Disclosures for AS'!H126)</f>
        <v>Post-employment medical benefits</v>
      </c>
      <c r="I53" s="2492" t="str">
        <f>+IF('Qualitative Disclosures for AS'!I126="","",'Qualitative Disclosures for AS'!I126)</f>
        <v>Other defined benefit plans (specify nature)</v>
      </c>
      <c r="J53" s="990"/>
    </row>
    <row r="54" spans="3:13" x14ac:dyDescent="0.25">
      <c r="C54" s="104"/>
      <c r="D54" s="995"/>
      <c r="E54" s="995"/>
      <c r="F54" s="995"/>
      <c r="G54" s="106"/>
      <c r="H54" s="106"/>
      <c r="I54" s="115"/>
    </row>
    <row r="55" spans="3:13" x14ac:dyDescent="0.25">
      <c r="C55" s="999" t="str">
        <f>+IF('Qualitative Disclosures for AS'!C128="","",'Qualitative Disclosures for AS'!C128)</f>
        <v xml:space="preserve">Change in defined benefit obligations (DBO) during the year </v>
      </c>
      <c r="D55" s="249" t="str">
        <f>+IF('Qualitative Disclosures for AS'!D128="","",'Qualitative Disclosures for AS'!D128)</f>
        <v/>
      </c>
      <c r="E55" s="249" t="str">
        <f>+IF('Qualitative Disclosures for AS'!E128="","",'Qualitative Disclosures for AS'!E128)</f>
        <v/>
      </c>
      <c r="F55" s="249" t="str">
        <f>+IF('Qualitative Disclosures for AS'!F128="","",'Qualitative Disclosures for AS'!F128)</f>
        <v/>
      </c>
      <c r="G55" s="249" t="str">
        <f>+IF('Qualitative Disclosures for AS'!G128="","",'Qualitative Disclosures for AS'!G128)</f>
        <v/>
      </c>
      <c r="H55" s="249" t="str">
        <f>+IF('Qualitative Disclosures for AS'!H128="","",'Qualitative Disclosures for AS'!H128)</f>
        <v/>
      </c>
      <c r="I55" s="1046" t="str">
        <f>+IF('Qualitative Disclosures for AS'!I128="","",'Qualitative Disclosures for AS'!I128)</f>
        <v/>
      </c>
      <c r="M55" s="42" t="str">
        <f t="shared" ref="M55:M94" si="1">IF(AND(D55=0,E55=0,F55=0,G55=0,H55=0,I55=0),"No","Yes")</f>
        <v>Yes</v>
      </c>
    </row>
    <row r="56" spans="3:13" x14ac:dyDescent="0.25">
      <c r="C56" s="106" t="str">
        <f>+IF('Qualitative Disclosures for AS'!C129="","",'Qualitative Disclosures for AS'!C129)</f>
        <v>Present value of DBO at beginning of the year</v>
      </c>
      <c r="D56" s="831">
        <f>+IF('Qualitative Disclosures for AS'!D129="","",'Qualitative Disclosures for AS'!D129)</f>
        <v>68871.39</v>
      </c>
      <c r="E56" s="831" t="str">
        <f>+IF('Qualitative Disclosures for AS'!E129="","",'Qualitative Disclosures for AS'!E129)</f>
        <v/>
      </c>
      <c r="F56" s="831" t="str">
        <f>+IF('Qualitative Disclosures for AS'!F129="","",'Qualitative Disclosures for AS'!F129)</f>
        <v/>
      </c>
      <c r="G56" s="831">
        <f>+IF('Qualitative Disclosures for AS'!G129="","",'Qualitative Disclosures for AS'!G129)</f>
        <v>45782.38</v>
      </c>
      <c r="H56" s="249" t="str">
        <f>+IF('Qualitative Disclosures for AS'!H129="","",'Qualitative Disclosures for AS'!H129)</f>
        <v/>
      </c>
      <c r="I56" s="1046" t="str">
        <f>+IF('Qualitative Disclosures for AS'!I129="","",'Qualitative Disclosures for AS'!I129)</f>
        <v/>
      </c>
      <c r="M56" s="42" t="str">
        <f t="shared" si="1"/>
        <v>Yes</v>
      </c>
    </row>
    <row r="57" spans="3:13" x14ac:dyDescent="0.25">
      <c r="C57" s="106" t="str">
        <f>+IF('Qualitative Disclosures for AS'!C130="","",'Qualitative Disclosures for AS'!C130)</f>
        <v xml:space="preserve">Current service cost </v>
      </c>
      <c r="D57" s="831">
        <f>+IF('Qualitative Disclosures for AS'!D130="","",'Qualitative Disclosures for AS'!D130)</f>
        <v>23202.03</v>
      </c>
      <c r="E57" s="831" t="str">
        <f>+IF('Qualitative Disclosures for AS'!E130="","",'Qualitative Disclosures for AS'!E130)</f>
        <v/>
      </c>
      <c r="F57" s="831" t="str">
        <f>+IF('Qualitative Disclosures for AS'!F130="","",'Qualitative Disclosures for AS'!F130)</f>
        <v/>
      </c>
      <c r="G57" s="831">
        <f>+IF('Qualitative Disclosures for AS'!G130="","",'Qualitative Disclosures for AS'!G130)</f>
        <v>21705.73</v>
      </c>
      <c r="H57" s="249" t="str">
        <f>+IF('Qualitative Disclosures for AS'!H130="","",'Qualitative Disclosures for AS'!H130)</f>
        <v/>
      </c>
      <c r="I57" s="1046" t="str">
        <f>+IF('Qualitative Disclosures for AS'!I130="","",'Qualitative Disclosures for AS'!I130)</f>
        <v/>
      </c>
      <c r="M57" s="42" t="str">
        <f t="shared" si="1"/>
        <v>Yes</v>
      </c>
    </row>
    <row r="58" spans="3:13" x14ac:dyDescent="0.25">
      <c r="C58" s="106" t="str">
        <f>+IF('Qualitative Disclosures for AS'!C131="","",'Qualitative Disclosures for AS'!C131)</f>
        <v xml:space="preserve">Interest cost </v>
      </c>
      <c r="D58" s="831">
        <f>+IF('Qualitative Disclosures for AS'!D131="","",'Qualitative Disclosures for AS'!D131)</f>
        <v>4903.6400000000003</v>
      </c>
      <c r="E58" s="831" t="str">
        <f>+IF('Qualitative Disclosures for AS'!E131="","",'Qualitative Disclosures for AS'!E131)</f>
        <v/>
      </c>
      <c r="F58" s="831" t="str">
        <f>+IF('Qualitative Disclosures for AS'!F131="","",'Qualitative Disclosures for AS'!F131)</f>
        <v/>
      </c>
      <c r="G58" s="831">
        <f>+IF('Qualitative Disclosures for AS'!G131="","",'Qualitative Disclosures for AS'!G131)</f>
        <v>3378.74</v>
      </c>
      <c r="H58" s="249" t="str">
        <f>+IF('Qualitative Disclosures for AS'!H131="","",'Qualitative Disclosures for AS'!H131)</f>
        <v/>
      </c>
      <c r="I58" s="1046" t="str">
        <f>+IF('Qualitative Disclosures for AS'!I131="","",'Qualitative Disclosures for AS'!I131)</f>
        <v/>
      </c>
      <c r="M58" s="42" t="str">
        <f t="shared" si="1"/>
        <v>Yes</v>
      </c>
    </row>
    <row r="59" spans="3:13" hidden="1" x14ac:dyDescent="0.25">
      <c r="C59" s="106" t="str">
        <f>+IF('Qualitative Disclosures for AS'!C132="","",'Qualitative Disclosures for AS'!C132)</f>
        <v>Curtailment cost / (credit)</v>
      </c>
      <c r="D59" s="831">
        <f>+IF('Qualitative Disclosures for AS'!D132="","",'Qualitative Disclosures for AS'!D132)</f>
        <v>0</v>
      </c>
      <c r="E59" s="831" t="str">
        <f>+IF('Qualitative Disclosures for AS'!E132="","",'Qualitative Disclosures for AS'!E132)</f>
        <v/>
      </c>
      <c r="F59" s="831" t="str">
        <f>+IF('Qualitative Disclosures for AS'!F132="","",'Qualitative Disclosures for AS'!F132)</f>
        <v/>
      </c>
      <c r="G59" s="831">
        <f>+IF('Qualitative Disclosures for AS'!G132="","",'Qualitative Disclosures for AS'!G132)</f>
        <v>0</v>
      </c>
      <c r="H59" s="249" t="str">
        <f>+IF('Qualitative Disclosures for AS'!H132="","",'Qualitative Disclosures for AS'!H132)</f>
        <v/>
      </c>
      <c r="I59" s="1046" t="str">
        <f>+IF('Qualitative Disclosures for AS'!I132="","",'Qualitative Disclosures for AS'!I132)</f>
        <v/>
      </c>
      <c r="M59" s="42" t="str">
        <f t="shared" si="1"/>
        <v>Yes</v>
      </c>
    </row>
    <row r="60" spans="3:13" hidden="1" x14ac:dyDescent="0.25">
      <c r="C60" s="106" t="str">
        <f>+IF('Qualitative Disclosures for AS'!C133="","",'Qualitative Disclosures for AS'!C133)</f>
        <v>Settlement cost / (credit)</v>
      </c>
      <c r="D60" s="831">
        <f>+IF('Qualitative Disclosures for AS'!D133="","",'Qualitative Disclosures for AS'!D133)</f>
        <v>0</v>
      </c>
      <c r="E60" s="831" t="str">
        <f>+IF('Qualitative Disclosures for AS'!E133="","",'Qualitative Disclosures for AS'!E133)</f>
        <v/>
      </c>
      <c r="F60" s="831" t="str">
        <f>+IF('Qualitative Disclosures for AS'!F133="","",'Qualitative Disclosures for AS'!F133)</f>
        <v/>
      </c>
      <c r="G60" s="831">
        <f>+IF('Qualitative Disclosures for AS'!G133="","",'Qualitative Disclosures for AS'!G133)</f>
        <v>0</v>
      </c>
      <c r="H60" s="249" t="str">
        <f>+IF('Qualitative Disclosures for AS'!H133="","",'Qualitative Disclosures for AS'!H133)</f>
        <v/>
      </c>
      <c r="I60" s="1046" t="str">
        <f>+IF('Qualitative Disclosures for AS'!I133="","",'Qualitative Disclosures for AS'!I133)</f>
        <v/>
      </c>
      <c r="M60" s="42" t="str">
        <f t="shared" si="1"/>
        <v>Yes</v>
      </c>
    </row>
    <row r="61" spans="3:13" hidden="1" x14ac:dyDescent="0.25">
      <c r="C61" s="106" t="str">
        <f>+IF('Qualitative Disclosures for AS'!C134="","",'Qualitative Disclosures for AS'!C134)</f>
        <v>Plan amendments</v>
      </c>
      <c r="D61" s="831">
        <f>+IF('Qualitative Disclosures for AS'!D134="","",'Qualitative Disclosures for AS'!D134)</f>
        <v>0</v>
      </c>
      <c r="E61" s="831" t="str">
        <f>+IF('Qualitative Disclosures for AS'!E134="","",'Qualitative Disclosures for AS'!E134)</f>
        <v/>
      </c>
      <c r="F61" s="831" t="str">
        <f>+IF('Qualitative Disclosures for AS'!F134="","",'Qualitative Disclosures for AS'!F134)</f>
        <v/>
      </c>
      <c r="G61" s="831">
        <f>+IF('Qualitative Disclosures for AS'!G134="","",'Qualitative Disclosures for AS'!G134)</f>
        <v>0</v>
      </c>
      <c r="H61" s="249" t="str">
        <f>+IF('Qualitative Disclosures for AS'!H134="","",'Qualitative Disclosures for AS'!H134)</f>
        <v/>
      </c>
      <c r="I61" s="1046" t="str">
        <f>+IF('Qualitative Disclosures for AS'!I134="","",'Qualitative Disclosures for AS'!I134)</f>
        <v/>
      </c>
      <c r="M61" s="42" t="str">
        <f t="shared" si="1"/>
        <v>Yes</v>
      </c>
    </row>
    <row r="62" spans="3:13" hidden="1" x14ac:dyDescent="0.25">
      <c r="C62" s="106" t="str">
        <f>+IF('Qualitative Disclosures for AS'!C135="","",'Qualitative Disclosures for AS'!C135)</f>
        <v>Acquisitions</v>
      </c>
      <c r="D62" s="831">
        <f>+IF('Qualitative Disclosures for AS'!D135="","",'Qualitative Disclosures for AS'!D135)</f>
        <v>0</v>
      </c>
      <c r="E62" s="831" t="str">
        <f>+IF('Qualitative Disclosures for AS'!E135="","",'Qualitative Disclosures for AS'!E135)</f>
        <v/>
      </c>
      <c r="F62" s="831" t="str">
        <f>+IF('Qualitative Disclosures for AS'!F135="","",'Qualitative Disclosures for AS'!F135)</f>
        <v/>
      </c>
      <c r="G62" s="831">
        <f>+IF('Qualitative Disclosures for AS'!G135="","",'Qualitative Disclosures for AS'!G135)</f>
        <v>0</v>
      </c>
      <c r="H62" s="249" t="str">
        <f>+IF('Qualitative Disclosures for AS'!H135="","",'Qualitative Disclosures for AS'!H135)</f>
        <v/>
      </c>
      <c r="I62" s="1046" t="str">
        <f>+IF('Qualitative Disclosures for AS'!I135="","",'Qualitative Disclosures for AS'!I135)</f>
        <v/>
      </c>
      <c r="M62" s="42" t="str">
        <f t="shared" si="1"/>
        <v>Yes</v>
      </c>
    </row>
    <row r="63" spans="3:13" x14ac:dyDescent="0.25">
      <c r="C63" s="106" t="str">
        <f>+IF('Qualitative Disclosures for AS'!C136="","",'Qualitative Disclosures for AS'!C136)</f>
        <v>Actuarial (gains) / losses</v>
      </c>
      <c r="D63" s="831">
        <f>+IF('Qualitative Disclosures for AS'!D136="","",'Qualitative Disclosures for AS'!D136)</f>
        <v>-8490.68</v>
      </c>
      <c r="E63" s="831" t="str">
        <f>+IF('Qualitative Disclosures for AS'!E136="","",'Qualitative Disclosures for AS'!E136)</f>
        <v/>
      </c>
      <c r="F63" s="831" t="str">
        <f>+IF('Qualitative Disclosures for AS'!F136="","",'Qualitative Disclosures for AS'!F136)</f>
        <v/>
      </c>
      <c r="G63" s="831">
        <f>+IF('Qualitative Disclosures for AS'!G136="","",'Qualitative Disclosures for AS'!G136)</f>
        <v>-1995.46</v>
      </c>
      <c r="H63" s="249" t="str">
        <f>+IF('Qualitative Disclosures for AS'!H136="","",'Qualitative Disclosures for AS'!H136)</f>
        <v/>
      </c>
      <c r="I63" s="1046" t="str">
        <f>+IF('Qualitative Disclosures for AS'!I136="","",'Qualitative Disclosures for AS'!I136)</f>
        <v/>
      </c>
      <c r="M63" s="42" t="str">
        <f t="shared" si="1"/>
        <v>Yes</v>
      </c>
    </row>
    <row r="64" spans="3:13" hidden="1" x14ac:dyDescent="0.25">
      <c r="C64" s="106" t="str">
        <f>+IF('Qualitative Disclosures for AS'!C137="","",'Qualitative Disclosures for AS'!C137)</f>
        <v>Past service cost</v>
      </c>
      <c r="D64" s="831">
        <f>+IF('Qualitative Disclosures for AS'!D137="","",'Qualitative Disclosures for AS'!D137)</f>
        <v>0</v>
      </c>
      <c r="E64" s="831" t="str">
        <f>+IF('Qualitative Disclosures for AS'!E137="","",'Qualitative Disclosures for AS'!E137)</f>
        <v/>
      </c>
      <c r="F64" s="831" t="str">
        <f>+IF('Qualitative Disclosures for AS'!F137="","",'Qualitative Disclosures for AS'!F137)</f>
        <v/>
      </c>
      <c r="G64" s="831">
        <f>+IF('Qualitative Disclosures for AS'!G137="","",'Qualitative Disclosures for AS'!G137)</f>
        <v>0</v>
      </c>
      <c r="H64" s="249" t="str">
        <f>+IF('Qualitative Disclosures for AS'!H137="","",'Qualitative Disclosures for AS'!H137)</f>
        <v/>
      </c>
      <c r="I64" s="1046" t="str">
        <f>+IF('Qualitative Disclosures for AS'!I137="","",'Qualitative Disclosures for AS'!I137)</f>
        <v/>
      </c>
      <c r="M64" s="42" t="str">
        <f t="shared" si="1"/>
        <v>Yes</v>
      </c>
    </row>
    <row r="65" spans="3:13" hidden="1" x14ac:dyDescent="0.25">
      <c r="C65" s="106" t="str">
        <f>+IF('Qualitative Disclosures for AS'!C138="","",'Qualitative Disclosures for AS'!C138)</f>
        <v>Benefits paid</v>
      </c>
      <c r="D65" s="831">
        <f>+IF('Qualitative Disclosures for AS'!D138="","",'Qualitative Disclosures for AS'!D138)</f>
        <v>0</v>
      </c>
      <c r="E65" s="831" t="str">
        <f>+IF('Qualitative Disclosures for AS'!E138="","",'Qualitative Disclosures for AS'!E138)</f>
        <v/>
      </c>
      <c r="F65" s="831" t="str">
        <f>+IF('Qualitative Disclosures for AS'!F138="","",'Qualitative Disclosures for AS'!F138)</f>
        <v/>
      </c>
      <c r="G65" s="831">
        <f>+IF('Qualitative Disclosures for AS'!G138="","",'Qualitative Disclosures for AS'!G138)</f>
        <v>0</v>
      </c>
      <c r="H65" s="249" t="str">
        <f>+IF('Qualitative Disclosures for AS'!H138="","",'Qualitative Disclosures for AS'!H138)</f>
        <v/>
      </c>
      <c r="I65" s="1046" t="str">
        <f>+IF('Qualitative Disclosures for AS'!I138="","",'Qualitative Disclosures for AS'!I138)</f>
        <v/>
      </c>
      <c r="M65" s="42" t="str">
        <f t="shared" si="1"/>
        <v>Yes</v>
      </c>
    </row>
    <row r="66" spans="3:13" x14ac:dyDescent="0.25">
      <c r="C66" s="108" t="str">
        <f>+IF('Qualitative Disclosures for AS'!C139="","",'Qualitative Disclosures for AS'!C139)</f>
        <v>Present value of DBO at the end of the year</v>
      </c>
      <c r="D66" s="2662">
        <f>+IF('Qualitative Disclosures for AS'!D139="","",'Qualitative Disclosures for AS'!D139)</f>
        <v>88486.38</v>
      </c>
      <c r="E66" s="2662" t="str">
        <f>+IF('Qualitative Disclosures for AS'!E139="","",'Qualitative Disclosures for AS'!E139)</f>
        <v/>
      </c>
      <c r="F66" s="2662" t="str">
        <f>+IF('Qualitative Disclosures for AS'!F139="","",'Qualitative Disclosures for AS'!F139)</f>
        <v/>
      </c>
      <c r="G66" s="2662">
        <f>+IF('Qualitative Disclosures for AS'!G139="","",'Qualitative Disclosures for AS'!G139)</f>
        <v>68871.39</v>
      </c>
      <c r="H66" s="1047" t="str">
        <f>+IF('Qualitative Disclosures for AS'!H139="","",'Qualitative Disclosures for AS'!H139)</f>
        <v/>
      </c>
      <c r="I66" s="1048" t="str">
        <f>+IF('Qualitative Disclosures for AS'!I139="","",'Qualitative Disclosures for AS'!I139)</f>
        <v/>
      </c>
      <c r="M66" s="42" t="str">
        <f t="shared" si="1"/>
        <v>Yes</v>
      </c>
    </row>
    <row r="67" spans="3:13" x14ac:dyDescent="0.25">
      <c r="C67" s="106" t="str">
        <f>+IF('Qualitative Disclosures for AS'!C140="","",'Qualitative Disclosures for AS'!C140)</f>
        <v/>
      </c>
      <c r="D67" s="831" t="str">
        <f>+IF('Qualitative Disclosures for AS'!D140="","",'Qualitative Disclosures for AS'!D140)</f>
        <v/>
      </c>
      <c r="E67" s="831" t="str">
        <f>+IF('Qualitative Disclosures for AS'!E140="","",'Qualitative Disclosures for AS'!E140)</f>
        <v/>
      </c>
      <c r="F67" s="831" t="str">
        <f>+IF('Qualitative Disclosures for AS'!F140="","",'Qualitative Disclosures for AS'!F140)</f>
        <v/>
      </c>
      <c r="G67" s="831" t="str">
        <f>+IF('Qualitative Disclosures for AS'!G140="","",'Qualitative Disclosures for AS'!G140)</f>
        <v/>
      </c>
      <c r="H67" s="249" t="str">
        <f>+IF('Qualitative Disclosures for AS'!H140="","",'Qualitative Disclosures for AS'!H140)</f>
        <v/>
      </c>
      <c r="I67" s="1046" t="str">
        <f>+IF('Qualitative Disclosures for AS'!I140="","",'Qualitative Disclosures for AS'!I140)</f>
        <v/>
      </c>
      <c r="M67" s="42" t="str">
        <f t="shared" si="1"/>
        <v>Yes</v>
      </c>
    </row>
    <row r="68" spans="3:13" x14ac:dyDescent="0.25">
      <c r="C68" s="999" t="str">
        <f>+IF('Qualitative Disclosures for AS'!C141="","",'Qualitative Disclosures for AS'!C141)</f>
        <v xml:space="preserve">Change in fair value of assets during the year </v>
      </c>
      <c r="D68" s="831" t="str">
        <f>+IF('Qualitative Disclosures for AS'!D141="","",'Qualitative Disclosures for AS'!D141)</f>
        <v/>
      </c>
      <c r="E68" s="831" t="str">
        <f>+IF('Qualitative Disclosures for AS'!E141="","",'Qualitative Disclosures for AS'!E141)</f>
        <v/>
      </c>
      <c r="F68" s="831" t="str">
        <f>+IF('Qualitative Disclosures for AS'!F141="","",'Qualitative Disclosures for AS'!F141)</f>
        <v/>
      </c>
      <c r="G68" s="831" t="str">
        <f>+IF('Qualitative Disclosures for AS'!G141="","",'Qualitative Disclosures for AS'!G141)</f>
        <v/>
      </c>
      <c r="H68" s="249" t="str">
        <f>+IF('Qualitative Disclosures for AS'!H141="","",'Qualitative Disclosures for AS'!H141)</f>
        <v/>
      </c>
      <c r="I68" s="1046" t="str">
        <f>+IF('Qualitative Disclosures for AS'!I141="","",'Qualitative Disclosures for AS'!I141)</f>
        <v/>
      </c>
      <c r="M68" s="42" t="str">
        <f t="shared" si="1"/>
        <v>Yes</v>
      </c>
    </row>
    <row r="69" spans="3:13" x14ac:dyDescent="0.25">
      <c r="C69" s="106" t="str">
        <f>+IF('Qualitative Disclosures for AS'!C142="","",'Qualitative Disclosures for AS'!C142)</f>
        <v>Plan assets at beginning of the year</v>
      </c>
      <c r="D69" s="1878">
        <f>+IF('Qualitative Disclosures for AS'!D142="","",'Qualitative Disclosures for AS'!D142)</f>
        <v>69572.240000000005</v>
      </c>
      <c r="E69" s="1878" t="str">
        <f>+IF('Qualitative Disclosures for AS'!E142="","",'Qualitative Disclosures for AS'!E142)</f>
        <v/>
      </c>
      <c r="F69" s="1878" t="str">
        <f>+IF('Qualitative Disclosures for AS'!F142="","",'Qualitative Disclosures for AS'!F142)</f>
        <v/>
      </c>
      <c r="G69" s="831">
        <f>+IF('Qualitative Disclosures for AS'!G142="","",'Qualitative Disclosures for AS'!G142)</f>
        <v>64521.2</v>
      </c>
      <c r="H69" s="249" t="str">
        <f>+IF('Qualitative Disclosures for AS'!H142="","",'Qualitative Disclosures for AS'!H142)</f>
        <v/>
      </c>
      <c r="I69" s="1046" t="str">
        <f>+IF('Qualitative Disclosures for AS'!I142="","",'Qualitative Disclosures for AS'!I142)</f>
        <v/>
      </c>
      <c r="M69" s="42" t="str">
        <f t="shared" si="1"/>
        <v>Yes</v>
      </c>
    </row>
    <row r="70" spans="3:13" hidden="1" x14ac:dyDescent="0.25">
      <c r="C70" s="106" t="str">
        <f>+IF('Qualitative Disclosures for AS'!C143="","",'Qualitative Disclosures for AS'!C143)</f>
        <v>Acquisition adjustment</v>
      </c>
      <c r="D70" s="1878">
        <f>+IF('Qualitative Disclosures for AS'!D143="","",'Qualitative Disclosures for AS'!D143)</f>
        <v>0</v>
      </c>
      <c r="E70" s="1878" t="str">
        <f>+IF('Qualitative Disclosures for AS'!E143="","",'Qualitative Disclosures for AS'!E143)</f>
        <v/>
      </c>
      <c r="F70" s="1878" t="str">
        <f>+IF('Qualitative Disclosures for AS'!F143="","",'Qualitative Disclosures for AS'!F143)</f>
        <v/>
      </c>
      <c r="G70" s="831">
        <f>+IF('Qualitative Disclosures for AS'!G143="","",'Qualitative Disclosures for AS'!G143)</f>
        <v>0</v>
      </c>
      <c r="H70" s="249" t="str">
        <f>+IF('Qualitative Disclosures for AS'!H143="","",'Qualitative Disclosures for AS'!H143)</f>
        <v/>
      </c>
      <c r="I70" s="1046" t="str">
        <f>+IF('Qualitative Disclosures for AS'!I143="","",'Qualitative Disclosures for AS'!I143)</f>
        <v/>
      </c>
      <c r="M70" s="42" t="str">
        <f t="shared" si="1"/>
        <v>Yes</v>
      </c>
    </row>
    <row r="71" spans="3:13" x14ac:dyDescent="0.25">
      <c r="C71" s="106" t="str">
        <f>+IF('Qualitative Disclosures for AS'!C144="","",'Qualitative Disclosures for AS'!C144)</f>
        <v>Expected return on plan assets</v>
      </c>
      <c r="D71" s="1878">
        <f>+IF('Qualitative Disclosures for AS'!D144="","",'Qualitative Disclosures for AS'!D144)</f>
        <v>5435.89</v>
      </c>
      <c r="E71" s="1878" t="str">
        <f>+IF('Qualitative Disclosures for AS'!E144="","",'Qualitative Disclosures for AS'!E144)</f>
        <v/>
      </c>
      <c r="F71" s="1878" t="str">
        <f>+IF('Qualitative Disclosures for AS'!F144="","",'Qualitative Disclosures for AS'!F144)</f>
        <v/>
      </c>
      <c r="G71" s="831">
        <f>+IF('Qualitative Disclosures for AS'!G144="","",'Qualitative Disclosures for AS'!G144)</f>
        <v>4952.6099999999997</v>
      </c>
      <c r="H71" s="249" t="str">
        <f>+IF('Qualitative Disclosures for AS'!H144="","",'Qualitative Disclosures for AS'!H144)</f>
        <v/>
      </c>
      <c r="I71" s="1046" t="str">
        <f>+IF('Qualitative Disclosures for AS'!I144="","",'Qualitative Disclosures for AS'!I144)</f>
        <v/>
      </c>
      <c r="M71" s="42" t="str">
        <f t="shared" si="1"/>
        <v>Yes</v>
      </c>
    </row>
    <row r="72" spans="3:13" x14ac:dyDescent="0.25">
      <c r="C72" s="106" t="str">
        <f>+IF('Qualitative Disclosures for AS'!C145="","",'Qualitative Disclosures for AS'!C145)</f>
        <v>Actual company contributions</v>
      </c>
      <c r="D72" s="1878">
        <f>+IF('Qualitative Disclosures for AS'!D145="","",'Qualitative Disclosures for AS'!D145)</f>
        <v>10811.2</v>
      </c>
      <c r="E72" s="1878" t="str">
        <f>+IF('Qualitative Disclosures for AS'!E145="","",'Qualitative Disclosures for AS'!E145)</f>
        <v/>
      </c>
      <c r="F72" s="1878" t="str">
        <f>+IF('Qualitative Disclosures for AS'!F145="","",'Qualitative Disclosures for AS'!F145)</f>
        <v/>
      </c>
      <c r="G72" s="831">
        <f>+IF('Qualitative Disclosures for AS'!G145="","",'Qualitative Disclosures for AS'!G145)</f>
        <v>100</v>
      </c>
      <c r="H72" s="249" t="str">
        <f>+IF('Qualitative Disclosures for AS'!H145="","",'Qualitative Disclosures for AS'!H145)</f>
        <v/>
      </c>
      <c r="I72" s="1046" t="str">
        <f>+IF('Qualitative Disclosures for AS'!I145="","",'Qualitative Disclosures for AS'!I145)</f>
        <v/>
      </c>
      <c r="M72" s="42" t="str">
        <f t="shared" si="1"/>
        <v>Yes</v>
      </c>
    </row>
    <row r="73" spans="3:13" x14ac:dyDescent="0.25">
      <c r="C73" s="106" t="str">
        <f>+IF('Qualitative Disclosures for AS'!C146="","",'Qualitative Disclosures for AS'!C146)</f>
        <v>Actuarial gain / (loss)</v>
      </c>
      <c r="D73" s="831">
        <f>+IF('Qualitative Disclosures for AS'!D146="","",'Qualitative Disclosures for AS'!D146)</f>
        <v>177.96</v>
      </c>
      <c r="E73" s="1878" t="str">
        <f>+IF('Qualitative Disclosures for AS'!E146="","",'Qualitative Disclosures for AS'!E146)</f>
        <v/>
      </c>
      <c r="F73" s="1878" t="str">
        <f>+IF('Qualitative Disclosures for AS'!F146="","",'Qualitative Disclosures for AS'!F146)</f>
        <v/>
      </c>
      <c r="G73" s="831">
        <f>+IF('Qualitative Disclosures for AS'!G146="","",'Qualitative Disclosures for AS'!G146)</f>
        <v>-1.57</v>
      </c>
      <c r="H73" s="249" t="str">
        <f>+IF('Qualitative Disclosures for AS'!H146="","",'Qualitative Disclosures for AS'!H146)</f>
        <v/>
      </c>
      <c r="I73" s="1046" t="str">
        <f>+IF('Qualitative Disclosures for AS'!I146="","",'Qualitative Disclosures for AS'!I146)</f>
        <v/>
      </c>
      <c r="M73" s="42" t="str">
        <f t="shared" si="1"/>
        <v>Yes</v>
      </c>
    </row>
    <row r="74" spans="3:13" hidden="1" x14ac:dyDescent="0.25">
      <c r="C74" s="106" t="str">
        <f>+IF('Qualitative Disclosures for AS'!C147="","",'Qualitative Disclosures for AS'!C147)</f>
        <v>Benefits paid</v>
      </c>
      <c r="D74" s="831">
        <f>+IF('Qualitative Disclosures for AS'!D147="","",'Qualitative Disclosures for AS'!D147)</f>
        <v>0</v>
      </c>
      <c r="E74" s="1878" t="str">
        <f>+IF('Qualitative Disclosures for AS'!E147="","",'Qualitative Disclosures for AS'!E147)</f>
        <v/>
      </c>
      <c r="F74" s="1878" t="str">
        <f>+IF('Qualitative Disclosures for AS'!F147="","",'Qualitative Disclosures for AS'!F147)</f>
        <v/>
      </c>
      <c r="G74" s="831">
        <f>+IF('Qualitative Disclosures for AS'!G147="","",'Qualitative Disclosures for AS'!G147)</f>
        <v>0</v>
      </c>
      <c r="H74" s="249" t="str">
        <f>+IF('Qualitative Disclosures for AS'!H147="","",'Qualitative Disclosures for AS'!H147)</f>
        <v/>
      </c>
      <c r="I74" s="1046" t="str">
        <f>+IF('Qualitative Disclosures for AS'!I147="","",'Qualitative Disclosures for AS'!I147)</f>
        <v/>
      </c>
      <c r="M74" s="42" t="str">
        <f t="shared" si="1"/>
        <v>Yes</v>
      </c>
    </row>
    <row r="75" spans="3:13" x14ac:dyDescent="0.25">
      <c r="C75" s="108" t="str">
        <f>+IF('Qualitative Disclosures for AS'!C148="","",'Qualitative Disclosures for AS'!C148)</f>
        <v>Plan assets at the end of the year</v>
      </c>
      <c r="D75" s="2663">
        <f>+IF('Qualitative Disclosures for AS'!D148="","",'Qualitative Disclosures for AS'!D148)</f>
        <v>85997.29</v>
      </c>
      <c r="E75" s="2663" t="str">
        <f>+IF('Qualitative Disclosures for AS'!E148="","",'Qualitative Disclosures for AS'!E148)</f>
        <v/>
      </c>
      <c r="F75" s="2663" t="str">
        <f>+IF('Qualitative Disclosures for AS'!F148="","",'Qualitative Disclosures for AS'!F148)</f>
        <v/>
      </c>
      <c r="G75" s="2662">
        <f>+IF('Qualitative Disclosures for AS'!G148="","",'Qualitative Disclosures for AS'!G148)</f>
        <v>69572.240000000005</v>
      </c>
      <c r="H75" s="1047" t="str">
        <f>+IF('Qualitative Disclosures for AS'!H148="","",'Qualitative Disclosures for AS'!H148)</f>
        <v/>
      </c>
      <c r="I75" s="1048" t="str">
        <f>+IF('Qualitative Disclosures for AS'!I148="","",'Qualitative Disclosures for AS'!I148)</f>
        <v/>
      </c>
      <c r="M75" s="42" t="str">
        <f t="shared" si="1"/>
        <v>Yes</v>
      </c>
    </row>
    <row r="76" spans="3:13" x14ac:dyDescent="0.25">
      <c r="C76" s="104" t="str">
        <f>+IF('Qualitative Disclosures for AS'!C149="","",'Qualitative Disclosures for AS'!C149)</f>
        <v/>
      </c>
      <c r="D76" s="843" t="str">
        <f>+IF('Qualitative Disclosures for AS'!D149="","",'Qualitative Disclosures for AS'!D149)</f>
        <v/>
      </c>
      <c r="E76" s="843" t="str">
        <f>+IF('Qualitative Disclosures for AS'!E149="","",'Qualitative Disclosures for AS'!E149)</f>
        <v/>
      </c>
      <c r="F76" s="843" t="str">
        <f>+IF('Qualitative Disclosures for AS'!F149="","",'Qualitative Disclosures for AS'!F149)</f>
        <v/>
      </c>
      <c r="G76" s="843" t="str">
        <f>+IF('Qualitative Disclosures for AS'!G149="","",'Qualitative Disclosures for AS'!G149)</f>
        <v/>
      </c>
      <c r="H76" s="251" t="str">
        <f>+IF('Qualitative Disclosures for AS'!H149="","",'Qualitative Disclosures for AS'!H149)</f>
        <v/>
      </c>
      <c r="I76" s="1045" t="str">
        <f>+IF('Qualitative Disclosures for AS'!I149="","",'Qualitative Disclosures for AS'!I149)</f>
        <v/>
      </c>
      <c r="M76" s="42" t="str">
        <f t="shared" si="1"/>
        <v>Yes</v>
      </c>
    </row>
    <row r="77" spans="3:13" x14ac:dyDescent="0.25">
      <c r="C77" s="108" t="str">
        <f>+IF('Qualitative Disclosures for AS'!C150="","",'Qualitative Disclosures for AS'!C150)</f>
        <v>Actual return on plan assets</v>
      </c>
      <c r="D77" s="1953">
        <f>+IF('Qualitative Disclosures for AS'!D150="","",'Qualitative Disclosures for AS'!D150)</f>
        <v>5613.85</v>
      </c>
      <c r="E77" s="1953" t="str">
        <f>+IF('Qualitative Disclosures for AS'!E150="","",'Qualitative Disclosures for AS'!E150)</f>
        <v/>
      </c>
      <c r="F77" s="1953" t="str">
        <f>+IF('Qualitative Disclosures for AS'!F150="","",'Qualitative Disclosures for AS'!F150)</f>
        <v/>
      </c>
      <c r="G77" s="1953">
        <f>+IF('Qualitative Disclosures for AS'!G150="","",'Qualitative Disclosures for AS'!G150)</f>
        <v>4951.04</v>
      </c>
      <c r="H77" s="1047" t="str">
        <f>+IF('Qualitative Disclosures for AS'!H150="","",'Qualitative Disclosures for AS'!H150)</f>
        <v/>
      </c>
      <c r="I77" s="1048" t="str">
        <f>+IF('Qualitative Disclosures for AS'!I150="","",'Qualitative Disclosures for AS'!I150)</f>
        <v/>
      </c>
      <c r="M77" s="42" t="str">
        <f t="shared" si="1"/>
        <v>Yes</v>
      </c>
    </row>
    <row r="78" spans="3:13" x14ac:dyDescent="0.25">
      <c r="C78" s="106" t="str">
        <f>+IF('Qualitative Disclosures for AS'!C151="","",'Qualitative Disclosures for AS'!C151)</f>
        <v/>
      </c>
      <c r="D78" s="249" t="str">
        <f>+IF('Qualitative Disclosures for AS'!D151="","",'Qualitative Disclosures for AS'!D151)</f>
        <v/>
      </c>
      <c r="E78" s="249" t="str">
        <f>+IF('Qualitative Disclosures for AS'!E151="","",'Qualitative Disclosures for AS'!E151)</f>
        <v/>
      </c>
      <c r="F78" s="249" t="str">
        <f>+IF('Qualitative Disclosures for AS'!F151="","",'Qualitative Disclosures for AS'!F151)</f>
        <v/>
      </c>
      <c r="G78" s="249" t="str">
        <f>+IF('Qualitative Disclosures for AS'!G151="","",'Qualitative Disclosures for AS'!G151)</f>
        <v/>
      </c>
      <c r="H78" s="249" t="str">
        <f>+IF('Qualitative Disclosures for AS'!H151="","",'Qualitative Disclosures for AS'!H151)</f>
        <v/>
      </c>
      <c r="I78" s="1046" t="str">
        <f>+IF('Qualitative Disclosures for AS'!I151="","",'Qualitative Disclosures for AS'!I151)</f>
        <v/>
      </c>
      <c r="M78" s="42" t="str">
        <f t="shared" si="1"/>
        <v>Yes</v>
      </c>
    </row>
    <row r="79" spans="3:13" x14ac:dyDescent="0.25">
      <c r="C79" s="999" t="str">
        <f>+IF('Qualitative Disclosures for AS'!C152="","",'Qualitative Disclosures for AS'!C152)</f>
        <v>Composition of the plan assets is as follows:</v>
      </c>
      <c r="D79" s="249" t="str">
        <f>+IF('Qualitative Disclosures for AS'!D152="","",'Qualitative Disclosures for AS'!D152)</f>
        <v/>
      </c>
      <c r="E79" s="249" t="str">
        <f>+IF('Qualitative Disclosures for AS'!E152="","",'Qualitative Disclosures for AS'!E152)</f>
        <v/>
      </c>
      <c r="F79" s="249" t="str">
        <f>+IF('Qualitative Disclosures for AS'!F152="","",'Qualitative Disclosures for AS'!F152)</f>
        <v/>
      </c>
      <c r="G79" s="249" t="str">
        <f>+IF('Qualitative Disclosures for AS'!G152="","",'Qualitative Disclosures for AS'!G152)</f>
        <v/>
      </c>
      <c r="H79" s="249" t="str">
        <f>+IF('Qualitative Disclosures for AS'!H152="","",'Qualitative Disclosures for AS'!H152)</f>
        <v/>
      </c>
      <c r="I79" s="1046" t="str">
        <f>+IF('Qualitative Disclosures for AS'!I152="","",'Qualitative Disclosures for AS'!I152)</f>
        <v/>
      </c>
      <c r="M79" s="42" t="str">
        <f t="shared" si="1"/>
        <v>Yes</v>
      </c>
    </row>
    <row r="80" spans="3:13" hidden="1" x14ac:dyDescent="0.25">
      <c r="C80" s="106" t="str">
        <f>+IF('Qualitative Disclosures for AS'!C154="","",'Qualitative Disclosures for AS'!C154)</f>
        <v>Government bonds</v>
      </c>
      <c r="D80" s="249">
        <f>+IF('Qualitative Disclosures for AS'!D154="","",'Qualitative Disclosures for AS'!D154)</f>
        <v>0</v>
      </c>
      <c r="E80" s="54" t="str">
        <f>+IF('Qualitative Disclosures for AS'!E154="","",'Qualitative Disclosures for AS'!E154)</f>
        <v/>
      </c>
      <c r="F80" s="54" t="str">
        <f>+IF('Qualitative Disclosures for AS'!F154="","",'Qualitative Disclosures for AS'!F154)</f>
        <v/>
      </c>
      <c r="G80" s="249">
        <f>+IF('Qualitative Disclosures for AS'!G154="","",'Qualitative Disclosures for AS'!G154)</f>
        <v>0</v>
      </c>
      <c r="H80" s="249" t="str">
        <f>+IF('Qualitative Disclosures for AS'!H154="","",'Qualitative Disclosures for AS'!H154)</f>
        <v/>
      </c>
      <c r="I80" s="1046" t="str">
        <f>+IF('Qualitative Disclosures for AS'!I154="","",'Qualitative Disclosures for AS'!I154)</f>
        <v/>
      </c>
      <c r="M80" s="42" t="str">
        <f t="shared" si="1"/>
        <v>Yes</v>
      </c>
    </row>
    <row r="81" spans="3:13" hidden="1" x14ac:dyDescent="0.25">
      <c r="C81" s="106" t="str">
        <f>+IF('Qualitative Disclosures for AS'!C155="","",'Qualitative Disclosures for AS'!C155)</f>
        <v>PSU bonds</v>
      </c>
      <c r="D81" s="249">
        <f>+IF('Qualitative Disclosures for AS'!D155="","",'Qualitative Disclosures for AS'!D155)</f>
        <v>0</v>
      </c>
      <c r="E81" s="54" t="str">
        <f>+IF('Qualitative Disclosures for AS'!E155="","",'Qualitative Disclosures for AS'!E155)</f>
        <v/>
      </c>
      <c r="F81" s="54" t="str">
        <f>+IF('Qualitative Disclosures for AS'!F155="","",'Qualitative Disclosures for AS'!F155)</f>
        <v/>
      </c>
      <c r="G81" s="249">
        <f>+IF('Qualitative Disclosures for AS'!G155="","",'Qualitative Disclosures for AS'!G155)</f>
        <v>0</v>
      </c>
      <c r="H81" s="249" t="str">
        <f>+IF('Qualitative Disclosures for AS'!H155="","",'Qualitative Disclosures for AS'!H155)</f>
        <v/>
      </c>
      <c r="I81" s="1046" t="str">
        <f>+IF('Qualitative Disclosures for AS'!I155="","",'Qualitative Disclosures for AS'!I155)</f>
        <v/>
      </c>
      <c r="M81" s="42" t="str">
        <f t="shared" si="1"/>
        <v>Yes</v>
      </c>
    </row>
    <row r="82" spans="3:13" hidden="1" x14ac:dyDescent="0.25">
      <c r="C82" s="106" t="str">
        <f>+IF('Qualitative Disclosures for AS'!C156="","",'Qualitative Disclosures for AS'!C156)</f>
        <v>Equity mutual funds</v>
      </c>
      <c r="D82" s="249">
        <f>+IF('Qualitative Disclosures for AS'!D156="","",'Qualitative Disclosures for AS'!D156)</f>
        <v>0</v>
      </c>
      <c r="E82" s="54" t="str">
        <f>+IF('Qualitative Disclosures for AS'!E156="","",'Qualitative Disclosures for AS'!E156)</f>
        <v/>
      </c>
      <c r="F82" s="54" t="str">
        <f>+IF('Qualitative Disclosures for AS'!F156="","",'Qualitative Disclosures for AS'!F156)</f>
        <v/>
      </c>
      <c r="G82" s="249">
        <f>+IF('Qualitative Disclosures for AS'!G156="","",'Qualitative Disclosures for AS'!G156)</f>
        <v>0</v>
      </c>
      <c r="H82" s="249" t="str">
        <f>+IF('Qualitative Disclosures for AS'!H156="","",'Qualitative Disclosures for AS'!H156)</f>
        <v/>
      </c>
      <c r="I82" s="1046" t="str">
        <f>+IF('Qualitative Disclosures for AS'!I156="","",'Qualitative Disclosures for AS'!I156)</f>
        <v/>
      </c>
      <c r="M82" s="42" t="str">
        <f t="shared" si="1"/>
        <v>Yes</v>
      </c>
    </row>
    <row r="83" spans="3:13" x14ac:dyDescent="0.25">
      <c r="C83" s="108" t="str">
        <f>+IF('Qualitative Disclosures for AS'!C157="","",'Qualitative Disclosures for AS'!C157)</f>
        <v>Funds managed by insurer</v>
      </c>
      <c r="D83" s="2496">
        <f>+IF('Qualitative Disclosures for AS'!D157="","",'Qualitative Disclosures for AS'!D157)</f>
        <v>1</v>
      </c>
      <c r="E83" s="2497" t="str">
        <f>+IF('Qualitative Disclosures for AS'!E157="","",'Qualitative Disclosures for AS'!E157)</f>
        <v/>
      </c>
      <c r="F83" s="2497" t="str">
        <f>+IF('Qualitative Disclosures for AS'!F157="","",'Qualitative Disclosures for AS'!F157)</f>
        <v/>
      </c>
      <c r="G83" s="2496">
        <f>+IF('Qualitative Disclosures for AS'!G157="","",'Qualitative Disclosures for AS'!G157)</f>
        <v>1</v>
      </c>
      <c r="H83" s="1047" t="str">
        <f>+IF('Qualitative Disclosures for AS'!H157="","",'Qualitative Disclosures for AS'!H157)</f>
        <v/>
      </c>
      <c r="I83" s="1048" t="str">
        <f>+IF('Qualitative Disclosures for AS'!I157="","",'Qualitative Disclosures for AS'!I157)</f>
        <v/>
      </c>
      <c r="M83" s="42" t="str">
        <f t="shared" si="1"/>
        <v>Yes</v>
      </c>
    </row>
    <row r="84" spans="3:13" x14ac:dyDescent="0.25">
      <c r="C84" s="106"/>
      <c r="D84" s="2419">
        <f>+D83</f>
        <v>1</v>
      </c>
      <c r="E84" s="2419" t="str">
        <f t="shared" ref="E84:G84" si="2">+E83</f>
        <v/>
      </c>
      <c r="F84" s="2419" t="str">
        <f t="shared" si="2"/>
        <v/>
      </c>
      <c r="G84" s="2419">
        <f t="shared" si="2"/>
        <v>1</v>
      </c>
      <c r="H84" s="249"/>
      <c r="I84" s="1046"/>
      <c r="M84" s="42"/>
    </row>
    <row r="85" spans="3:13" x14ac:dyDescent="0.25">
      <c r="C85" s="106" t="str">
        <f>+IF('Qualitative Disclosures for AS'!C158="","",'Qualitative Disclosures for AS'!C158)</f>
        <v/>
      </c>
      <c r="D85" s="249" t="str">
        <f>+IF('Qualitative Disclosures for AS'!D158="","",'Qualitative Disclosures for AS'!D158)</f>
        <v/>
      </c>
      <c r="E85" s="249" t="str">
        <f>+IF('Qualitative Disclosures for AS'!E158="","",'Qualitative Disclosures for AS'!E158)</f>
        <v/>
      </c>
      <c r="F85" s="249" t="str">
        <f>+IF('Qualitative Disclosures for AS'!F158="","",'Qualitative Disclosures for AS'!F158)</f>
        <v/>
      </c>
      <c r="G85" s="249" t="str">
        <f>+IF('Qualitative Disclosures for AS'!G158="","",'Qualitative Disclosures for AS'!G158)</f>
        <v/>
      </c>
      <c r="H85" s="249" t="str">
        <f>+IF('Qualitative Disclosures for AS'!H158="","",'Qualitative Disclosures for AS'!H158)</f>
        <v/>
      </c>
      <c r="I85" s="1046" t="str">
        <f>+IF('Qualitative Disclosures for AS'!I158="","",'Qualitative Disclosures for AS'!I158)</f>
        <v/>
      </c>
      <c r="M85" s="42" t="str">
        <f t="shared" si="1"/>
        <v>Yes</v>
      </c>
    </row>
    <row r="86" spans="3:13" x14ac:dyDescent="0.25">
      <c r="C86" s="999" t="str">
        <f>+IF('Qualitative Disclosures for AS'!C159="","",'Qualitative Disclosures for AS'!C159)</f>
        <v>Actuarial assumptions</v>
      </c>
      <c r="D86" s="249" t="str">
        <f>+IF('Qualitative Disclosures for AS'!D159="","",'Qualitative Disclosures for AS'!D159)</f>
        <v/>
      </c>
      <c r="E86" s="249" t="str">
        <f>+IF('Qualitative Disclosures for AS'!E159="","",'Qualitative Disclosures for AS'!E159)</f>
        <v/>
      </c>
      <c r="F86" s="249" t="str">
        <f>+IF('Qualitative Disclosures for AS'!F159="","",'Qualitative Disclosures for AS'!F159)</f>
        <v/>
      </c>
      <c r="G86" s="249" t="str">
        <f>+IF('Qualitative Disclosures for AS'!G159="","",'Qualitative Disclosures for AS'!G159)</f>
        <v/>
      </c>
      <c r="H86" s="249" t="str">
        <f>+IF('Qualitative Disclosures for AS'!H159="","",'Qualitative Disclosures for AS'!H159)</f>
        <v/>
      </c>
      <c r="I86" s="1046" t="str">
        <f>+IF('Qualitative Disclosures for AS'!I159="","",'Qualitative Disclosures for AS'!I159)</f>
        <v/>
      </c>
      <c r="M86" s="42" t="str">
        <f t="shared" si="1"/>
        <v>Yes</v>
      </c>
    </row>
    <row r="87" spans="3:13" x14ac:dyDescent="0.25">
      <c r="C87" s="106" t="str">
        <f>+IF('Qualitative Disclosures for AS'!C160="","",'Qualitative Disclosures for AS'!C160)</f>
        <v>Discount rate</v>
      </c>
      <c r="D87" s="2493">
        <f>+IF('Qualitative Disclosures for AS'!D160="","",'Qualitative Disclosures for AS'!D160)</f>
        <v>6.9000000000000006E-2</v>
      </c>
      <c r="E87" s="2493" t="str">
        <f>+IF('Qualitative Disclosures for AS'!E160="","",'Qualitative Disclosures for AS'!E160)</f>
        <v/>
      </c>
      <c r="F87" s="2493" t="str">
        <f>+IF('Qualitative Disclosures for AS'!F160="","",'Qualitative Disclosures for AS'!F160)</f>
        <v/>
      </c>
      <c r="G87" s="2419">
        <f>+IF('Qualitative Disclosures for AS'!G160="","",'Qualitative Disclosures for AS'!G160)</f>
        <v>7.1199999999999999E-2</v>
      </c>
      <c r="H87" s="249" t="str">
        <f>+IF('Qualitative Disclosures for AS'!H160="","",'Qualitative Disclosures for AS'!H160)</f>
        <v/>
      </c>
      <c r="I87" s="1046" t="str">
        <f>+IF('Qualitative Disclosures for AS'!I160="","",'Qualitative Disclosures for AS'!I160)</f>
        <v/>
      </c>
      <c r="M87" s="42" t="str">
        <f t="shared" si="1"/>
        <v>Yes</v>
      </c>
    </row>
    <row r="88" spans="3:13" x14ac:dyDescent="0.25">
      <c r="C88" s="106" t="str">
        <f>+IF('Qualitative Disclosures for AS'!C161="","",'Qualitative Disclosures for AS'!C161)</f>
        <v>Expected return on plan assets</v>
      </c>
      <c r="D88" s="2493">
        <f>+IF('Qualitative Disclosures for AS'!D161="","",'Qualitative Disclosures for AS'!D161)</f>
        <v>7.2499999999999995E-2</v>
      </c>
      <c r="E88" s="2493" t="str">
        <f>+IF('Qualitative Disclosures for AS'!E161="","",'Qualitative Disclosures for AS'!E161)</f>
        <v/>
      </c>
      <c r="F88" s="2493" t="str">
        <f>+IF('Qualitative Disclosures for AS'!F161="","",'Qualitative Disclosures for AS'!F161)</f>
        <v/>
      </c>
      <c r="G88" s="2419">
        <f>+IF('Qualitative Disclosures for AS'!G161="","",'Qualitative Disclosures for AS'!G161)</f>
        <v>7.6700000000000004E-2</v>
      </c>
      <c r="H88" s="249" t="str">
        <f>+IF('Qualitative Disclosures for AS'!H161="","",'Qualitative Disclosures for AS'!H161)</f>
        <v/>
      </c>
      <c r="I88" s="1046" t="str">
        <f>+IF('Qualitative Disclosures for AS'!I161="","",'Qualitative Disclosures for AS'!I161)</f>
        <v/>
      </c>
      <c r="M88" s="42" t="str">
        <f t="shared" si="1"/>
        <v>Yes</v>
      </c>
    </row>
    <row r="89" spans="3:13" x14ac:dyDescent="0.25">
      <c r="C89" s="166" t="str">
        <f>+IF('Qualitative Disclosures for AS'!C162="","",'Qualitative Disclosures for AS'!C162)</f>
        <v>Salary escalation</v>
      </c>
      <c r="D89" s="2493">
        <f>+IF('Qualitative Disclosures for AS'!D162="","",'Qualitative Disclosures for AS'!D162)</f>
        <v>0.06</v>
      </c>
      <c r="E89" s="2494" t="str">
        <f>+IF('Qualitative Disclosures for AS'!E162="","",'Qualitative Disclosures for AS'!E162)</f>
        <v/>
      </c>
      <c r="F89" s="2494" t="str">
        <f>+IF('Qualitative Disclosures for AS'!F162="","",'Qualitative Disclosures for AS'!F162)</f>
        <v/>
      </c>
      <c r="G89" s="2419">
        <f>+IF('Qualitative Disclosures for AS'!G162="","",'Qualitative Disclosures for AS'!G162)</f>
        <v>0.06</v>
      </c>
      <c r="H89" s="249" t="str">
        <f>+IF('Qualitative Disclosures for AS'!H162="","",'Qualitative Disclosures for AS'!H162)</f>
        <v/>
      </c>
      <c r="I89" s="1046" t="str">
        <f>+IF('Qualitative Disclosures for AS'!I162="","",'Qualitative Disclosures for AS'!I162)</f>
        <v/>
      </c>
      <c r="M89" s="42" t="str">
        <f t="shared" si="1"/>
        <v>Yes</v>
      </c>
    </row>
    <row r="90" spans="3:13" x14ac:dyDescent="0.25">
      <c r="C90" s="1007" t="str">
        <f>+IF('Qualitative Disclosures for AS'!C163="","",'Qualitative Disclosures for AS'!C163)</f>
        <v>Attrition</v>
      </c>
      <c r="D90" s="2497">
        <f>+IF('Qualitative Disclosures for AS'!D163="","",'Qualitative Disclosures for AS'!D163)</f>
        <v>0.02</v>
      </c>
      <c r="E90" s="2625" t="str">
        <f>+IF('Qualitative Disclosures for AS'!E163="","",'Qualitative Disclosures for AS'!E163)</f>
        <v/>
      </c>
      <c r="F90" s="2625" t="str">
        <f>+IF('Qualitative Disclosures for AS'!F163="","",'Qualitative Disclosures for AS'!F163)</f>
        <v/>
      </c>
      <c r="G90" s="2496">
        <f>+IF('Qualitative Disclosures for AS'!G163="","",'Qualitative Disclosures for AS'!G163)</f>
        <v>0.02</v>
      </c>
      <c r="H90" s="249" t="str">
        <f>+IF('Qualitative Disclosures for AS'!H163="","",'Qualitative Disclosures for AS'!H163)</f>
        <v/>
      </c>
      <c r="I90" s="1046" t="str">
        <f>+IF('Qualitative Disclosures for AS'!I163="","",'Qualitative Disclosures for AS'!I163)</f>
        <v/>
      </c>
      <c r="M90" s="42" t="str">
        <f t="shared" si="1"/>
        <v>Yes</v>
      </c>
    </row>
    <row r="91" spans="3:13" hidden="1" x14ac:dyDescent="0.25">
      <c r="C91" s="88" t="str">
        <f>+IF('Qualitative Disclosures for AS'!C164="","",'Qualitative Disclosures for AS'!C164)</f>
        <v>Medical cost inflation</v>
      </c>
      <c r="D91" s="54">
        <f>+IF('Qualitative Disclosures for AS'!D164="","",'Qualitative Disclosures for AS'!D164)</f>
        <v>0</v>
      </c>
      <c r="E91" s="54" t="str">
        <f>+IF('Qualitative Disclosures for AS'!E164="","",'Qualitative Disclosures for AS'!E164)</f>
        <v/>
      </c>
      <c r="F91" s="54" t="str">
        <f>+IF('Qualitative Disclosures for AS'!F164="","",'Qualitative Disclosures for AS'!F164)</f>
        <v/>
      </c>
      <c r="G91" s="249">
        <f>+IF('Qualitative Disclosures for AS'!G164="","",'Qualitative Disclosures for AS'!G164)</f>
        <v>0</v>
      </c>
      <c r="H91" s="249" t="str">
        <f>+IF('Qualitative Disclosures for AS'!H164="","",'Qualitative Disclosures for AS'!H164)</f>
        <v/>
      </c>
      <c r="I91" s="1046" t="str">
        <f>+IF('Qualitative Disclosures for AS'!I164="","",'Qualitative Disclosures for AS'!I164)</f>
        <v/>
      </c>
      <c r="M91" s="42" t="str">
        <f t="shared" si="1"/>
        <v>Yes</v>
      </c>
    </row>
    <row r="92" spans="3:13" ht="17.25" hidden="1" thickBot="1" x14ac:dyDescent="0.3">
      <c r="C92" s="2606" t="str">
        <f>+IF('Qualitative Disclosures for AS'!C165="","",'Qualitative Disclosures for AS'!C165)</f>
        <v>Mortality tables</v>
      </c>
      <c r="D92" s="2607" t="str">
        <f>+IF('Qualitative Disclosures for AS'!D165="","",'Qualitative Disclosures for AS'!D165)</f>
        <v>IALM(2012-14) ult</v>
      </c>
      <c r="E92" s="2607" t="str">
        <f>+IF('Qualitative Disclosures for AS'!E165="","",'Qualitative Disclosures for AS'!E165)</f>
        <v/>
      </c>
      <c r="F92" s="2607" t="str">
        <f>+IF('Qualitative Disclosures for AS'!F165="","",'Qualitative Disclosures for AS'!F165)</f>
        <v/>
      </c>
      <c r="G92" s="1049" t="str">
        <f>+IF('Qualitative Disclosures for AS'!G165="","",'Qualitative Disclosures for AS'!G165)</f>
        <v>IALM(2012-14) ult</v>
      </c>
      <c r="H92" s="1049" t="str">
        <f>+IF('Qualitative Disclosures for AS'!H165="","",'Qualitative Disclosures for AS'!H165)</f>
        <v/>
      </c>
      <c r="I92" s="1050" t="str">
        <f>+IF('Qualitative Disclosures for AS'!I165="","",'Qualitative Disclosures for AS'!I165)</f>
        <v/>
      </c>
      <c r="M92" s="42" t="str">
        <f t="shared" si="1"/>
        <v>Yes</v>
      </c>
    </row>
    <row r="93" spans="3:13" ht="18" hidden="1" customHeight="1" x14ac:dyDescent="0.25">
      <c r="C93" s="1007" t="str">
        <f>+IF('Qualitative Disclosures for AS'!C166="","",'Qualitative Disclosures for AS'!C166)</f>
        <v>Performance percentage considered</v>
      </c>
      <c r="D93" s="1052">
        <f>+IF('Qualitative Disclosures for AS'!D166="","",'Qualitative Disclosures for AS'!D166)</f>
        <v>0</v>
      </c>
      <c r="E93" s="1052" t="str">
        <f>+IF('Qualitative Disclosures for AS'!E166="","",'Qualitative Disclosures for AS'!E166)</f>
        <v/>
      </c>
      <c r="F93" s="1052" t="str">
        <f>+IF('Qualitative Disclosures for AS'!F166="","",'Qualitative Disclosures for AS'!F166)</f>
        <v/>
      </c>
      <c r="G93" s="1047">
        <f>+IF('Qualitative Disclosures for AS'!G166="","",'Qualitative Disclosures for AS'!G166)</f>
        <v>0</v>
      </c>
      <c r="H93" s="1047" t="str">
        <f>+IF('Qualitative Disclosures for AS'!H166="","",'Qualitative Disclosures for AS'!H166)</f>
        <v/>
      </c>
      <c r="I93" s="1048" t="str">
        <f>+IF('Qualitative Disclosures for AS'!I166="","",'Qualitative Disclosures for AS'!I166)</f>
        <v/>
      </c>
      <c r="M93" s="42" t="str">
        <f t="shared" si="1"/>
        <v>Yes</v>
      </c>
    </row>
    <row r="94" spans="3:13" ht="33.950000000000003" hidden="1" customHeight="1" thickBot="1" x14ac:dyDescent="0.3">
      <c r="C94" s="1009" t="str">
        <f>+IF('Qualitative Disclosures for AS'!C167="","",'Qualitative Disclosures for AS'!C167)</f>
        <v>Estimate of amount of contribution in the immediate next year</v>
      </c>
      <c r="D94" s="1049" t="str">
        <f>+IF('Qualitative Disclosures for AS'!D167="","",'Qualitative Disclosures for AS'!D167)</f>
        <v/>
      </c>
      <c r="E94" s="1049" t="str">
        <f>+IF('Qualitative Disclosures for AS'!E167="","",'Qualitative Disclosures for AS'!E167)</f>
        <v/>
      </c>
      <c r="F94" s="1049" t="str">
        <f>+IF('Qualitative Disclosures for AS'!F167="","",'Qualitative Disclosures for AS'!F167)</f>
        <v/>
      </c>
      <c r="G94" s="1049" t="str">
        <f>+IF('Qualitative Disclosures for AS'!G167="","",'Qualitative Disclosures for AS'!G167)</f>
        <v/>
      </c>
      <c r="H94" s="1049" t="str">
        <f>+IF('Qualitative Disclosures for AS'!H167="","",'Qualitative Disclosures for AS'!H167)</f>
        <v/>
      </c>
      <c r="I94" s="1050" t="str">
        <f>+IF('Qualitative Disclosures for AS'!I167="","",'Qualitative Disclosures for AS'!I167)</f>
        <v/>
      </c>
      <c r="M94" s="42" t="str">
        <f t="shared" si="1"/>
        <v>Yes</v>
      </c>
    </row>
    <row r="95" spans="3:13" ht="16.149999999999999" customHeight="1" x14ac:dyDescent="0.25">
      <c r="C95" s="147"/>
      <c r="M95" s="42"/>
    </row>
    <row r="96" spans="3:13" hidden="1" x14ac:dyDescent="0.25">
      <c r="C96" s="17" t="str">
        <f>C11</f>
        <v>Note 21 Disclosures under Accounting Standards</v>
      </c>
      <c r="D96" s="17"/>
      <c r="M96" s="42" t="str" cm="1">
        <f t="array" ref="M96">IFERROR(INDEX(M55:M94, MATCH(TRUE,M55:M94="Yes",0)),"No")</f>
        <v>Yes</v>
      </c>
    </row>
    <row r="97" spans="3:13" ht="17.25" hidden="1" thickBot="1" x14ac:dyDescent="0.3">
      <c r="D97" s="17"/>
    </row>
    <row r="98" spans="3:13" ht="14.45" hidden="1" customHeight="1" x14ac:dyDescent="0.25">
      <c r="C98" s="2890" t="s">
        <v>20</v>
      </c>
      <c r="D98" s="2891"/>
      <c r="E98" s="2891"/>
      <c r="F98" s="2891"/>
      <c r="G98" s="2891"/>
      <c r="H98" s="2891"/>
      <c r="I98" s="2892"/>
      <c r="J98" s="167"/>
    </row>
    <row r="99" spans="3:13" ht="14.45" customHeight="1" x14ac:dyDescent="0.25">
      <c r="C99" s="2626"/>
      <c r="D99" s="2626"/>
      <c r="E99" s="2626"/>
      <c r="F99" s="2626"/>
      <c r="G99" s="2626"/>
      <c r="H99" s="2626"/>
      <c r="I99" s="2627"/>
      <c r="J99" s="167"/>
    </row>
    <row r="100" spans="3:13" ht="86.25" customHeight="1" x14ac:dyDescent="0.25">
      <c r="C100" s="2893" t="str">
        <f>+IF('Qualitative Disclosures for AS'!C171="","",'Qualitative Disclosures for AS'!C171)</f>
        <v>The expected rate of return on plan assets is determined after considering several applicable factors such as  the composition of the plan assets, investment strategy, market scenario, etc.. In order to protect the capital and optimise returns within acceptable risk parameters, the plan assets are well diversified.
The discount rate is based on the prevailing market yields of Government of India securities as at the balance sheet date for the estimated term of the obligations.</v>
      </c>
      <c r="D100" s="2893" t="str">
        <f>+IF('Qualitative Disclosures for AS'!D172="","",'Qualitative Disclosures for AS'!D172)</f>
        <v/>
      </c>
      <c r="E100" s="2893" t="str">
        <f>+IF('Qualitative Disclosures for AS'!E172="","",'Qualitative Disclosures for AS'!E172)</f>
        <v/>
      </c>
      <c r="F100" s="2893" t="str">
        <f>+IF('Qualitative Disclosures for AS'!F172="","",'Qualitative Disclosures for AS'!F172)</f>
        <v/>
      </c>
      <c r="G100" s="2893" t="str">
        <f>+IF('Qualitative Disclosures for AS'!G172="","",'Qualitative Disclosures for AS'!G172)</f>
        <v/>
      </c>
      <c r="H100" s="2893" t="str">
        <f>+IF('Qualitative Disclosures for AS'!H172="","",'Qualitative Disclosures for AS'!H172)</f>
        <v/>
      </c>
      <c r="I100" s="2893" t="str">
        <f>+IF('Qualitative Disclosures for AS'!I172="","",'Qualitative Disclosures for AS'!I172)</f>
        <v/>
      </c>
      <c r="J100" s="1010"/>
    </row>
    <row r="101" spans="3:13" ht="37.15" customHeight="1" x14ac:dyDescent="0.25">
      <c r="C101" s="2894" t="str">
        <f>+IF('Qualitative Disclosures for AS'!C172="","",'Qualitative Disclosures for AS'!C172)</f>
        <v>The estimate of future salary increases considered, takes into account the inflation, seniority, promotion, increments and other relevant factors.</v>
      </c>
      <c r="D101" s="2894" t="str">
        <f>+IF('Qualitative Disclosures for AS'!D173="","",'Qualitative Disclosures for AS'!D173)</f>
        <v/>
      </c>
      <c r="E101" s="2894" t="str">
        <f>+IF('Qualitative Disclosures for AS'!E173="","",'Qualitative Disclosures for AS'!E173)</f>
        <v/>
      </c>
      <c r="F101" s="2894" t="str">
        <f>+IF('Qualitative Disclosures for AS'!F173="","",'Qualitative Disclosures for AS'!F173)</f>
        <v/>
      </c>
      <c r="G101" s="2894" t="str">
        <f>+IF('Qualitative Disclosures for AS'!G173="","",'Qualitative Disclosures for AS'!G173)</f>
        <v>`</v>
      </c>
      <c r="H101" s="2894" t="str">
        <f>+IF('Qualitative Disclosures for AS'!H173="","",'Qualitative Disclosures for AS'!H173)</f>
        <v/>
      </c>
      <c r="I101" s="2894" t="str">
        <f>+IF('Qualitative Disclosures for AS'!I173="","",'Qualitative Disclosures for AS'!I173)</f>
        <v/>
      </c>
      <c r="J101" s="1011"/>
    </row>
    <row r="102" spans="3:13" x14ac:dyDescent="0.25">
      <c r="C102" s="18"/>
      <c r="G102" s="167" t="s">
        <v>1</v>
      </c>
    </row>
    <row r="103" spans="3:13" ht="15.95" hidden="1" customHeight="1" x14ac:dyDescent="0.25">
      <c r="C103" s="2895" t="str">
        <f>+IF('Qualitative Disclosures for AS'!C174="","",'Qualitative Disclosures for AS'!C174)</f>
        <v>Effect of a 1% change in healthcare cost</v>
      </c>
      <c r="D103" s="2896" t="str">
        <f>BSCY</f>
        <v>As At 31st March 2025</v>
      </c>
      <c r="E103" s="2896"/>
      <c r="F103" s="2896" t="str">
        <f>BSPY</f>
        <v>As At 31st March 2024</v>
      </c>
      <c r="G103" s="2896"/>
    </row>
    <row r="104" spans="3:13" ht="30.75" hidden="1" customHeight="1" x14ac:dyDescent="0.25">
      <c r="C104" s="2895"/>
      <c r="D104" s="2630" t="str">
        <f>+IF('Qualitative Disclosures for AS'!D175="","",'Qualitative Disclosures for AS'!D175)</f>
        <v>Increase by 1%</v>
      </c>
      <c r="E104" s="2630" t="str">
        <f>+IF('Qualitative Disclosures for AS'!E175="","",'Qualitative Disclosures for AS'!E175)</f>
        <v>Decrease by 1%</v>
      </c>
      <c r="F104" s="2630" t="str">
        <f>+IF('Qualitative Disclosures for AS'!F175="","",'Qualitative Disclosures for AS'!F175)</f>
        <v>Increase by 1%</v>
      </c>
      <c r="G104" s="2630" t="str">
        <f>+IF('Qualitative Disclosures for AS'!G175="","",'Qualitative Disclosures for AS'!G175)</f>
        <v>Decrease by 1%</v>
      </c>
    </row>
    <row r="105" spans="3:13" hidden="1" x14ac:dyDescent="0.25">
      <c r="C105" s="41"/>
      <c r="D105" s="3"/>
      <c r="E105" s="3"/>
      <c r="F105" s="3"/>
      <c r="G105" s="3"/>
      <c r="M105" s="42" t="str">
        <f>IF(AND(D105=0,E105=0,F105=0,G105=0),"No","Yes")</f>
        <v>No</v>
      </c>
    </row>
    <row r="106" spans="3:13" hidden="1" x14ac:dyDescent="0.25">
      <c r="C106" s="3" t="str">
        <f>+IF('Qualitative Disclosures for AS'!C177="","",'Qualitative Disclosures for AS'!C177)</f>
        <v>Aggregate current service and interest cost</v>
      </c>
      <c r="D106" s="2631" t="str">
        <f>+IF('Qualitative Disclosures for AS'!D177="","",'Qualitative Disclosures for AS'!D177)</f>
        <v/>
      </c>
      <c r="E106" s="2631" t="str">
        <f>+IF('Qualitative Disclosures for AS'!E177="","",'Qualitative Disclosures for AS'!E177)</f>
        <v/>
      </c>
      <c r="F106" s="2631" t="str">
        <f>+IF('Qualitative Disclosures for AS'!F177="","",'Qualitative Disclosures for AS'!F177)</f>
        <v/>
      </c>
      <c r="G106" s="2631" t="str">
        <f>+IF('Qualitative Disclosures for AS'!G177="","",'Qualitative Disclosures for AS'!G177)</f>
        <v/>
      </c>
      <c r="M106" s="42" t="str">
        <f>IF(AND(D106=0,E106=0,F106=0,G106=0),"No","Yes")</f>
        <v>Yes</v>
      </c>
    </row>
    <row r="107" spans="3:13" hidden="1" x14ac:dyDescent="0.25">
      <c r="C107" s="41" t="str">
        <f>+IF('Qualitative Disclosures for AS'!C178="","",'Qualitative Disclosures for AS'!C178)</f>
        <v>Closing balance of obligation</v>
      </c>
      <c r="D107" s="2631" t="str">
        <f>+IF('Qualitative Disclosures for AS'!D178="","",'Qualitative Disclosures for AS'!D178)</f>
        <v/>
      </c>
      <c r="E107" s="2631" t="str">
        <f>+IF('Qualitative Disclosures for AS'!E178="","",'Qualitative Disclosures for AS'!E178)</f>
        <v/>
      </c>
      <c r="F107" s="2631" t="str">
        <f>+IF('Qualitative Disclosures for AS'!F178="","",'Qualitative Disclosures for AS'!F178)</f>
        <v/>
      </c>
      <c r="G107" s="2631" t="str">
        <f>+IF('Qualitative Disclosures for AS'!G178="","",'Qualitative Disclosures for AS'!G178)</f>
        <v/>
      </c>
      <c r="M107" s="42" t="str">
        <f>IF(AND(D107=0,E107=0,F107=0,G107=0),"No","Yes")</f>
        <v>Yes</v>
      </c>
    </row>
    <row r="108" spans="3:13" hidden="1" x14ac:dyDescent="0.25">
      <c r="C108" s="41"/>
      <c r="D108" s="3"/>
      <c r="E108" s="3"/>
      <c r="F108" s="3"/>
      <c r="G108" s="3"/>
      <c r="M108" s="42" t="str" cm="1">
        <f t="array" ref="M108">IFERROR(INDEX(M105:M107, MATCH(TRUE,M105:M107="Yes",0)),"No")</f>
        <v>Yes</v>
      </c>
    </row>
    <row r="109" spans="3:13" x14ac:dyDescent="0.25">
      <c r="C109" s="1034" t="str">
        <f>+IF('Qualitative Disclosures for AS'!C180="","",'Qualitative Disclosures for AS'!C180)</f>
        <v xml:space="preserve">Experience adjustments </v>
      </c>
      <c r="D109" s="1012"/>
      <c r="E109" s="1012"/>
      <c r="F109" s="1012"/>
      <c r="G109" s="1012"/>
      <c r="H109" s="167" t="s">
        <v>1</v>
      </c>
    </row>
    <row r="110" spans="3:13" x14ac:dyDescent="0.25">
      <c r="C110" s="2634" t="str">
        <f>+IF('Qualitative Disclosures for AS'!C181="","",'Qualitative Disclosures for AS'!C181)</f>
        <v/>
      </c>
      <c r="D110" s="2605" t="str">
        <f>+IF('Qualitative Disclosures for AS'!D181="","",'Qualitative Disclosures for AS'!D181)</f>
        <v>2024-25</v>
      </c>
      <c r="E110" s="2605" t="str">
        <f>+IF('Qualitative Disclosures for AS'!E181="","",'Qualitative Disclosures for AS'!E181)</f>
        <v>2023-24</v>
      </c>
      <c r="F110" s="2605" t="str">
        <f>+IF('Qualitative Disclosures for AS'!F181="","",'Qualitative Disclosures for AS'!F181)</f>
        <v>2022-23</v>
      </c>
      <c r="G110" s="2605" t="s">
        <v>3499</v>
      </c>
      <c r="H110" s="2605" t="str">
        <f>+IF('Qualitative Disclosures for AS'!H181="","",'Qualitative Disclosures for AS'!H181)</f>
        <v>4th prior year</v>
      </c>
      <c r="I110" s="2635"/>
      <c r="J110" s="2605" t="str">
        <f>+'Qualitative Disclosures for AS'!F181</f>
        <v>2022-23</v>
      </c>
    </row>
    <row r="111" spans="3:13" x14ac:dyDescent="0.25">
      <c r="C111" s="2632" t="str">
        <f>+IF('Qualitative Disclosures for AS'!C182="","",'Qualitative Disclosures for AS'!C182)</f>
        <v>Gratuity</v>
      </c>
      <c r="D111" s="2632" t="str">
        <f>+IF('Qualitative Disclosures for AS'!D182="","",'Qualitative Disclosures for AS'!D182)</f>
        <v/>
      </c>
      <c r="E111" s="2632" t="str">
        <f>+IF('Qualitative Disclosures for AS'!E182="","",'Qualitative Disclosures for AS'!E182)</f>
        <v/>
      </c>
      <c r="F111" s="2632" t="str">
        <f>+IF('Qualitative Disclosures for AS'!F182="","",'Qualitative Disclosures for AS'!F182)</f>
        <v/>
      </c>
      <c r="G111" s="2633" t="str">
        <f>+IF('Qualitative Disclosures for AS'!G182="","",'Qualitative Disclosures for AS'!G182)</f>
        <v/>
      </c>
      <c r="H111" s="2632" t="str">
        <f>+IF('Qualitative Disclosures for AS'!H182="","",'Qualitative Disclosures for AS'!H182)</f>
        <v/>
      </c>
      <c r="I111" s="87"/>
      <c r="J111" s="2633"/>
    </row>
    <row r="112" spans="3:13" x14ac:dyDescent="0.25">
      <c r="C112" s="1038" t="str">
        <f>+IF('Qualitative Disclosures for AS'!C183="","",'Qualitative Disclosures for AS'!C183)</f>
        <v>Present value of DBO</v>
      </c>
      <c r="D112" s="251">
        <f>+IF('Qualitative Disclosures for AS'!D183="","",'Qualitative Disclosures for AS'!D183)</f>
        <v>88486.38</v>
      </c>
      <c r="E112" s="251">
        <f>+IF('Qualitative Disclosures for AS'!E183="","",'Qualitative Disclosures for AS'!E183)</f>
        <v>68871.39</v>
      </c>
      <c r="F112" s="2448">
        <f>+IF('Qualitative Disclosures for AS'!F183="","",'Qualitative Disclosures for AS'!F183)</f>
        <v>45782.38</v>
      </c>
      <c r="G112" s="251">
        <f>+'Qualitative Disclosures for AS'!E183</f>
        <v>68871.39</v>
      </c>
      <c r="H112" s="251">
        <f>+'Qualitative Disclosures for AS'!F183</f>
        <v>45782.38</v>
      </c>
      <c r="I112" s="2448">
        <f>+'Qualitative Disclosures for AS'!G183</f>
        <v>0</v>
      </c>
      <c r="J112" s="251">
        <f>+'Qualitative Disclosures for AS'!F183</f>
        <v>45782.38</v>
      </c>
      <c r="M112" s="42" t="str">
        <f t="shared" ref="M112:M128" si="3">IF(AND(D112=0,E112=0,F112=0,G112=0,H112=0),"No","Yes")</f>
        <v>Yes</v>
      </c>
    </row>
    <row r="113" spans="3:13" x14ac:dyDescent="0.25">
      <c r="C113" s="1039" t="str">
        <f>+IF('Qualitative Disclosures for AS'!C184="","",'Qualitative Disclosures for AS'!C184)</f>
        <v>Fair value of plan assets</v>
      </c>
      <c r="D113" s="249">
        <f>+IF('Qualitative Disclosures for AS'!D184="","",'Qualitative Disclosures for AS'!D184)</f>
        <v>85997.29</v>
      </c>
      <c r="E113" s="249">
        <f>+IF('Qualitative Disclosures for AS'!E184="","",'Qualitative Disclosures for AS'!E184)</f>
        <v>69572.240000000005</v>
      </c>
      <c r="F113" s="619">
        <f>+IF('Qualitative Disclosures for AS'!F184="","",'Qualitative Disclosures for AS'!F184)</f>
        <v>64521.2</v>
      </c>
      <c r="G113" s="249">
        <f>+'Qualitative Disclosures for AS'!E184</f>
        <v>69572.240000000005</v>
      </c>
      <c r="H113" s="1319" t="str">
        <f>+IF('Qualitative Disclosures for AS'!H184="","",'Qualitative Disclosures for AS'!H184)</f>
        <v/>
      </c>
      <c r="J113" s="249">
        <f>+'Qualitative Disclosures for AS'!F184</f>
        <v>64521.2</v>
      </c>
      <c r="M113" s="42" t="str">
        <f t="shared" si="3"/>
        <v>Yes</v>
      </c>
    </row>
    <row r="114" spans="3:13" x14ac:dyDescent="0.25">
      <c r="C114" s="1039" t="str">
        <f>+IF('Qualitative Disclosures for AS'!C185="","",'Qualitative Disclosures for AS'!C185)</f>
        <v>Funded status [Surplus / (Deficit)]</v>
      </c>
      <c r="D114" s="249">
        <f>+IF('Qualitative Disclosures for AS'!D185="","",'Qualitative Disclosures for AS'!D185)</f>
        <v>-2489.09</v>
      </c>
      <c r="E114" s="249">
        <f>+IF('Qualitative Disclosures for AS'!E185="","",'Qualitative Disclosures for AS'!E185)</f>
        <v>700.85</v>
      </c>
      <c r="F114" s="619">
        <f>+IF('Qualitative Disclosures for AS'!F185="","",'Qualitative Disclosures for AS'!F185)</f>
        <v>18738.82</v>
      </c>
      <c r="G114" s="249">
        <f>+'Qualitative Disclosures for AS'!E185</f>
        <v>700.85</v>
      </c>
      <c r="H114" s="1319" t="str">
        <f>+IF('Qualitative Disclosures for AS'!H185="","",'Qualitative Disclosures for AS'!H185)</f>
        <v/>
      </c>
      <c r="J114" s="249">
        <f>+'Qualitative Disclosures for AS'!F185</f>
        <v>18738.82</v>
      </c>
      <c r="M114" s="42" t="str">
        <f t="shared" si="3"/>
        <v>Yes</v>
      </c>
    </row>
    <row r="115" spans="3:13" x14ac:dyDescent="0.25">
      <c r="C115" s="1040" t="str">
        <f>+IF('Qualitative Disclosures for AS'!C186="","",'Qualitative Disclosures for AS'!C186)</f>
        <v>Experience gain / (loss) adjustments on plan liabilities</v>
      </c>
      <c r="D115" s="249">
        <f>+IF('Qualitative Disclosures for AS'!D186="","",'Qualitative Disclosures for AS'!D186)</f>
        <v>-11365.36</v>
      </c>
      <c r="E115" s="249">
        <f>+IF('Qualitative Disclosures for AS'!E186="","",'Qualitative Disclosures for AS'!E186)</f>
        <v>-4802.8599999999997</v>
      </c>
      <c r="F115" s="619">
        <f>+IF('Qualitative Disclosures for AS'!F186="","",'Qualitative Disclosures for AS'!F186)</f>
        <v>0</v>
      </c>
      <c r="G115" s="249">
        <f>+'Qualitative Disclosures for AS'!E186</f>
        <v>-4802.8599999999997</v>
      </c>
      <c r="H115" s="1319" t="str">
        <f>+IF('Qualitative Disclosures for AS'!H186="","",'Qualitative Disclosures for AS'!H186)</f>
        <v/>
      </c>
      <c r="J115" s="249">
        <f>+'Qualitative Disclosures for AS'!F186</f>
        <v>0</v>
      </c>
      <c r="M115" s="42" t="str">
        <f t="shared" si="3"/>
        <v>Yes</v>
      </c>
    </row>
    <row r="116" spans="3:13" x14ac:dyDescent="0.25">
      <c r="C116" s="1041" t="str">
        <f>+IF('Qualitative Disclosures for AS'!C187="","",'Qualitative Disclosures for AS'!C187)</f>
        <v>Experience gain / (loss) adjustments on plan assets</v>
      </c>
      <c r="D116" s="1047">
        <f>+IF('Qualitative Disclosures for AS'!D187="","",'Qualitative Disclosures for AS'!D187)</f>
        <v>-492.87</v>
      </c>
      <c r="E116" s="1047">
        <f>+IF('Qualitative Disclosures for AS'!E187="","",'Qualitative Disclosures for AS'!E187)</f>
        <v>1.57</v>
      </c>
      <c r="F116" s="1954">
        <f>+IF('Qualitative Disclosures for AS'!F187="","",'Qualitative Disclosures for AS'!F187)</f>
        <v>0</v>
      </c>
      <c r="G116" s="1047">
        <f>+'Qualitative Disclosures for AS'!E187</f>
        <v>1.57</v>
      </c>
      <c r="H116" s="1320" t="str">
        <f>+IF('Qualitative Disclosures for AS'!H187="","",'Qualitative Disclosures for AS'!H187)</f>
        <v/>
      </c>
      <c r="J116" s="1047">
        <f>+'Qualitative Disclosures for AS'!F187</f>
        <v>0</v>
      </c>
      <c r="M116" s="42" t="str">
        <f t="shared" si="3"/>
        <v>Yes</v>
      </c>
    </row>
    <row r="117" spans="3:13" ht="15.95" hidden="1" customHeight="1" x14ac:dyDescent="0.25">
      <c r="C117" s="1013" t="str">
        <f>+IF('Qualitative Disclosures for AS'!C188="","",'Qualitative Disclosures for AS'!C188)</f>
        <v>Post employment medical benefits</v>
      </c>
      <c r="D117" s="1053" t="str">
        <f>+IF('Qualitative Disclosures for AS'!D188="","",'Qualitative Disclosures for AS'!D188)</f>
        <v/>
      </c>
      <c r="E117" s="1053" t="str">
        <f>+IF('Qualitative Disclosures for AS'!E188="","",'Qualitative Disclosures for AS'!E188)</f>
        <v/>
      </c>
      <c r="F117" s="1053" t="str">
        <f>+IF('Qualitative Disclosures for AS'!F188="","",'Qualitative Disclosures for AS'!F188)</f>
        <v/>
      </c>
      <c r="G117" s="1051" t="str">
        <f>+IF('Qualitative Disclosures for AS'!G188="","",'Qualitative Disclosures for AS'!G188)</f>
        <v/>
      </c>
      <c r="H117" s="1053" t="str">
        <f>+IF('Qualitative Disclosures for AS'!H188="","",'Qualitative Disclosures for AS'!H188)</f>
        <v/>
      </c>
      <c r="I117" s="87"/>
      <c r="M117" s="42" t="str">
        <f t="shared" si="3"/>
        <v>Yes</v>
      </c>
    </row>
    <row r="118" spans="3:13" hidden="1" x14ac:dyDescent="0.25">
      <c r="C118" s="1016" t="str">
        <f>+IF('Qualitative Disclosures for AS'!C189="","",'Qualitative Disclosures for AS'!C189)</f>
        <v>Present value of DBO</v>
      </c>
      <c r="D118" s="251" t="str">
        <f>+IF('Qualitative Disclosures for AS'!D189="","",'Qualitative Disclosures for AS'!D189)</f>
        <v/>
      </c>
      <c r="E118" s="251" t="str">
        <f>+IF('Qualitative Disclosures for AS'!E189="","",'Qualitative Disclosures for AS'!E189)</f>
        <v/>
      </c>
      <c r="F118" s="251" t="str">
        <f>+IF('Qualitative Disclosures for AS'!F189="","",'Qualitative Disclosures for AS'!F189)</f>
        <v/>
      </c>
      <c r="G118" s="251" t="str">
        <f>+IF('Qualitative Disclosures for AS'!G189="","",'Qualitative Disclosures for AS'!G189)</f>
        <v/>
      </c>
      <c r="H118" s="251" t="str">
        <f>+IF('Qualitative Disclosures for AS'!H189="","",'Qualitative Disclosures for AS'!H189)</f>
        <v/>
      </c>
      <c r="I118" s="87"/>
      <c r="M118" s="42" t="str">
        <f t="shared" si="3"/>
        <v>Yes</v>
      </c>
    </row>
    <row r="119" spans="3:13" hidden="1" x14ac:dyDescent="0.25">
      <c r="C119" s="1018" t="str">
        <f>+IF('Qualitative Disclosures for AS'!C190="","",'Qualitative Disclosures for AS'!C190)</f>
        <v>Fair value of plan assets</v>
      </c>
      <c r="D119" s="249" t="str">
        <f>+IF('Qualitative Disclosures for AS'!D190="","",'Qualitative Disclosures for AS'!D190)</f>
        <v/>
      </c>
      <c r="E119" s="249" t="str">
        <f>+IF('Qualitative Disclosures for AS'!E190="","",'Qualitative Disclosures for AS'!E190)</f>
        <v/>
      </c>
      <c r="F119" s="249" t="str">
        <f>+IF('Qualitative Disclosures for AS'!F190="","",'Qualitative Disclosures for AS'!F190)</f>
        <v/>
      </c>
      <c r="G119" s="249" t="str">
        <f>+IF('Qualitative Disclosures for AS'!G190="","",'Qualitative Disclosures for AS'!G190)</f>
        <v/>
      </c>
      <c r="H119" s="249" t="str">
        <f>+IF('Qualitative Disclosures for AS'!H190="","",'Qualitative Disclosures for AS'!H190)</f>
        <v/>
      </c>
      <c r="I119" s="87"/>
      <c r="M119" s="42" t="str">
        <f t="shared" si="3"/>
        <v>Yes</v>
      </c>
    </row>
    <row r="120" spans="3:13" hidden="1" x14ac:dyDescent="0.25">
      <c r="C120" s="1018" t="str">
        <f>+IF('Qualitative Disclosures for AS'!C191="","",'Qualitative Disclosures for AS'!C191)</f>
        <v>Funded status [Surplus / (Deficit)]</v>
      </c>
      <c r="D120" s="249" t="str">
        <f>+IF('Qualitative Disclosures for AS'!D191="","",'Qualitative Disclosures for AS'!D191)</f>
        <v/>
      </c>
      <c r="E120" s="249" t="str">
        <f>+IF('Qualitative Disclosures for AS'!E191="","",'Qualitative Disclosures for AS'!E191)</f>
        <v/>
      </c>
      <c r="F120" s="249" t="str">
        <f>+IF('Qualitative Disclosures for AS'!F191="","",'Qualitative Disclosures for AS'!F191)</f>
        <v/>
      </c>
      <c r="G120" s="249" t="str">
        <f>+IF('Qualitative Disclosures for AS'!G191="","",'Qualitative Disclosures for AS'!G191)</f>
        <v/>
      </c>
      <c r="H120" s="249" t="str">
        <f>+IF('Qualitative Disclosures for AS'!H191="","",'Qualitative Disclosures for AS'!H191)</f>
        <v/>
      </c>
      <c r="I120" s="87"/>
      <c r="M120" s="42" t="str">
        <f t="shared" si="3"/>
        <v>Yes</v>
      </c>
    </row>
    <row r="121" spans="3:13" hidden="1" x14ac:dyDescent="0.25">
      <c r="C121" s="1020" t="str">
        <f>+IF('Qualitative Disclosures for AS'!C192="","",'Qualitative Disclosures for AS'!C192)</f>
        <v>Experience gain / (loss) adjustments on plan liabilities</v>
      </c>
      <c r="D121" s="249" t="str">
        <f>+IF('Qualitative Disclosures for AS'!D192="","",'Qualitative Disclosures for AS'!D192)</f>
        <v/>
      </c>
      <c r="E121" s="249" t="str">
        <f>+IF('Qualitative Disclosures for AS'!E192="","",'Qualitative Disclosures for AS'!E192)</f>
        <v/>
      </c>
      <c r="F121" s="249" t="str">
        <f>+IF('Qualitative Disclosures for AS'!F192="","",'Qualitative Disclosures for AS'!F192)</f>
        <v/>
      </c>
      <c r="G121" s="249" t="str">
        <f>+IF('Qualitative Disclosures for AS'!G192="","",'Qualitative Disclosures for AS'!G192)</f>
        <v/>
      </c>
      <c r="H121" s="249" t="str">
        <f>+IF('Qualitative Disclosures for AS'!H192="","",'Qualitative Disclosures for AS'!H192)</f>
        <v/>
      </c>
      <c r="I121" s="87"/>
      <c r="M121" s="42" t="str">
        <f t="shared" si="3"/>
        <v>Yes</v>
      </c>
    </row>
    <row r="122" spans="3:13" hidden="1" x14ac:dyDescent="0.25">
      <c r="C122" s="1021" t="str">
        <f>+IF('Qualitative Disclosures for AS'!C193="","",'Qualitative Disclosures for AS'!C193)</f>
        <v>Experience gain / (loss) adjustments on plan assets</v>
      </c>
      <c r="D122" s="1047" t="str">
        <f>+IF('Qualitative Disclosures for AS'!D193="","",'Qualitative Disclosures for AS'!D193)</f>
        <v/>
      </c>
      <c r="E122" s="1047" t="str">
        <f>+IF('Qualitative Disclosures for AS'!E193="","",'Qualitative Disclosures for AS'!E193)</f>
        <v/>
      </c>
      <c r="F122" s="1047" t="str">
        <f>+IF('Qualitative Disclosures for AS'!F193="","",'Qualitative Disclosures for AS'!F193)</f>
        <v/>
      </c>
      <c r="G122" s="1047" t="str">
        <f>+IF('Qualitative Disclosures for AS'!G193="","",'Qualitative Disclosures for AS'!G193)</f>
        <v/>
      </c>
      <c r="H122" s="1047" t="str">
        <f>+IF('Qualitative Disclosures for AS'!H193="","",'Qualitative Disclosures for AS'!H193)</f>
        <v/>
      </c>
      <c r="I122" s="87"/>
      <c r="M122" s="42" t="str">
        <f t="shared" si="3"/>
        <v>Yes</v>
      </c>
    </row>
    <row r="123" spans="3:13" hidden="1" x14ac:dyDescent="0.25">
      <c r="C123" s="1013" t="str">
        <f>+IF('Qualitative Disclosures for AS'!C194="","",'Qualitative Disclosures for AS'!C194)</f>
        <v>Other defined benefit plans (specify nature)</v>
      </c>
      <c r="D123" s="1053" t="str">
        <f>+IF('Qualitative Disclosures for AS'!D194="","",'Qualitative Disclosures for AS'!D194)</f>
        <v/>
      </c>
      <c r="E123" s="1053" t="str">
        <f>+IF('Qualitative Disclosures for AS'!E194="","",'Qualitative Disclosures for AS'!E194)</f>
        <v/>
      </c>
      <c r="F123" s="1053" t="str">
        <f>+IF('Qualitative Disclosures for AS'!F194="","",'Qualitative Disclosures for AS'!F194)</f>
        <v/>
      </c>
      <c r="G123" s="1053" t="str">
        <f>+IF('Qualitative Disclosures for AS'!G194="","",'Qualitative Disclosures for AS'!G194)</f>
        <v/>
      </c>
      <c r="H123" s="1053" t="str">
        <f>+IF('Qualitative Disclosures for AS'!H194="","",'Qualitative Disclosures for AS'!H194)</f>
        <v/>
      </c>
      <c r="I123" s="87"/>
      <c r="M123" s="42" t="str">
        <f t="shared" si="3"/>
        <v>Yes</v>
      </c>
    </row>
    <row r="124" spans="3:13" hidden="1" x14ac:dyDescent="0.25">
      <c r="C124" s="1016" t="str">
        <f>+IF('Qualitative Disclosures for AS'!C195="","",'Qualitative Disclosures for AS'!C195)</f>
        <v>Present value of DBO</v>
      </c>
      <c r="D124" s="251" t="str">
        <f>+IF('Qualitative Disclosures for AS'!D195="","",'Qualitative Disclosures for AS'!D195)</f>
        <v/>
      </c>
      <c r="E124" s="251" t="str">
        <f>+IF('Qualitative Disclosures for AS'!E195="","",'Qualitative Disclosures for AS'!E195)</f>
        <v/>
      </c>
      <c r="F124" s="251" t="str">
        <f>+IF('Qualitative Disclosures for AS'!F195="","",'Qualitative Disclosures for AS'!F195)</f>
        <v/>
      </c>
      <c r="G124" s="251" t="str">
        <f>+IF('Qualitative Disclosures for AS'!G195="","",'Qualitative Disclosures for AS'!G195)</f>
        <v/>
      </c>
      <c r="H124" s="251" t="str">
        <f>+IF('Qualitative Disclosures for AS'!H195="","",'Qualitative Disclosures for AS'!H195)</f>
        <v/>
      </c>
      <c r="I124" s="87"/>
      <c r="M124" s="42" t="str">
        <f t="shared" si="3"/>
        <v>Yes</v>
      </c>
    </row>
    <row r="125" spans="3:13" hidden="1" x14ac:dyDescent="0.25">
      <c r="C125" s="1018" t="str">
        <f>+IF('Qualitative Disclosures for AS'!C196="","",'Qualitative Disclosures for AS'!C196)</f>
        <v>Fair value of plan assets</v>
      </c>
      <c r="D125" s="249" t="str">
        <f>+IF('Qualitative Disclosures for AS'!D196="","",'Qualitative Disclosures for AS'!D196)</f>
        <v/>
      </c>
      <c r="E125" s="249" t="str">
        <f>+IF('Qualitative Disclosures for AS'!E196="","",'Qualitative Disclosures for AS'!E196)</f>
        <v/>
      </c>
      <c r="F125" s="249" t="str">
        <f>+IF('Qualitative Disclosures for AS'!F196="","",'Qualitative Disclosures for AS'!F196)</f>
        <v/>
      </c>
      <c r="G125" s="249" t="str">
        <f>+IF('Qualitative Disclosures for AS'!G196="","",'Qualitative Disclosures for AS'!G196)</f>
        <v/>
      </c>
      <c r="H125" s="249" t="str">
        <f>+IF('Qualitative Disclosures for AS'!H196="","",'Qualitative Disclosures for AS'!H196)</f>
        <v/>
      </c>
      <c r="I125" s="87"/>
      <c r="M125" s="42" t="str">
        <f t="shared" si="3"/>
        <v>Yes</v>
      </c>
    </row>
    <row r="126" spans="3:13" hidden="1" x14ac:dyDescent="0.25">
      <c r="C126" s="1018" t="str">
        <f>+IF('Qualitative Disclosures for AS'!C197="","",'Qualitative Disclosures for AS'!C197)</f>
        <v>Funded status [Surplus / (Deficit)]</v>
      </c>
      <c r="D126" s="249" t="str">
        <f>+IF('Qualitative Disclosures for AS'!D197="","",'Qualitative Disclosures for AS'!D197)</f>
        <v/>
      </c>
      <c r="E126" s="249" t="str">
        <f>+IF('Qualitative Disclosures for AS'!E197="","",'Qualitative Disclosures for AS'!E197)</f>
        <v/>
      </c>
      <c r="F126" s="249" t="str">
        <f>+IF('Qualitative Disclosures for AS'!F197="","",'Qualitative Disclosures for AS'!F197)</f>
        <v/>
      </c>
      <c r="G126" s="249" t="str">
        <f>+IF('Qualitative Disclosures for AS'!G197="","",'Qualitative Disclosures for AS'!G197)</f>
        <v/>
      </c>
      <c r="H126" s="249" t="str">
        <f>+IF('Qualitative Disclosures for AS'!H197="","",'Qualitative Disclosures for AS'!H197)</f>
        <v/>
      </c>
      <c r="I126" s="87"/>
      <c r="M126" s="42" t="str">
        <f t="shared" si="3"/>
        <v>Yes</v>
      </c>
    </row>
    <row r="127" spans="3:13" hidden="1" x14ac:dyDescent="0.25">
      <c r="C127" s="1020" t="str">
        <f>+IF('Qualitative Disclosures for AS'!C198="","",'Qualitative Disclosures for AS'!C198)</f>
        <v>Experience gain / (loss) adjustments on plan liabilities</v>
      </c>
      <c r="D127" s="249" t="str">
        <f>+IF('Qualitative Disclosures for AS'!D198="","",'Qualitative Disclosures for AS'!D198)</f>
        <v/>
      </c>
      <c r="E127" s="249" t="str">
        <f>+IF('Qualitative Disclosures for AS'!E198="","",'Qualitative Disclosures for AS'!E198)</f>
        <v/>
      </c>
      <c r="F127" s="249" t="str">
        <f>+IF('Qualitative Disclosures for AS'!F198="","",'Qualitative Disclosures for AS'!F198)</f>
        <v/>
      </c>
      <c r="G127" s="249" t="str">
        <f>+IF('Qualitative Disclosures for AS'!G198="","",'Qualitative Disclosures for AS'!G198)</f>
        <v/>
      </c>
      <c r="H127" s="249" t="str">
        <f>+IF('Qualitative Disclosures for AS'!H198="","",'Qualitative Disclosures for AS'!H198)</f>
        <v/>
      </c>
      <c r="I127" s="87"/>
      <c r="M127" s="42" t="str">
        <f t="shared" si="3"/>
        <v>Yes</v>
      </c>
    </row>
    <row r="128" spans="3:13" hidden="1" x14ac:dyDescent="0.25">
      <c r="C128" s="1020" t="str">
        <f>+IF('Qualitative Disclosures for AS'!C199="","",'Qualitative Disclosures for AS'!C199)</f>
        <v>Experience gain / (loss) adjustments on plan assets</v>
      </c>
      <c r="D128" s="1047" t="str">
        <f>+IF('Qualitative Disclosures for AS'!D199="","",'Qualitative Disclosures for AS'!D199)</f>
        <v/>
      </c>
      <c r="E128" s="1047" t="str">
        <f>+IF('Qualitative Disclosures for AS'!E199="","",'Qualitative Disclosures for AS'!E199)</f>
        <v/>
      </c>
      <c r="F128" s="1047" t="str">
        <f>+IF('Qualitative Disclosures for AS'!F199="","",'Qualitative Disclosures for AS'!F199)</f>
        <v/>
      </c>
      <c r="G128" s="1047" t="str">
        <f>+IF('Qualitative Disclosures for AS'!G199="","",'Qualitative Disclosures for AS'!G199)</f>
        <v/>
      </c>
      <c r="H128" s="1047" t="str">
        <f>+IF('Qualitative Disclosures for AS'!H199="","",'Qualitative Disclosures for AS'!H199)</f>
        <v/>
      </c>
      <c r="I128" s="87"/>
      <c r="M128" s="42" t="str">
        <f t="shared" si="3"/>
        <v>Yes</v>
      </c>
    </row>
    <row r="129" spans="3:13" x14ac:dyDescent="0.25">
      <c r="C129" s="2603"/>
      <c r="D129" s="1023"/>
      <c r="E129" s="1023"/>
      <c r="F129" s="1023"/>
      <c r="G129" s="1023"/>
      <c r="I129" s="87"/>
      <c r="M129" s="42" t="str" cm="1">
        <f t="array" ref="M129">IFERROR(INDEX(M112:M128, MATCH(TRUE,M112:M128="Yes",0)),"No")</f>
        <v>Yes</v>
      </c>
    </row>
    <row r="130" spans="3:13" ht="45" hidden="1" customHeight="1" x14ac:dyDescent="0.25">
      <c r="C130" s="1021" t="str">
        <f>+IF('Qualitative Disclosures for AS'!C201="","",'Qualitative Disclosures for AS'!C201)</f>
        <v/>
      </c>
      <c r="D130" s="314" t="str">
        <f>+IF('Qualitative Disclosures for AS'!D201="","",'Qualitative Disclosures for AS'!D201)</f>
        <v>As At 31st March 2025</v>
      </c>
      <c r="E130" s="314" t="str">
        <f>+IF('Qualitative Disclosures for AS'!E201="","",'Qualitative Disclosures for AS'!E201)</f>
        <v>As At 31st March 2022</v>
      </c>
      <c r="F130" s="1024" t="str">
        <f>+IF('Qualitative Disclosures for AS'!F201="","",'Qualitative Disclosures for AS'!F201)</f>
        <v/>
      </c>
      <c r="G130" s="1024" t="str">
        <f>+IF('Qualitative Disclosures for AS'!G201="","",'Qualitative Disclosures for AS'!G201)</f>
        <v>As At 31st March 2024</v>
      </c>
      <c r="H130" s="18" t="str">
        <f>+IF('Qualitative Disclosures for AS'!H201="","",'Qualitative Disclosures for AS'!H201)</f>
        <v/>
      </c>
      <c r="I130" s="87" t="str">
        <f>+IF('Qualitative Disclosures for AS'!I201="","",'Qualitative Disclosures for AS'!I201)</f>
        <v/>
      </c>
    </row>
    <row r="131" spans="3:13" hidden="1" x14ac:dyDescent="0.25">
      <c r="C131" s="992" t="str">
        <f>+IF('Qualitative Disclosures for AS'!C202="","",'Qualitative Disclosures for AS'!C202)</f>
        <v>Actuarial assumptions for long-term compensated absences</v>
      </c>
      <c r="D131" s="1001" t="str">
        <f>+IF('Qualitative Disclosures for AS'!D202="","",'Qualitative Disclosures for AS'!D202)</f>
        <v/>
      </c>
      <c r="E131" s="1001" t="str">
        <f>+IF('Qualitative Disclosures for AS'!E202="","",'Qualitative Disclosures for AS'!E202)</f>
        <v/>
      </c>
      <c r="F131" s="1025" t="str">
        <f>+IF('Qualitative Disclosures for AS'!F202="","",'Qualitative Disclosures for AS'!F202)</f>
        <v/>
      </c>
      <c r="G131" s="18" t="str">
        <f>+IF('Qualitative Disclosures for AS'!G202="","",'Qualitative Disclosures for AS'!G202)</f>
        <v/>
      </c>
      <c r="H131" s="18" t="str">
        <f>+IF('Qualitative Disclosures for AS'!H202="","",'Qualitative Disclosures for AS'!H202)</f>
        <v/>
      </c>
      <c r="I131" s="87" t="str">
        <f>+IF('Qualitative Disclosures for AS'!I202="","",'Qualitative Disclosures for AS'!I202)</f>
        <v/>
      </c>
      <c r="M131" s="42" t="str">
        <f>IF(AND(D131=0,E131=0),"No","Yes")</f>
        <v>Yes</v>
      </c>
    </row>
    <row r="132" spans="3:13" hidden="1" x14ac:dyDescent="0.25">
      <c r="C132" s="88" t="str">
        <f>+IF('Qualitative Disclosures for AS'!C203="","",'Qualitative Disclosures for AS'!C203)</f>
        <v>Discount rate</v>
      </c>
      <c r="D132" s="1054" t="str">
        <f>+IF('Qualitative Disclosures for AS'!D203="","",'Qualitative Disclosures for AS'!D203)</f>
        <v/>
      </c>
      <c r="E132" s="1054" t="str">
        <f>+IF('Qualitative Disclosures for AS'!E203="","",'Qualitative Disclosures for AS'!E203)</f>
        <v/>
      </c>
      <c r="F132" s="170" t="str">
        <f>+IF('Qualitative Disclosures for AS'!F203="","",'Qualitative Disclosures for AS'!F203)</f>
        <v/>
      </c>
      <c r="G132" s="18" t="str">
        <f>+IF('Qualitative Disclosures for AS'!G203="","",'Qualitative Disclosures for AS'!G203)</f>
        <v/>
      </c>
      <c r="H132" s="18" t="str">
        <f>+IF('Qualitative Disclosures for AS'!H203="","",'Qualitative Disclosures for AS'!H203)</f>
        <v/>
      </c>
      <c r="I132" s="87" t="str">
        <f>+IF('Qualitative Disclosures for AS'!I203="","",'Qualitative Disclosures for AS'!I203)</f>
        <v/>
      </c>
      <c r="M132" s="42" t="str">
        <f>IF(AND(D132=0,E132=0),"No","Yes")</f>
        <v>Yes</v>
      </c>
    </row>
    <row r="133" spans="3:13" hidden="1" x14ac:dyDescent="0.25">
      <c r="C133" s="88" t="str">
        <f>+IF('Qualitative Disclosures for AS'!C204="","",'Qualitative Disclosures for AS'!C204)</f>
        <v>Expected return on plan assets</v>
      </c>
      <c r="D133" s="1054" t="str">
        <f>+IF('Qualitative Disclosures for AS'!D204="","",'Qualitative Disclosures for AS'!D204)</f>
        <v/>
      </c>
      <c r="E133" s="1054" t="str">
        <f>+IF('Qualitative Disclosures for AS'!E204="","",'Qualitative Disclosures for AS'!E204)</f>
        <v/>
      </c>
      <c r="F133" s="1026" t="str">
        <f>+IF('Qualitative Disclosures for AS'!F204="","",'Qualitative Disclosures for AS'!F204)</f>
        <v/>
      </c>
      <c r="G133" s="18" t="str">
        <f>+IF('Qualitative Disclosures for AS'!G204="","",'Qualitative Disclosures for AS'!G204)</f>
        <v/>
      </c>
      <c r="H133" s="18" t="str">
        <f>+IF('Qualitative Disclosures for AS'!H204="","",'Qualitative Disclosures for AS'!H204)</f>
        <v/>
      </c>
      <c r="I133" s="87" t="str">
        <f>+IF('Qualitative Disclosures for AS'!I204="","",'Qualitative Disclosures for AS'!I204)</f>
        <v/>
      </c>
      <c r="M133" s="42" t="str">
        <f>IF(AND(D133=0,E133=0),"No","Yes")</f>
        <v>Yes</v>
      </c>
    </row>
    <row r="134" spans="3:13" hidden="1" x14ac:dyDescent="0.25">
      <c r="C134" s="870" t="str">
        <f>+IF('Qualitative Disclosures for AS'!C205="","",'Qualitative Disclosures for AS'!C205)</f>
        <v>Salary escalation</v>
      </c>
      <c r="D134" s="617" t="str">
        <f>+IF('Qualitative Disclosures for AS'!D205="","",'Qualitative Disclosures for AS'!D205)</f>
        <v/>
      </c>
      <c r="E134" s="617" t="str">
        <f>+IF('Qualitative Disclosures for AS'!E205="","",'Qualitative Disclosures for AS'!E205)</f>
        <v/>
      </c>
      <c r="F134" s="1027" t="str">
        <f>+IF('Qualitative Disclosures for AS'!F205="","",'Qualitative Disclosures for AS'!F205)</f>
        <v/>
      </c>
      <c r="G134" s="18" t="str">
        <f>+IF('Qualitative Disclosures for AS'!G205="","",'Qualitative Disclosures for AS'!G205)</f>
        <v/>
      </c>
      <c r="H134" s="18" t="str">
        <f>+IF('Qualitative Disclosures for AS'!H205="","",'Qualitative Disclosures for AS'!H205)</f>
        <v/>
      </c>
      <c r="I134" s="87" t="str">
        <f>+IF('Qualitative Disclosures for AS'!I205="","",'Qualitative Disclosures for AS'!I205)</f>
        <v/>
      </c>
      <c r="M134" s="42" t="str">
        <f>IF(AND(D134=0,E134=0),"No","Yes")</f>
        <v>Yes</v>
      </c>
    </row>
    <row r="135" spans="3:13" hidden="1" x14ac:dyDescent="0.25">
      <c r="C135" s="870" t="str">
        <f>+IF('Qualitative Disclosures for AS'!C207="","",'Qualitative Disclosures for AS'!C207)</f>
        <v xml:space="preserve">Attrition </v>
      </c>
      <c r="D135" s="617" t="str">
        <f>+IF('Qualitative Disclosures for AS'!D207="","",'Qualitative Disclosures for AS'!D207)</f>
        <v/>
      </c>
      <c r="E135" s="617" t="str">
        <f>+IF('Qualitative Disclosures for AS'!E207="","",'Qualitative Disclosures for AS'!E207)</f>
        <v/>
      </c>
      <c r="F135" s="1028" t="str">
        <f>+IF('Qualitative Disclosures for AS'!F207="","",'Qualitative Disclosures for AS'!F207)</f>
        <v/>
      </c>
      <c r="G135" s="18" t="str">
        <f>+IF('Qualitative Disclosures for AS'!G207="","",'Qualitative Disclosures for AS'!G207)</f>
        <v/>
      </c>
      <c r="H135" s="18" t="str">
        <f>+IF('Qualitative Disclosures for AS'!H207="","",'Qualitative Disclosures for AS'!H207)</f>
        <v/>
      </c>
      <c r="I135" s="87" t="str">
        <f>+IF('Qualitative Disclosures for AS'!I207="","",'Qualitative Disclosures for AS'!I207)</f>
        <v/>
      </c>
      <c r="M135" s="42" t="str">
        <f>IF(AND(D135=0,E135=0),"No","Yes")</f>
        <v>Yes</v>
      </c>
    </row>
    <row r="136" spans="3:13" ht="33" hidden="1" x14ac:dyDescent="0.25">
      <c r="C136" s="1044" t="str">
        <f>+IF('Qualitative Disclosures for AS'!C208="","",'Qualitative Disclosures for AS'!C208)</f>
        <v>The discount rate is based on the prevailing market yields of Government of India securities as at the balance sheet date for the estimated term of the obligations.</v>
      </c>
      <c r="D136" s="1043" t="str">
        <f>+IF('Qualitative Disclosures for AS'!D208="","",'Qualitative Disclosures for AS'!D208)</f>
        <v/>
      </c>
      <c r="E136" s="1043" t="str">
        <f>+IF('Qualitative Disclosures for AS'!E208="","",'Qualitative Disclosures for AS'!E208)</f>
        <v/>
      </c>
      <c r="F136" s="1033" t="str">
        <f>+IF('Qualitative Disclosures for AS'!F208="","",'Qualitative Disclosures for AS'!F208)</f>
        <v/>
      </c>
      <c r="G136" s="18" t="str">
        <f>+IF('Qualitative Disclosures for AS'!G208="","",'Qualitative Disclosures for AS'!G208)</f>
        <v/>
      </c>
      <c r="H136" s="18" t="str">
        <f>+IF('Qualitative Disclosures for AS'!H208="","",'Qualitative Disclosures for AS'!H208)</f>
        <v/>
      </c>
      <c r="I136" s="87" t="str">
        <f>+IF('Qualitative Disclosures for AS'!I208="","",'Qualitative Disclosures for AS'!I208)</f>
        <v/>
      </c>
      <c r="M136" s="42"/>
    </row>
    <row r="137" spans="3:13" hidden="1" x14ac:dyDescent="0.25">
      <c r="C137" s="2897" t="str">
        <f>+IF('Qualitative Disclosures for AS'!C209="","",'Qualitative Disclosures for AS'!C209)</f>
        <v>The estimate of future salary increases considered, takes into account the inflation, seniority, promotion, increments and other relevant factors.</v>
      </c>
      <c r="D137" s="2898" t="str">
        <f>+IF('Qualitative Disclosures for AS'!D209="","",'Qualitative Disclosures for AS'!D209)</f>
        <v/>
      </c>
      <c r="E137" s="2898" t="str">
        <f>+IF('Qualitative Disclosures for AS'!E209="","",'Qualitative Disclosures for AS'!E209)</f>
        <v/>
      </c>
      <c r="F137" s="2894" t="str">
        <f>+IF('Qualitative Disclosures for AS'!F209="","",'Qualitative Disclosures for AS'!F209)</f>
        <v/>
      </c>
      <c r="G137" s="2894" t="str">
        <f>+IF('Qualitative Disclosures for AS'!G209="","",'Qualitative Disclosures for AS'!G209)</f>
        <v/>
      </c>
      <c r="H137" s="2894" t="str">
        <f>+IF('Qualitative Disclosures for AS'!H209="","",'Qualitative Disclosures for AS'!H209)</f>
        <v/>
      </c>
      <c r="I137" s="2899" t="str">
        <f>+IF('Qualitative Disclosures for AS'!I209="","",'Qualitative Disclosures for AS'!I209)</f>
        <v/>
      </c>
      <c r="J137" s="1011"/>
      <c r="M137" s="42" t="str" cm="1">
        <f t="array" ref="M137">IFERROR(INDEX(M131:M135, MATCH(TRUE,M131:M135="Yes",0)),"No")</f>
        <v>Yes</v>
      </c>
    </row>
    <row r="138" spans="3:13" hidden="1" x14ac:dyDescent="0.25">
      <c r="C138" s="2900" t="str">
        <f>+IF('Qualitative Disclosures for AS'!C209="","",'Qualitative Disclosures for AS'!C209)</f>
        <v>The estimate of future salary increases considered, takes into account the inflation, seniority, promotion, increments and other relevant factors.</v>
      </c>
      <c r="D138" s="2894" t="str">
        <f>+IF('Qualitative Disclosures for AS'!D210="","",'Qualitative Disclosures for AS'!D210)</f>
        <v/>
      </c>
      <c r="E138" s="2894" t="str">
        <f>+IF('Qualitative Disclosures for AS'!E210="","",'Qualitative Disclosures for AS'!E210)</f>
        <v/>
      </c>
      <c r="F138" s="2894" t="str">
        <f>+IF('Qualitative Disclosures for AS'!F210="","",'Qualitative Disclosures for AS'!F210)</f>
        <v/>
      </c>
      <c r="G138" s="2894" t="str">
        <f>+IF('Qualitative Disclosures for AS'!G210="","",'Qualitative Disclosures for AS'!G210)</f>
        <v/>
      </c>
      <c r="H138" s="2894" t="str">
        <f>+IF('Qualitative Disclosures for AS'!H210="","",'Qualitative Disclosures for AS'!H210)</f>
        <v/>
      </c>
      <c r="I138" s="2899" t="str">
        <f>+IF('Qualitative Disclosures for AS'!I210="","",'Qualitative Disclosures for AS'!I210)</f>
        <v/>
      </c>
      <c r="J138" s="1011"/>
    </row>
    <row r="139" spans="3:13" hidden="1" x14ac:dyDescent="0.25">
      <c r="C139" s="1029"/>
      <c r="D139" s="1030"/>
      <c r="E139" s="1030"/>
      <c r="F139" s="1030"/>
      <c r="G139" s="1030"/>
      <c r="H139" s="1030"/>
      <c r="I139" s="1031"/>
      <c r="J139" s="1011"/>
    </row>
    <row r="140" spans="3:13" ht="16.5" hidden="1" customHeight="1" x14ac:dyDescent="0.25">
      <c r="C140" s="2887" t="str">
        <f>+IF('Qualitative Disclosures for AS'!C211="","",'Qualitative Disclosures for AS'!C211)</f>
        <v>In case of insurer managed funds, the Company should obtain details of the composition of plan assets of the Fund from the insurance company and disclose the same.</v>
      </c>
      <c r="D140" s="2887" t="str">
        <f>+IF('Qualitative Disclosures for AS'!D212="","",'Qualitative Disclosures for AS'!D212)</f>
        <v/>
      </c>
      <c r="E140" s="2887" t="str">
        <f>+IF('Qualitative Disclosures for AS'!E212="","",'Qualitative Disclosures for AS'!E212)</f>
        <v/>
      </c>
      <c r="F140" s="2887" t="str">
        <f>+IF('Qualitative Disclosures for AS'!F212="","",'Qualitative Disclosures for AS'!F212)</f>
        <v/>
      </c>
      <c r="G140" s="2887" t="str">
        <f>+IF('Qualitative Disclosures for AS'!G212="","",'Qualitative Disclosures for AS'!G212)</f>
        <v/>
      </c>
      <c r="H140" s="2887" t="str">
        <f>+IF('Qualitative Disclosures for AS'!H212="","",'Qualitative Disclosures for AS'!H212)</f>
        <v/>
      </c>
      <c r="I140" s="2887" t="str">
        <f>+IF('Qualitative Disclosures for AS'!I212="","",'Qualitative Disclosures for AS'!I212)</f>
        <v/>
      </c>
      <c r="J140" s="871"/>
    </row>
    <row r="141" spans="3:13" hidden="1" x14ac:dyDescent="0.25">
      <c r="C141" s="871"/>
      <c r="D141" s="871"/>
      <c r="E141" s="871"/>
      <c r="F141" s="871"/>
      <c r="G141" s="871"/>
      <c r="H141" s="871"/>
      <c r="I141" s="871"/>
      <c r="J141" s="871"/>
    </row>
    <row r="142" spans="3:13" hidden="1" x14ac:dyDescent="0.25">
      <c r="C142" s="871"/>
      <c r="D142" s="871"/>
      <c r="E142" s="871"/>
      <c r="F142" s="871"/>
      <c r="G142" s="871"/>
      <c r="H142" s="871"/>
      <c r="I142" s="871"/>
      <c r="J142" s="871"/>
    </row>
    <row r="143" spans="3:13" hidden="1" x14ac:dyDescent="0.25">
      <c r="C143" s="1718" t="str">
        <f>+IF('Qualitative Disclosures for AS'!C214="","",'Qualitative Disclosures for AS'!C214)</f>
        <v/>
      </c>
      <c r="D143" s="1718" t="str">
        <f>+IF('Qualitative Disclosures for AS'!D215="","",'Qualitative Disclosures for AS'!D215)</f>
        <v/>
      </c>
      <c r="E143" s="1718" t="str">
        <f>+IF('Qualitative Disclosures for AS'!E215="","",'Qualitative Disclosures for AS'!E215)</f>
        <v/>
      </c>
      <c r="F143" s="1718" t="str">
        <f>+IF('Qualitative Disclosures for AS'!F215="","",'Qualitative Disclosures for AS'!F215)</f>
        <v/>
      </c>
      <c r="G143" s="1718" t="str">
        <f>+IF('Qualitative Disclosures for AS'!G215="","",'Qualitative Disclosures for AS'!G215)</f>
        <v/>
      </c>
      <c r="H143" s="1718" t="str">
        <f>+IF('Qualitative Disclosures for AS'!H215="","",'Qualitative Disclosures for AS'!H215)</f>
        <v/>
      </c>
      <c r="I143" s="1718" t="str">
        <f>+IF('Qualitative Disclosures for AS'!I215="","",'Qualitative Disclosures for AS'!I215)</f>
        <v/>
      </c>
      <c r="J143" s="1718" t="str">
        <f>+IF('Qualitative Disclosures for AS'!J214="","",'Qualitative Disclosures for AS'!J214)</f>
        <v/>
      </c>
    </row>
    <row r="144" spans="3:13" hidden="1" x14ac:dyDescent="0.25">
      <c r="C144" s="1718" t="str">
        <f>+IF('Qualitative Disclosures for AS'!C215="","",'Qualitative Disclosures for AS'!C215)</f>
        <v/>
      </c>
      <c r="D144" s="1718" t="str">
        <f>+IF('Qualitative Disclosures for AS'!D215="","",'Qualitative Disclosures for AS'!D215)</f>
        <v/>
      </c>
      <c r="E144" s="1718" t="str">
        <f>+IF('Qualitative Disclosures for AS'!E215="","",'Qualitative Disclosures for AS'!E215)</f>
        <v/>
      </c>
      <c r="F144" s="1718" t="str">
        <f>+IF('Qualitative Disclosures for AS'!F215="","",'Qualitative Disclosures for AS'!F215)</f>
        <v/>
      </c>
      <c r="G144" s="1718" t="str">
        <f>+IF('Qualitative Disclosures for AS'!G215="","",'Qualitative Disclosures for AS'!G215)</f>
        <v/>
      </c>
      <c r="H144" s="1718" t="str">
        <f>+IF('Qualitative Disclosures for AS'!H215="","",'Qualitative Disclosures for AS'!H215)</f>
        <v/>
      </c>
      <c r="I144" s="1718" t="str">
        <f>+IF('Qualitative Disclosures for AS'!I215="","",'Qualitative Disclosures for AS'!I215)</f>
        <v/>
      </c>
      <c r="J144" s="1718" t="str">
        <f>+IF('Qualitative Disclosures for AS'!J215="","",'Qualitative Disclosures for AS'!J215)</f>
        <v/>
      </c>
    </row>
    <row r="145" spans="3:11" hidden="1" x14ac:dyDescent="0.25">
      <c r="C145" s="1718" t="str">
        <f>+IF('Qualitative Disclosures for AS'!C216="","",'Qualitative Disclosures for AS'!C216)</f>
        <v/>
      </c>
      <c r="D145" s="1718" t="str">
        <f>+IF('Qualitative Disclosures for AS'!D216="","",'Qualitative Disclosures for AS'!D216)</f>
        <v/>
      </c>
      <c r="E145" s="1718" t="str">
        <f>+IF('Qualitative Disclosures for AS'!E216="","",'Qualitative Disclosures for AS'!E216)</f>
        <v/>
      </c>
      <c r="F145" s="1718" t="str">
        <f>+IF('Qualitative Disclosures for AS'!F216="","",'Qualitative Disclosures for AS'!F216)</f>
        <v/>
      </c>
      <c r="G145" s="1718" t="str">
        <f>+IF('Qualitative Disclosures for AS'!G216="","",'Qualitative Disclosures for AS'!G216)</f>
        <v/>
      </c>
      <c r="H145" s="1718" t="str">
        <f>+IF('Qualitative Disclosures for AS'!H216="","",'Qualitative Disclosures for AS'!H216)</f>
        <v/>
      </c>
      <c r="I145" s="1718" t="str">
        <f>+IF('Qualitative Disclosures for AS'!I216="","",'Qualitative Disclosures for AS'!I216)</f>
        <v/>
      </c>
      <c r="J145" s="1718" t="str">
        <f>+IF('Qualitative Disclosures for AS'!J216="","",'Qualitative Disclosures for AS'!J216)</f>
        <v/>
      </c>
    </row>
    <row r="146" spans="3:11" hidden="1" x14ac:dyDescent="0.25">
      <c r="C146" s="1718" t="str">
        <f>+IF('Qualitative Disclosures for AS'!C217="","",'Qualitative Disclosures for AS'!C217)</f>
        <v/>
      </c>
      <c r="D146" s="1718" t="str">
        <f>+IF('Qualitative Disclosures for AS'!D217="","",'Qualitative Disclosures for AS'!D217)</f>
        <v/>
      </c>
      <c r="E146" s="1718" t="str">
        <f>+IF('Qualitative Disclosures for AS'!E217="","",'Qualitative Disclosures for AS'!E217)</f>
        <v/>
      </c>
      <c r="F146" s="1718" t="str">
        <f>+IF('Qualitative Disclosures for AS'!F217="","",'Qualitative Disclosures for AS'!F217)</f>
        <v/>
      </c>
      <c r="G146" s="1718" t="str">
        <f>+IF('Qualitative Disclosures for AS'!G217="","",'Qualitative Disclosures for AS'!G217)</f>
        <v/>
      </c>
      <c r="H146" s="1718" t="str">
        <f>+IF('Qualitative Disclosures for AS'!H217="","",'Qualitative Disclosures for AS'!H217)</f>
        <v/>
      </c>
      <c r="I146" s="1718" t="str">
        <f>+IF('Qualitative Disclosures for AS'!I217="","",'Qualitative Disclosures for AS'!I217)</f>
        <v/>
      </c>
      <c r="J146" s="1718" t="str">
        <f>+IF('Qualitative Disclosures for AS'!J217="","",'Qualitative Disclosures for AS'!J217)</f>
        <v/>
      </c>
    </row>
    <row r="147" spans="3:11" hidden="1" x14ac:dyDescent="0.25">
      <c r="C147" s="1718" t="str">
        <f>+IF('Qualitative Disclosures for AS'!C218="","",'Qualitative Disclosures for AS'!C218)</f>
        <v/>
      </c>
      <c r="D147" s="1718" t="str">
        <f>+IF('Qualitative Disclosures for AS'!D218="","",'Qualitative Disclosures for AS'!D218)</f>
        <v/>
      </c>
      <c r="E147" s="1718" t="str">
        <f>+IF('Qualitative Disclosures for AS'!E218="","",'Qualitative Disclosures for AS'!E218)</f>
        <v/>
      </c>
      <c r="F147" s="1718" t="str">
        <f>+IF('Qualitative Disclosures for AS'!F218="","",'Qualitative Disclosures for AS'!F218)</f>
        <v/>
      </c>
      <c r="G147" s="1718" t="str">
        <f>+IF('Qualitative Disclosures for AS'!G218="","",'Qualitative Disclosures for AS'!G218)</f>
        <v/>
      </c>
      <c r="H147" s="1718" t="str">
        <f>+IF('Qualitative Disclosures for AS'!H218="","",'Qualitative Disclosures for AS'!H218)</f>
        <v/>
      </c>
      <c r="I147" s="1718" t="str">
        <f>+IF('Qualitative Disclosures for AS'!I218="","",'Qualitative Disclosures for AS'!I218)</f>
        <v/>
      </c>
      <c r="J147" s="1718" t="str">
        <f>+IF('Qualitative Disclosures for AS'!J218="","",'Qualitative Disclosures for AS'!J218)</f>
        <v/>
      </c>
    </row>
    <row r="148" spans="3:11" hidden="1" x14ac:dyDescent="0.25">
      <c r="C148" s="1718" t="str">
        <f>+IF('Qualitative Disclosures for AS'!C219="","",'Qualitative Disclosures for AS'!C219)</f>
        <v/>
      </c>
      <c r="D148" s="1718" t="str">
        <f>+IF('Qualitative Disclosures for AS'!D219="","",'Qualitative Disclosures for AS'!D219)</f>
        <v/>
      </c>
      <c r="E148" s="1718" t="str">
        <f>+IF('Qualitative Disclosures for AS'!E219="","",'Qualitative Disclosures for AS'!E219)</f>
        <v/>
      </c>
      <c r="F148" s="1718" t="str">
        <f>+IF('Qualitative Disclosures for AS'!F219="","",'Qualitative Disclosures for AS'!F219)</f>
        <v/>
      </c>
      <c r="G148" s="1718" t="str">
        <f>+IF('Qualitative Disclosures for AS'!G219="","",'Qualitative Disclosures for AS'!G219)</f>
        <v/>
      </c>
      <c r="H148" s="1718" t="str">
        <f>+IF('Qualitative Disclosures for AS'!H219="","",'Qualitative Disclosures for AS'!H219)</f>
        <v/>
      </c>
      <c r="I148" s="1718" t="str">
        <f>+IF('Qualitative Disclosures for AS'!I219="","",'Qualitative Disclosures for AS'!I219)</f>
        <v/>
      </c>
      <c r="J148" s="1718" t="str">
        <f>+IF('Qualitative Disclosures for AS'!J219="","",'Qualitative Disclosures for AS'!J219)</f>
        <v/>
      </c>
    </row>
    <row r="149" spans="3:11" hidden="1" x14ac:dyDescent="0.25">
      <c r="C149" s="1718" t="str">
        <f>+IF('Qualitative Disclosures for AS'!C220="","",'Qualitative Disclosures for AS'!C220)</f>
        <v/>
      </c>
      <c r="D149" s="1718" t="str">
        <f>+IF('Qualitative Disclosures for AS'!D220="","",'Qualitative Disclosures for AS'!D220)</f>
        <v/>
      </c>
      <c r="E149" s="1718" t="str">
        <f>+IF('Qualitative Disclosures for AS'!E220="","",'Qualitative Disclosures for AS'!E220)</f>
        <v/>
      </c>
      <c r="F149" s="1718" t="str">
        <f>+IF('Qualitative Disclosures for AS'!F220="","",'Qualitative Disclosures for AS'!F220)</f>
        <v/>
      </c>
      <c r="G149" s="1718" t="str">
        <f>+IF('Qualitative Disclosures for AS'!G220="","",'Qualitative Disclosures for AS'!G220)</f>
        <v/>
      </c>
      <c r="H149" s="1718" t="str">
        <f>+IF('Qualitative Disclosures for AS'!H220="","",'Qualitative Disclosures for AS'!H220)</f>
        <v/>
      </c>
      <c r="I149" s="1718" t="str">
        <f>+IF('Qualitative Disclosures for AS'!I220="","",'Qualitative Disclosures for AS'!I220)</f>
        <v/>
      </c>
      <c r="J149" s="1718" t="str">
        <f>+IF('Qualitative Disclosures for AS'!J220="","",'Qualitative Disclosures for AS'!J220)</f>
        <v/>
      </c>
    </row>
    <row r="150" spans="3:11" hidden="1" x14ac:dyDescent="0.25">
      <c r="C150" s="1718" t="str">
        <f>+IF('Qualitative Disclosures for AS'!C221="","",'Qualitative Disclosures for AS'!C221)</f>
        <v/>
      </c>
      <c r="D150" s="1718" t="str">
        <f>+IF('Qualitative Disclosures for AS'!D221="","",'Qualitative Disclosures for AS'!D221)</f>
        <v/>
      </c>
      <c r="E150" s="1718" t="str">
        <f>+IF('Qualitative Disclosures for AS'!E221="","",'Qualitative Disclosures for AS'!E221)</f>
        <v/>
      </c>
      <c r="F150" s="1718" t="str">
        <f>+IF('Qualitative Disclosures for AS'!F221="","",'Qualitative Disclosures for AS'!F221)</f>
        <v/>
      </c>
      <c r="G150" s="1718" t="str">
        <f>+IF('Qualitative Disclosures for AS'!G221="","",'Qualitative Disclosures for AS'!G221)</f>
        <v/>
      </c>
      <c r="H150" s="1718" t="str">
        <f>+IF('Qualitative Disclosures for AS'!H221="","",'Qualitative Disclosures for AS'!H221)</f>
        <v/>
      </c>
      <c r="I150" s="1718" t="str">
        <f>+IF('Qualitative Disclosures for AS'!I221="","",'Qualitative Disclosures for AS'!I221)</f>
        <v/>
      </c>
      <c r="J150" s="1718" t="str">
        <f>+IF('Qualitative Disclosures for AS'!J221="","",'Qualitative Disclosures for AS'!J221)</f>
        <v/>
      </c>
    </row>
    <row r="151" spans="3:11" hidden="1" x14ac:dyDescent="0.25">
      <c r="C151" s="1718" t="str">
        <f>+IF('Qualitative Disclosures for AS'!C222="","",'Qualitative Disclosures for AS'!C222)</f>
        <v/>
      </c>
      <c r="D151" s="1718" t="str">
        <f>+IF('Qualitative Disclosures for AS'!D222="","",'Qualitative Disclosures for AS'!D222)</f>
        <v/>
      </c>
      <c r="E151" s="1718" t="str">
        <f>+IF('Qualitative Disclosures for AS'!E222="","",'Qualitative Disclosures for AS'!E222)</f>
        <v/>
      </c>
      <c r="F151" s="1718" t="str">
        <f>+IF('Qualitative Disclosures for AS'!F222="","",'Qualitative Disclosures for AS'!F222)</f>
        <v/>
      </c>
      <c r="G151" s="1718" t="str">
        <f>+IF('Qualitative Disclosures for AS'!G222="","",'Qualitative Disclosures for AS'!G222)</f>
        <v/>
      </c>
      <c r="H151" s="1718" t="str">
        <f>+IF('Qualitative Disclosures for AS'!H222="","",'Qualitative Disclosures for AS'!H222)</f>
        <v/>
      </c>
      <c r="I151" s="1718" t="str">
        <f>+IF('Qualitative Disclosures for AS'!I222="","",'Qualitative Disclosures for AS'!I222)</f>
        <v/>
      </c>
      <c r="J151" s="1718" t="str">
        <f>+IF('Qualitative Disclosures for AS'!J222="","",'Qualitative Disclosures for AS'!J222)</f>
        <v/>
      </c>
    </row>
    <row r="152" spans="3:11" hidden="1" x14ac:dyDescent="0.25">
      <c r="C152" s="1714" t="str">
        <f>+IF('Qualitative Disclosures for AS'!C223="","",'Qualitative Disclosures for AS'!C223)</f>
        <v/>
      </c>
      <c r="D152" s="1718" t="str">
        <f>+IF('Qualitative Disclosures for AS'!D223="","",'Qualitative Disclosures for AS'!D223)</f>
        <v/>
      </c>
      <c r="E152" s="1718" t="str">
        <f>+IF('Qualitative Disclosures for AS'!E223="","",'Qualitative Disclosures for AS'!E223)</f>
        <v/>
      </c>
      <c r="F152" s="1718" t="str">
        <f>+IF('Qualitative Disclosures for AS'!F223="","",'Qualitative Disclosures for AS'!F223)</f>
        <v/>
      </c>
      <c r="G152" s="1718" t="str">
        <f>+IF('Qualitative Disclosures for AS'!G223="","",'Qualitative Disclosures for AS'!G223)</f>
        <v/>
      </c>
      <c r="H152" s="1718" t="str">
        <f>+IF('Qualitative Disclosures for AS'!H223="","",'Qualitative Disclosures for AS'!H223)</f>
        <v/>
      </c>
      <c r="I152" s="1718" t="str">
        <f>+IF('Qualitative Disclosures for AS'!I223="","",'Qualitative Disclosures for AS'!I223)</f>
        <v/>
      </c>
      <c r="J152" s="1718" t="str">
        <f>+IF('Qualitative Disclosures for AS'!J223="","",'Qualitative Disclosures for AS'!J223)</f>
        <v/>
      </c>
      <c r="K152" s="871"/>
    </row>
    <row r="153" spans="3:11" hidden="1" x14ac:dyDescent="0.25">
      <c r="C153" s="1714" t="str">
        <f>+IF('Qualitative Disclosures for AS'!C224="","",'Qualitative Disclosures for AS'!C224)</f>
        <v/>
      </c>
      <c r="D153" s="1718" t="str">
        <f>+IF('Qualitative Disclosures for AS'!D224="","",'Qualitative Disclosures for AS'!D224)</f>
        <v/>
      </c>
      <c r="E153" s="1718" t="str">
        <f>+IF('Qualitative Disclosures for AS'!E224="","",'Qualitative Disclosures for AS'!E224)</f>
        <v/>
      </c>
      <c r="F153" s="1718" t="str">
        <f>+IF('Qualitative Disclosures for AS'!F224="","",'Qualitative Disclosures for AS'!F224)</f>
        <v/>
      </c>
      <c r="G153" s="1718" t="str">
        <f>+IF('Qualitative Disclosures for AS'!G224="","",'Qualitative Disclosures for AS'!G224)</f>
        <v/>
      </c>
      <c r="H153" s="1718" t="str">
        <f>+IF('Qualitative Disclosures for AS'!H224="","",'Qualitative Disclosures for AS'!H224)</f>
        <v/>
      </c>
      <c r="I153" s="1718" t="str">
        <f>+IF('Qualitative Disclosures for AS'!I224="","",'Qualitative Disclosures for AS'!I224)</f>
        <v/>
      </c>
      <c r="J153" s="1718" t="str">
        <f>+IF('Qualitative Disclosures for AS'!J224="","",'Qualitative Disclosures for AS'!J224)</f>
        <v/>
      </c>
      <c r="K153" s="871"/>
    </row>
    <row r="154" spans="3:11" hidden="1" x14ac:dyDescent="0.25">
      <c r="C154" s="1714" t="str">
        <f>+IF('Qualitative Disclosures for AS'!C225="","",'Qualitative Disclosures for AS'!C225)</f>
        <v/>
      </c>
      <c r="D154" s="1715" t="str">
        <f>+IF('Qualitative Disclosures for AS'!D225="","",'Qualitative Disclosures for AS'!D225)</f>
        <v/>
      </c>
      <c r="E154" s="1715" t="str">
        <f>+IF('Qualitative Disclosures for AS'!E225="","",'Qualitative Disclosures for AS'!E225)</f>
        <v/>
      </c>
      <c r="F154" s="1715" t="str">
        <f>+IF('Qualitative Disclosures for AS'!F225="","",'Qualitative Disclosures for AS'!F225)</f>
        <v/>
      </c>
      <c r="G154" s="1715" t="str">
        <f>+IF('Qualitative Disclosures for AS'!G225="","",'Qualitative Disclosures for AS'!G225)</f>
        <v/>
      </c>
      <c r="H154" s="1715" t="str">
        <f>+IF('Qualitative Disclosures for AS'!H225="","",'Qualitative Disclosures for AS'!H225)</f>
        <v/>
      </c>
      <c r="I154" s="1715" t="str">
        <f>+IF('Qualitative Disclosures for AS'!I225="","",'Qualitative Disclosures for AS'!I225)</f>
        <v/>
      </c>
      <c r="J154" s="1715" t="str">
        <f>+IF('Qualitative Disclosures for AS'!J225="","",'Qualitative Disclosures for AS'!J225)</f>
        <v/>
      </c>
    </row>
    <row r="155" spans="3:11" hidden="1" x14ac:dyDescent="0.25"/>
  </sheetData>
  <sheetProtection formatCells="0" formatColumns="0" formatRows="0"/>
  <mergeCells count="18">
    <mergeCell ref="C15:I15"/>
    <mergeCell ref="C16:I16"/>
    <mergeCell ref="C24:I24"/>
    <mergeCell ref="C27:C28"/>
    <mergeCell ref="D27:F27"/>
    <mergeCell ref="G27:I27"/>
    <mergeCell ref="C140:I140"/>
    <mergeCell ref="C52:C53"/>
    <mergeCell ref="D52:F52"/>
    <mergeCell ref="G52:I52"/>
    <mergeCell ref="C98:I98"/>
    <mergeCell ref="C100:I100"/>
    <mergeCell ref="C101:I101"/>
    <mergeCell ref="C103:C104"/>
    <mergeCell ref="D103:E103"/>
    <mergeCell ref="F103:G103"/>
    <mergeCell ref="C137:I137"/>
    <mergeCell ref="C138:I138"/>
  </mergeCells>
  <pageMargins left="0.5" right="0.5" top="0.5" bottom="0.5" header="0.5" footer="0.5"/>
  <pageSetup scale="57" fitToHeight="0"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C3:J24"/>
  <sheetViews>
    <sheetView showGridLines="0" view="pageBreakPreview" zoomScale="80" zoomScaleNormal="70" zoomScaleSheetLayoutView="80" workbookViewId="0"/>
  </sheetViews>
  <sheetFormatPr defaultColWidth="8.85546875" defaultRowHeight="16.5" x14ac:dyDescent="0.25"/>
  <cols>
    <col min="1" max="2" width="3.7109375" style="18" customWidth="1"/>
    <col min="3" max="3" width="8.85546875" style="113"/>
    <col min="4" max="4" width="85.7109375" style="18" customWidth="1"/>
    <col min="5" max="5" width="20.7109375" style="18" customWidth="1"/>
    <col min="6" max="6" width="23" style="18" customWidth="1"/>
    <col min="7" max="7" width="3.7109375" style="18" customWidth="1"/>
    <col min="8" max="8" width="11.28515625" style="18" bestFit="1" customWidth="1"/>
    <col min="9" max="9" width="14.42578125" style="18" bestFit="1" customWidth="1"/>
    <col min="10" max="10" width="13.85546875" style="18" bestFit="1" customWidth="1"/>
    <col min="11" max="16384" width="8.85546875" style="18"/>
  </cols>
  <sheetData>
    <row r="3" spans="3:7" x14ac:dyDescent="0.25">
      <c r="C3" s="17" t="s">
        <v>3169</v>
      </c>
      <c r="E3" s="41"/>
      <c r="F3" s="41"/>
    </row>
    <row r="4" spans="3:7" x14ac:dyDescent="0.25">
      <c r="C4" s="17" t="s">
        <v>90</v>
      </c>
      <c r="E4" s="41"/>
      <c r="F4" s="41"/>
    </row>
    <row r="5" spans="3:7" x14ac:dyDescent="0.25">
      <c r="C5" s="18"/>
      <c r="E5" s="41"/>
      <c r="F5" s="41"/>
      <c r="G5" s="2382"/>
    </row>
    <row r="6" spans="3:7" hidden="1" x14ac:dyDescent="0.25">
      <c r="C6" s="17" t="s">
        <v>3530</v>
      </c>
      <c r="E6" s="41"/>
      <c r="F6" s="41"/>
    </row>
    <row r="7" spans="3:7" ht="17.25" thickBot="1" x14ac:dyDescent="0.3">
      <c r="C7" s="81"/>
      <c r="D7" s="41"/>
      <c r="E7" s="41"/>
      <c r="F7" s="41"/>
    </row>
    <row r="8" spans="3:7" ht="14.45" customHeight="1" x14ac:dyDescent="0.25">
      <c r="C8" s="2907" t="s">
        <v>203</v>
      </c>
      <c r="D8" s="2909" t="s">
        <v>20</v>
      </c>
      <c r="E8" s="2909"/>
      <c r="F8" s="2910"/>
    </row>
    <row r="9" spans="3:7" ht="14.45" customHeight="1" x14ac:dyDescent="0.25">
      <c r="C9" s="2908"/>
      <c r="D9" s="2836"/>
      <c r="E9" s="2836"/>
      <c r="F9" s="2911"/>
    </row>
    <row r="10" spans="3:7" x14ac:dyDescent="0.25">
      <c r="C10" s="2695">
        <v>23</v>
      </c>
      <c r="D10" s="2912" t="s">
        <v>3529</v>
      </c>
      <c r="E10" s="2913"/>
      <c r="F10" s="2914"/>
    </row>
    <row r="11" spans="3:7" x14ac:dyDescent="0.25">
      <c r="C11" s="2383"/>
      <c r="D11" s="2915" t="s">
        <v>376</v>
      </c>
      <c r="E11" s="2916"/>
      <c r="F11" s="2917"/>
    </row>
    <row r="12" spans="3:7" ht="41.25" customHeight="1" x14ac:dyDescent="0.25">
      <c r="C12" s="88"/>
      <c r="D12" s="2904" t="s">
        <v>3533</v>
      </c>
      <c r="E12" s="2905"/>
      <c r="F12" s="2906"/>
    </row>
    <row r="13" spans="3:7" ht="51" customHeight="1" x14ac:dyDescent="0.25">
      <c r="C13" s="2383"/>
      <c r="D13" s="2904" t="s">
        <v>3534</v>
      </c>
      <c r="E13" s="2905"/>
      <c r="F13" s="2906"/>
    </row>
    <row r="14" spans="3:7" x14ac:dyDescent="0.25">
      <c r="C14" s="2384"/>
      <c r="D14" s="116"/>
      <c r="E14" s="3"/>
      <c r="F14" s="2638" t="str">
        <f>+'AS 15 Disclosures'!G26</f>
        <v>Amount in Rs '00.</v>
      </c>
    </row>
    <row r="15" spans="3:7" ht="30" x14ac:dyDescent="0.25">
      <c r="C15" s="2384"/>
      <c r="D15" s="2609" t="s">
        <v>20</v>
      </c>
      <c r="E15" s="2385" t="s">
        <v>3532</v>
      </c>
      <c r="F15" s="2639" t="s">
        <v>3531</v>
      </c>
    </row>
    <row r="16" spans="3:7" x14ac:dyDescent="0.25">
      <c r="C16" s="2383"/>
      <c r="D16" s="2386" t="s">
        <v>3495</v>
      </c>
      <c r="E16" s="104"/>
      <c r="F16" s="2387"/>
    </row>
    <row r="17" spans="3:10" x14ac:dyDescent="0.25">
      <c r="C17" s="2383"/>
      <c r="D17" s="2640" t="s">
        <v>366</v>
      </c>
      <c r="E17" s="831">
        <f>+'AS 19 Disclosure'!H14</f>
        <v>10331846.5</v>
      </c>
      <c r="F17" s="2388">
        <v>0</v>
      </c>
      <c r="G17" s="841"/>
      <c r="H17" s="841"/>
    </row>
    <row r="18" spans="3:10" x14ac:dyDescent="0.25">
      <c r="C18" s="2383"/>
      <c r="D18" s="2640" t="s">
        <v>367</v>
      </c>
      <c r="E18" s="831">
        <f>+'AS 19 Disclosure'!H15</f>
        <v>2969400.625</v>
      </c>
      <c r="F18" s="2388">
        <v>0</v>
      </c>
      <c r="G18" s="841"/>
      <c r="H18" s="841"/>
      <c r="I18" s="2389"/>
      <c r="J18" s="2390"/>
    </row>
    <row r="19" spans="3:10" x14ac:dyDescent="0.25">
      <c r="C19" s="2383"/>
      <c r="D19" s="2640" t="s">
        <v>368</v>
      </c>
      <c r="E19" s="831">
        <f>+'AS 19 Disclosure'!H16</f>
        <v>0</v>
      </c>
      <c r="F19" s="2391">
        <v>0</v>
      </c>
      <c r="G19" s="841"/>
      <c r="H19" s="841"/>
    </row>
    <row r="20" spans="3:10" x14ac:dyDescent="0.25">
      <c r="C20" s="2383"/>
      <c r="D20" s="41"/>
      <c r="E20" s="843">
        <f>+E17+E18+E19</f>
        <v>13301247.125</v>
      </c>
      <c r="F20" s="2392">
        <f>+F17+F18+F19</f>
        <v>0</v>
      </c>
      <c r="G20" s="2389"/>
    </row>
    <row r="21" spans="3:10" x14ac:dyDescent="0.25">
      <c r="C21" s="2383"/>
      <c r="D21" s="3" t="s">
        <v>381</v>
      </c>
      <c r="E21" s="831">
        <f>+'AS 19 Disclosure'!H19</f>
        <v>9261994.5800000001</v>
      </c>
      <c r="F21" s="1046">
        <v>0</v>
      </c>
      <c r="G21" s="2389"/>
    </row>
    <row r="22" spans="3:10" ht="17.25" thickBot="1" x14ac:dyDescent="0.3">
      <c r="C22" s="2393"/>
      <c r="D22" s="2394"/>
      <c r="E22" s="117"/>
      <c r="F22" s="112"/>
      <c r="H22" s="2389"/>
    </row>
    <row r="23" spans="3:10" x14ac:dyDescent="0.25">
      <c r="F23" s="2389"/>
    </row>
    <row r="24" spans="3:10" x14ac:dyDescent="0.25">
      <c r="F24" s="2395"/>
      <c r="H24" s="2389"/>
    </row>
  </sheetData>
  <mergeCells count="6">
    <mergeCell ref="D13:F13"/>
    <mergeCell ref="C8:C9"/>
    <mergeCell ref="D8:F9"/>
    <mergeCell ref="D10:F10"/>
    <mergeCell ref="D11:F11"/>
    <mergeCell ref="D12:F12"/>
  </mergeCells>
  <printOptions horizontalCentered="1"/>
  <pageMargins left="0.5" right="0.5" top="0.5" bottom="0.5" header="0.5" footer="0.5"/>
  <pageSetup scale="65"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B8:AP120"/>
  <sheetViews>
    <sheetView showGridLines="0" view="pageBreakPreview" zoomScale="80" zoomScaleNormal="80" zoomScaleSheetLayoutView="80" workbookViewId="0">
      <selection activeCell="C1" sqref="C1"/>
    </sheetView>
  </sheetViews>
  <sheetFormatPr defaultColWidth="8.85546875" defaultRowHeight="16.5" x14ac:dyDescent="0.25"/>
  <cols>
    <col min="1" max="2" width="3.7109375" style="18" customWidth="1"/>
    <col min="3" max="3" width="66.28515625" style="18" customWidth="1"/>
    <col min="4" max="4" width="24.5703125" style="18" customWidth="1"/>
    <col min="5" max="5" width="14.5703125" style="18" bestFit="1" customWidth="1"/>
    <col min="6" max="7" width="13.42578125" style="18" bestFit="1" customWidth="1"/>
    <col min="8" max="8" width="3.7109375" style="18" customWidth="1"/>
    <col min="9" max="9" width="10.140625" style="18" customWidth="1"/>
    <col min="10" max="10" width="39.5703125" style="18" customWidth="1"/>
    <col min="11" max="11" width="14.5703125" style="18" customWidth="1"/>
    <col min="12" max="12" width="13" style="18" customWidth="1"/>
    <col min="13" max="13" width="12.85546875" style="18" customWidth="1"/>
    <col min="14" max="15" width="13" style="18" customWidth="1"/>
    <col min="16" max="16" width="13" style="18" hidden="1" customWidth="1"/>
    <col min="17" max="17" width="13" style="18" customWidth="1"/>
    <col min="18" max="16384" width="8.85546875" style="18"/>
  </cols>
  <sheetData>
    <row r="8" spans="2:16" x14ac:dyDescent="0.25">
      <c r="C8" s="17" t="str">
        <f>Company_Name</f>
        <v>Sample Company</v>
      </c>
      <c r="D8" s="41"/>
    </row>
    <row r="9" spans="2:16" x14ac:dyDescent="0.25">
      <c r="C9" s="17" t="s">
        <v>90</v>
      </c>
      <c r="D9" s="41"/>
    </row>
    <row r="10" spans="2:16" x14ac:dyDescent="0.25">
      <c r="D10" s="41"/>
    </row>
    <row r="11" spans="2:16" hidden="1" x14ac:dyDescent="0.25">
      <c r="C11" s="17" t="str">
        <f>'AS 15 Disclosures'!C11</f>
        <v>Note 21 Disclosures under Accounting Standards</v>
      </c>
      <c r="D11" s="41"/>
      <c r="P11" s="42" t="str" cm="1">
        <f t="array" ref="P11">IFERROR(INDEX(P12:P46, MATCH(TRUE,P12:P46="Yes",0)),"No")</f>
        <v>Yes</v>
      </c>
    </row>
    <row r="12" spans="2:16" hidden="1" x14ac:dyDescent="0.25">
      <c r="C12" s="41"/>
      <c r="D12" s="41"/>
    </row>
    <row r="13" spans="2:16" ht="14.45" hidden="1" customHeight="1" x14ac:dyDescent="0.25">
      <c r="C13" s="2918"/>
      <c r="D13" s="2919"/>
      <c r="E13" s="2919"/>
      <c r="F13" s="2919"/>
      <c r="G13" s="2919"/>
      <c r="H13" s="2919"/>
      <c r="I13" s="2919"/>
      <c r="J13" s="2919"/>
      <c r="K13" s="2919"/>
      <c r="L13" s="2919"/>
      <c r="M13" s="2920"/>
    </row>
    <row r="14" spans="2:16" ht="15" hidden="1" customHeight="1" x14ac:dyDescent="0.25">
      <c r="C14" s="2921"/>
      <c r="D14" s="2922"/>
      <c r="E14" s="2922"/>
      <c r="F14" s="2922"/>
      <c r="G14" s="2922"/>
      <c r="H14" s="2922"/>
      <c r="I14" s="2922"/>
      <c r="J14" s="2922"/>
      <c r="K14" s="2922"/>
      <c r="L14" s="2922"/>
      <c r="M14" s="2923"/>
    </row>
    <row r="15" spans="2:16" x14ac:dyDescent="0.25">
      <c r="B15" s="18">
        <v>24</v>
      </c>
      <c r="C15" s="42" t="str">
        <f>+IF('Qualitative Disclosures for AS'!C347="","",'Qualitative Disclosures for AS'!C347)</f>
        <v>Related party transactions</v>
      </c>
      <c r="D15" s="41" t="str">
        <f>+IF('Qualitative Disclosures for AS'!D347="","",'Qualitative Disclosures for AS'!D347)</f>
        <v/>
      </c>
      <c r="E15" s="18" t="str">
        <f>+IF('Qualitative Disclosures for AS'!E347="","",'Qualitative Disclosures for AS'!E347)</f>
        <v/>
      </c>
      <c r="F15" s="18" t="str">
        <f>+IF('Qualitative Disclosures for AS'!F347="","",'Qualitative Disclosures for AS'!F347)</f>
        <v/>
      </c>
      <c r="G15" s="18" t="str">
        <f>+IF('Qualitative Disclosures for AS'!G347="","",'Qualitative Disclosures for AS'!G347)</f>
        <v/>
      </c>
      <c r="M15" s="87"/>
    </row>
    <row r="16" spans="2:16" x14ac:dyDescent="0.25">
      <c r="C16" s="42" t="str">
        <f>+IF('Qualitative Disclosures for AS'!C348="","",'Qualitative Disclosures for AS'!C348)</f>
        <v>Details of related parties:</v>
      </c>
      <c r="D16" s="41" t="str">
        <f>+IF('Qualitative Disclosures for AS'!D348="","",'Qualitative Disclosures for AS'!D348)</f>
        <v/>
      </c>
      <c r="E16" s="18" t="str">
        <f>+IF('Qualitative Disclosures for AS'!E348="","",'Qualitative Disclosures for AS'!E348)</f>
        <v/>
      </c>
      <c r="F16" s="18" t="str">
        <f>+IF('Qualitative Disclosures for AS'!F348="","",'Qualitative Disclosures for AS'!F348)</f>
        <v/>
      </c>
      <c r="G16" s="18" t="str">
        <f>+IF('Qualitative Disclosures for AS'!G348="","",'Qualitative Disclosures for AS'!G348)</f>
        <v/>
      </c>
      <c r="M16" s="87"/>
    </row>
    <row r="17" spans="3:13" ht="30" customHeight="1" x14ac:dyDescent="0.25">
      <c r="C17" s="2636" t="str">
        <f>+IF('Qualitative Disclosures for AS'!C349="","",'Qualitative Disclosures for AS'!C349)</f>
        <v>Description of relationship</v>
      </c>
      <c r="D17" s="2924" t="str">
        <f>+IF('Qualitative Disclosures for AS'!D349="","",'Qualitative Disclosures for AS'!D349)</f>
        <v>Names of related parties</v>
      </c>
      <c r="E17" s="2924" t="str">
        <f>+IF('Qualitative Disclosures for AS'!E349="","",'Qualitative Disclosures for AS'!E349)</f>
        <v/>
      </c>
      <c r="F17" s="2924" t="str">
        <f>+IF('Qualitative Disclosures for AS'!F349="","",'Qualitative Disclosures for AS'!F349)</f>
        <v/>
      </c>
      <c r="G17" s="2924" t="str">
        <f>+IF('Qualitative Disclosures for AS'!G349="","",'Qualitative Disclosures for AS'!G349)</f>
        <v/>
      </c>
      <c r="H17" s="1155"/>
      <c r="I17" s="1155"/>
      <c r="M17" s="87"/>
    </row>
    <row r="18" spans="3:13" x14ac:dyDescent="0.25">
      <c r="C18" s="138" t="str">
        <f>+IF('Qualitative Disclosures for AS'!C350="","",'Qualitative Disclosures for AS'!C350)</f>
        <v>(i) Ultimate Holding Company</v>
      </c>
      <c r="D18" s="457" t="str">
        <f>+IF('Qualitative Disclosures for AS'!D350="","",'Qualitative Disclosures for AS'!D350)</f>
        <v>Meridian IT Asia Pacific Pty. Ltd.(Australia)</v>
      </c>
      <c r="G18" s="139" t="str">
        <f>+IF('Qualitative Disclosures for AS'!G350="","",'Qualitative Disclosures for AS'!G350)</f>
        <v/>
      </c>
      <c r="M18" s="87"/>
    </row>
    <row r="19" spans="3:13" x14ac:dyDescent="0.25">
      <c r="C19" s="72" t="str">
        <f>+IF('Qualitative Disclosures for AS'!C351="","",'Qualitative Disclosures for AS'!C351)</f>
        <v>(ii) Holding Company</v>
      </c>
      <c r="D19" s="457" t="str">
        <f>+IF('Qualitative Disclosures for AS'!D351="","",'Qualitative Disclosures for AS'!D351)</f>
        <v>Merex Technology Inc.</v>
      </c>
      <c r="E19" s="18" t="str">
        <f>+IF('Qualitative Disclosures for AS'!E351="","",'Qualitative Disclosures for AS'!E351)</f>
        <v/>
      </c>
      <c r="F19" s="18" t="str">
        <f>+IF('Qualitative Disclosures for AS'!F351="","",'Qualitative Disclosures for AS'!F351)</f>
        <v/>
      </c>
      <c r="G19" s="139" t="str">
        <f>+IF('Qualitative Disclosures for AS'!G351="","",'Qualitative Disclosures for AS'!G351)</f>
        <v/>
      </c>
      <c r="M19" s="87"/>
    </row>
    <row r="20" spans="3:13" ht="14.45" hidden="1" customHeight="1" x14ac:dyDescent="0.25">
      <c r="C20" s="72" t="str">
        <f>+IF('Qualitative Disclosures for AS'!C352="","",'Qualitative Disclosures for AS'!C352)</f>
        <v>(iii) Subsidiaries</v>
      </c>
      <c r="D20" s="457" t="str">
        <f>+IF('Qualitative Disclosures for AS'!D352="","",'Qualitative Disclosures for AS'!D352)</f>
        <v/>
      </c>
      <c r="E20" s="31" t="str">
        <f>+IF('Qualitative Disclosures for AS'!E352="","",'Qualitative Disclosures for AS'!E352)</f>
        <v/>
      </c>
      <c r="F20" s="18" t="str">
        <f>+IF('Qualitative Disclosures for AS'!F352="","",'Qualitative Disclosures for AS'!F352)</f>
        <v/>
      </c>
      <c r="G20" s="139" t="str">
        <f>+IF('Qualitative Disclosures for AS'!G352="","",'Qualitative Disclosures for AS'!G352)</f>
        <v/>
      </c>
      <c r="M20" s="87"/>
    </row>
    <row r="21" spans="3:13" x14ac:dyDescent="0.25">
      <c r="C21" s="72" t="str">
        <f>+IF('Qualitative Disclosures for AS'!C353="","",'Qualitative Disclosures for AS'!C353)</f>
        <v>(iii) Fellow Subsidiaries</v>
      </c>
      <c r="D21" s="457" t="str">
        <f>+IF('Qualitative Disclosures for AS'!D353="","",'Qualitative Disclosures for AS'!D353)</f>
        <v>Meridian IT Solutions Pte. Ltd. (Singapore)</v>
      </c>
      <c r="E21" s="31" t="str">
        <f>+IF('Qualitative Disclosures for AS'!E353="","",'Qualitative Disclosures for AS'!E353)</f>
        <v/>
      </c>
      <c r="F21" s="31" t="str">
        <f>+IF('Qualitative Disclosures for AS'!F353="","",'Qualitative Disclosures for AS'!F353)</f>
        <v/>
      </c>
      <c r="G21" s="140" t="str">
        <f>+IF('Qualitative Disclosures for AS'!G353="","",'Qualitative Disclosures for AS'!G353)</f>
        <v/>
      </c>
      <c r="H21" s="31"/>
      <c r="I21" s="31"/>
      <c r="M21" s="87"/>
    </row>
    <row r="22" spans="3:13" x14ac:dyDescent="0.25">
      <c r="C22" s="72"/>
      <c r="D22" s="457" t="str">
        <f>+'Qualitative Disclosures for AS'!D354</f>
        <v>Meridian IT Pty. Ltd. (Australia)</v>
      </c>
      <c r="E22" s="31"/>
      <c r="F22" s="31"/>
      <c r="G22" s="140"/>
      <c r="H22" s="31"/>
      <c r="I22" s="31"/>
      <c r="M22" s="87"/>
    </row>
    <row r="23" spans="3:13" x14ac:dyDescent="0.25">
      <c r="C23" s="72"/>
      <c r="D23" s="457" t="str">
        <f>+'Qualitative Disclosures for AS'!D355</f>
        <v>Meridian IT Inc. (USA)</v>
      </c>
      <c r="E23" s="31"/>
      <c r="F23" s="31"/>
      <c r="G23" s="140"/>
      <c r="H23" s="31"/>
      <c r="I23" s="31"/>
      <c r="M23" s="87"/>
    </row>
    <row r="24" spans="3:13" x14ac:dyDescent="0.25">
      <c r="C24" s="72"/>
      <c r="D24" s="457" t="str">
        <f>+'Qualitative Disclosures for AS'!D356</f>
        <v>Meridian IT Limited (UK)</v>
      </c>
      <c r="E24" s="31"/>
      <c r="F24" s="31"/>
      <c r="G24" s="140"/>
      <c r="H24" s="31"/>
      <c r="I24" s="31"/>
      <c r="M24" s="87"/>
    </row>
    <row r="25" spans="3:13" x14ac:dyDescent="0.25">
      <c r="C25" s="72"/>
      <c r="D25" s="457" t="str">
        <f>+'Qualitative Disclosures for AS'!D357</f>
        <v>Meridian Leasing Corporation</v>
      </c>
      <c r="E25" s="31"/>
      <c r="F25" s="31"/>
      <c r="G25" s="140"/>
      <c r="H25" s="31"/>
      <c r="I25" s="31"/>
      <c r="M25" s="87"/>
    </row>
    <row r="26" spans="3:13" x14ac:dyDescent="0.25">
      <c r="C26" s="72"/>
      <c r="D26" s="457" t="str">
        <f>+'Qualitative Disclosures for AS'!D358</f>
        <v>Concat AG</v>
      </c>
      <c r="E26" s="31"/>
      <c r="F26" s="31"/>
      <c r="G26" s="140"/>
      <c r="H26" s="31"/>
      <c r="I26" s="31"/>
      <c r="M26" s="87"/>
    </row>
    <row r="27" spans="3:13" ht="15.75" hidden="1" customHeight="1" x14ac:dyDescent="0.25">
      <c r="C27" s="72" t="str">
        <f>+IF('Qualitative Disclosures for AS'!C359="","",'Qualitative Disclosures for AS'!C359)</f>
        <v>(v) Jointly controlled operations (JCO) (Refer Note 27.13(i))</v>
      </c>
      <c r="D27" s="457"/>
      <c r="E27" s="31" t="str">
        <f>+IF('Qualitative Disclosures for AS'!E359="","",'Qualitative Disclosures for AS'!E359)</f>
        <v/>
      </c>
      <c r="F27" s="31" t="str">
        <f>+IF('Qualitative Disclosures for AS'!F359="","",'Qualitative Disclosures for AS'!F359)</f>
        <v/>
      </c>
      <c r="G27" s="140" t="str">
        <f>+IF('Qualitative Disclosures for AS'!G359="","",'Qualitative Disclosures for AS'!G359)</f>
        <v/>
      </c>
      <c r="H27" s="31"/>
      <c r="I27" s="31"/>
      <c r="M27" s="87"/>
    </row>
    <row r="28" spans="3:13" ht="16.149999999999999" hidden="1" customHeight="1" x14ac:dyDescent="0.25">
      <c r="C28" s="72" t="str">
        <f>+IF('Qualitative Disclosures for AS'!C360="","",'Qualitative Disclosures for AS'!C360)</f>
        <v>(vi) Jointly controlled entities (JCE) (Refer Note 27.13(ii))</v>
      </c>
      <c r="D28" s="457" t="str">
        <f>+IF('Qualitative Disclosures for AS'!D360="","",'Qualitative Disclosures for AS'!D360)</f>
        <v/>
      </c>
      <c r="E28" s="31" t="str">
        <f>+IF('Qualitative Disclosures for AS'!E360="","",'Qualitative Disclosures for AS'!E360)</f>
        <v/>
      </c>
      <c r="F28" s="31" t="str">
        <f>+IF('Qualitative Disclosures for AS'!F360="","",'Qualitative Disclosures for AS'!F360)</f>
        <v/>
      </c>
      <c r="G28" s="140" t="str">
        <f>+IF('Qualitative Disclosures for AS'!G360="","",'Qualitative Disclosures for AS'!G360)</f>
        <v/>
      </c>
      <c r="H28" s="31"/>
      <c r="I28" s="31"/>
      <c r="M28" s="87"/>
    </row>
    <row r="29" spans="3:13" ht="35.1" hidden="1" customHeight="1" x14ac:dyDescent="0.25">
      <c r="C29" s="72" t="str">
        <f>+IF('Qualitative Disclosures for AS'!C361="","",'Qualitative Disclosures for AS'!C361)</f>
        <v>(vii) Other venturers of (v) and (vi) above
        (Refer Note 27.13)</v>
      </c>
      <c r="D29" s="457" t="str">
        <f>+IF('Qualitative Disclosures for AS'!D361="","",'Qualitative Disclosures for AS'!D361)</f>
        <v/>
      </c>
      <c r="E29" s="31" t="str">
        <f>+IF('Qualitative Disclosures for AS'!E361="","",'Qualitative Disclosures for AS'!E361)</f>
        <v/>
      </c>
      <c r="F29" s="31" t="str">
        <f>+IF('Qualitative Disclosures for AS'!F361="","",'Qualitative Disclosures for AS'!F361)</f>
        <v/>
      </c>
      <c r="G29" s="140" t="str">
        <f>+IF('Qualitative Disclosures for AS'!G361="","",'Qualitative Disclosures for AS'!G361)</f>
        <v/>
      </c>
      <c r="H29" s="31"/>
      <c r="I29" s="31"/>
      <c r="M29" s="87"/>
    </row>
    <row r="30" spans="3:13" ht="14.45" hidden="1" customHeight="1" x14ac:dyDescent="0.25">
      <c r="C30" s="72" t="str">
        <f>+IF('Qualitative Disclosures for AS'!C362="","",'Qualitative Disclosures for AS'!C362)</f>
        <v>(viii) Associates</v>
      </c>
      <c r="D30" s="457" t="str">
        <f>+IF('Qualitative Disclosures for AS'!D362="","",'Qualitative Disclosures for AS'!D362)</f>
        <v/>
      </c>
      <c r="E30" s="31" t="str">
        <f>+IF('Qualitative Disclosures for AS'!E362="","",'Qualitative Disclosures for AS'!E362)</f>
        <v/>
      </c>
      <c r="F30" s="18" t="str">
        <f>+IF('Qualitative Disclosures for AS'!F362="","",'Qualitative Disclosures for AS'!F362)</f>
        <v/>
      </c>
      <c r="G30" s="139" t="str">
        <f>+IF('Qualitative Disclosures for AS'!G362="","",'Qualitative Disclosures for AS'!G362)</f>
        <v/>
      </c>
      <c r="M30" s="87"/>
    </row>
    <row r="31" spans="3:13" x14ac:dyDescent="0.25">
      <c r="C31" s="72" t="str">
        <f>+IF('Qualitative Disclosures for AS'!C363="","",'Qualitative Disclosures for AS'!C363)</f>
        <v>(iv) Key Management Personnel (KMP)</v>
      </c>
      <c r="D31" s="457" t="str">
        <f>+IF('Qualitative Disclosures for AS'!D363="","",'Qualitative Disclosures for AS'!D363)</f>
        <v>Joseph Burgio</v>
      </c>
      <c r="E31" s="31" t="str">
        <f>+IF('Qualitative Disclosures for AS'!E363="","",'Qualitative Disclosures for AS'!E363)</f>
        <v/>
      </c>
      <c r="F31" s="18" t="str">
        <f>+IF('Qualitative Disclosures for AS'!F363="","",'Qualitative Disclosures for AS'!F363)</f>
        <v/>
      </c>
      <c r="G31" s="139" t="str">
        <f>+IF('Qualitative Disclosures for AS'!G363="","",'Qualitative Disclosures for AS'!G363)</f>
        <v/>
      </c>
      <c r="M31" s="87"/>
    </row>
    <row r="32" spans="3:13" x14ac:dyDescent="0.25">
      <c r="C32" s="74"/>
      <c r="D32" s="1314" t="str">
        <f>+'Qualitative Disclosures for AS'!D364</f>
        <v>Murali Krishna</v>
      </c>
      <c r="E32" s="954"/>
      <c r="F32" s="84"/>
      <c r="G32" s="143"/>
      <c r="M32" s="87"/>
    </row>
    <row r="33" spans="3:42" ht="14.45" hidden="1" customHeight="1" x14ac:dyDescent="0.25">
      <c r="C33" s="869" t="str">
        <f>+IF('Qualitative Disclosures for AS'!C365="","",'Qualitative Disclosures for AS'!C365)</f>
        <v>(x) Relatives of KMP</v>
      </c>
      <c r="D33" s="141" t="str">
        <f>+IF('Qualitative Disclosures for AS'!D365="","",'Qualitative Disclosures for AS'!D365)</f>
        <v/>
      </c>
      <c r="E33" s="18" t="str">
        <f>+IF('Qualitative Disclosures for AS'!E365="","",'Qualitative Disclosures for AS'!E365)</f>
        <v/>
      </c>
      <c r="F33" s="18" t="str">
        <f>+IF('Qualitative Disclosures for AS'!F365="","",'Qualitative Disclosures for AS'!F365)</f>
        <v/>
      </c>
      <c r="G33" s="139" t="str">
        <f>+IF('Qualitative Disclosures for AS'!G365="","",'Qualitative Disclosures for AS'!G365)</f>
        <v/>
      </c>
      <c r="M33" s="87"/>
    </row>
    <row r="34" spans="3:42" ht="35.1" hidden="1" customHeight="1" x14ac:dyDescent="0.25">
      <c r="C34" s="869" t="str">
        <f>+IF('Qualitative Disclosures for AS'!C366="","",'Qualitative Disclosures for AS'!C366)</f>
        <v>(xi) Entities in which KMP / Relatives of KMP can exercise significant influence</v>
      </c>
      <c r="D34" s="142" t="str">
        <f>+IF('Qualitative Disclosures for AS'!D366="","",'Qualitative Disclosures for AS'!D366)</f>
        <v/>
      </c>
      <c r="E34" s="84" t="str">
        <f>+IF('Qualitative Disclosures for AS'!E366="","",'Qualitative Disclosures for AS'!E366)</f>
        <v/>
      </c>
      <c r="F34" s="84" t="str">
        <f>+IF('Qualitative Disclosures for AS'!F366="","",'Qualitative Disclosures for AS'!F366)</f>
        <v/>
      </c>
      <c r="G34" s="143" t="str">
        <f>+IF('Qualitative Disclosures for AS'!G366="","",'Qualitative Disclosures for AS'!G366)</f>
        <v/>
      </c>
      <c r="M34" s="87"/>
    </row>
    <row r="35" spans="3:42" x14ac:dyDescent="0.25">
      <c r="C35" s="32" t="str">
        <f>+IF('Qualitative Disclosures for AS'!C367="","",'Qualitative Disclosures for AS'!C367)</f>
        <v/>
      </c>
      <c r="D35" s="1156" t="str">
        <f>+IF('Qualitative Disclosures for AS'!D367="","",'Qualitative Disclosures for AS'!D367)</f>
        <v/>
      </c>
      <c r="E35" s="1156" t="str">
        <f>+IF('Qualitative Disclosures for AS'!E367="","",'Qualitative Disclosures for AS'!E367)</f>
        <v/>
      </c>
      <c r="F35" s="1156" t="str">
        <f>+IF('Qualitative Disclosures for AS'!F367="","",'Qualitative Disclosures for AS'!F367)</f>
        <v/>
      </c>
      <c r="G35" s="1156" t="str">
        <f>+IF('Qualitative Disclosures for AS'!G367="","",'Qualitative Disclosures for AS'!G367)</f>
        <v/>
      </c>
      <c r="H35" s="31"/>
      <c r="I35" s="31"/>
      <c r="M35" s="158"/>
    </row>
    <row r="36" spans="3:42" ht="30" customHeight="1" x14ac:dyDescent="0.25">
      <c r="C36" s="42" t="s">
        <v>3917</v>
      </c>
      <c r="D36" s="42"/>
      <c r="E36" s="42"/>
      <c r="F36" s="42"/>
      <c r="G36" s="42" t="str">
        <f>+IF('Qualitative Disclosures for AS'!G368="","",'Qualitative Disclosures for AS'!G368)</f>
        <v/>
      </c>
      <c r="H36" s="145"/>
      <c r="I36" s="145"/>
      <c r="M36" s="1084"/>
    </row>
    <row r="37" spans="3:42" x14ac:dyDescent="0.25">
      <c r="C37" s="101" t="str">
        <f>+IF('Qualitative Disclosures for AS'!C369="","",'Qualitative Disclosures for AS'!C369)</f>
        <v/>
      </c>
      <c r="D37" s="18" t="str">
        <f>+IF('Qualitative Disclosures for AS'!D369="","",'Qualitative Disclosures for AS'!D369)</f>
        <v/>
      </c>
      <c r="E37" s="18" t="str">
        <f>+IF('Qualitative Disclosures for AS'!E369="","",'Qualitative Disclosures for AS'!E369)</f>
        <v/>
      </c>
      <c r="F37" s="2928" t="s">
        <v>847</v>
      </c>
      <c r="G37" s="2928"/>
      <c r="J37" s="101"/>
      <c r="M37" s="87"/>
    </row>
    <row r="38" spans="3:42" ht="35.1" customHeight="1" x14ac:dyDescent="0.25">
      <c r="C38" s="2903" t="str">
        <f>+IF('Qualitative Disclosures for AS'!C370="","",'Qualitative Disclosures for AS'!C370)</f>
        <v>Particulars</v>
      </c>
      <c r="D38" s="2925" t="str">
        <f>+IF('Qualitative Disclosures for AS'!D370="","",'Qualitative Disclosures for AS'!D370)</f>
        <v>Transactions during year ended</v>
      </c>
      <c r="E38" s="2925" t="str">
        <f>+IF('Qualitative Disclosures for AS'!E370="","",'Qualitative Disclosures for AS'!E370)</f>
        <v/>
      </c>
      <c r="F38" s="2925" t="str">
        <f>+IF('Qualitative Disclosures for AS'!F370="","",'Qualitative Disclosures for AS'!F370)</f>
        <v>Amount outstanding</v>
      </c>
      <c r="G38" s="2925" t="str">
        <f>+IF('Qualitative Disclosures for AS'!G370="","",'Qualitative Disclosures for AS'!G370)</f>
        <v/>
      </c>
      <c r="J38" s="2926"/>
      <c r="K38" s="2927"/>
      <c r="L38" s="2927"/>
      <c r="M38" s="1157"/>
      <c r="N38" s="879"/>
      <c r="O38" s="879"/>
      <c r="P38" s="879"/>
      <c r="Q38" s="879"/>
    </row>
    <row r="39" spans="3:42" ht="60" x14ac:dyDescent="0.25">
      <c r="C39" s="2903" t="str">
        <f>+IF('Qualitative Disclosures for AS'!C371="","",'Qualitative Disclosures for AS'!C371)</f>
        <v/>
      </c>
      <c r="D39" s="1972" t="str">
        <f>+IF('Qualitative Disclosures for AS'!D371="","",'Qualitative Disclosures for AS'!D371)</f>
        <v>For the Year ended 31st March 2025</v>
      </c>
      <c r="E39" s="1972" t="str">
        <f>+IF('Qualitative Disclosures for AS'!E371="","",'Qualitative Disclosures for AS'!E371)</f>
        <v>For the Year ended 31st March 2024</v>
      </c>
      <c r="F39" s="1972" t="str">
        <f>+IF('Qualitative Disclosures for AS'!F371="","",'Qualitative Disclosures for AS'!F371)</f>
        <v>As At 31st March 2025 Receivable / (Payable)</v>
      </c>
      <c r="G39" s="1972" t="str">
        <f>+IF('Qualitative Disclosures for AS'!G371="","",'Qualitative Disclosures for AS'!G371)</f>
        <v>As At 31st March 2024 Receivable / (Payable)</v>
      </c>
      <c r="H39" s="147"/>
      <c r="I39" s="147"/>
      <c r="J39" s="2926"/>
      <c r="K39" s="879"/>
      <c r="L39" s="879"/>
      <c r="M39" s="1157"/>
      <c r="N39" s="879"/>
      <c r="O39" s="28"/>
      <c r="P39" s="28"/>
      <c r="Q39" s="28"/>
      <c r="AA39" s="147"/>
      <c r="AB39" s="147"/>
      <c r="AC39" s="147"/>
      <c r="AD39" s="147"/>
      <c r="AE39" s="147"/>
      <c r="AF39" s="147"/>
      <c r="AH39" s="147"/>
      <c r="AI39" s="147"/>
      <c r="AJ39" s="147"/>
      <c r="AK39" s="147"/>
      <c r="AL39" s="147"/>
      <c r="AM39" s="147"/>
      <c r="AN39" s="147"/>
      <c r="AO39" s="147"/>
      <c r="AP39" s="147"/>
    </row>
    <row r="40" spans="3:42" x14ac:dyDescent="0.25">
      <c r="C40" s="2623" t="str">
        <f>+IF('Qualitative Disclosures for AS'!C372="","",'Qualitative Disclosures for AS'!C372)</f>
        <v>Sale of goods / Rendering of services</v>
      </c>
      <c r="D40" s="125" t="str">
        <f>+IF('Qualitative Disclosures for AS'!D372="","",'Qualitative Disclosures for AS'!D372)</f>
        <v/>
      </c>
      <c r="E40" s="125" t="str">
        <f>+IF('Qualitative Disclosures for AS'!E372="","",'Qualitative Disclosures for AS'!E372)</f>
        <v/>
      </c>
      <c r="F40" s="125" t="str">
        <f>+IF('Qualitative Disclosures for AS'!F372="","",'Qualitative Disclosures for AS'!F372)</f>
        <v/>
      </c>
      <c r="G40" s="125" t="str">
        <f>+IF('Qualitative Disclosures for AS'!G372="","",'Qualitative Disclosures for AS'!G372)</f>
        <v/>
      </c>
      <c r="H40" s="147"/>
      <c r="I40" s="147"/>
      <c r="M40" s="87"/>
      <c r="P40" s="42" t="str">
        <f>IF(AND(N40=0,K40=0,D40=0,E40=0,F40=0,G40=0,L40=0,M40=0),"No","Yes")</f>
        <v>Yes</v>
      </c>
      <c r="AA40" s="147"/>
      <c r="AB40" s="147"/>
      <c r="AC40" s="147"/>
      <c r="AD40" s="147"/>
      <c r="AE40" s="147"/>
      <c r="AF40" s="147"/>
      <c r="AH40" s="147"/>
      <c r="AI40" s="147"/>
      <c r="AJ40" s="147"/>
      <c r="AK40" s="147"/>
      <c r="AL40" s="147"/>
      <c r="AM40" s="147"/>
      <c r="AN40" s="147"/>
      <c r="AO40" s="147"/>
      <c r="AP40" s="147"/>
    </row>
    <row r="41" spans="3:42" hidden="1" x14ac:dyDescent="0.25">
      <c r="C41" s="125" t="str">
        <f>+IF('Qualitative Disclosures for AS'!C373="","",'Qualitative Disclosures for AS'!C373)</f>
        <v>Ultimate Holding Company</v>
      </c>
      <c r="D41" s="125" t="str">
        <f>+IF('Qualitative Disclosures for AS'!D373="","",'Qualitative Disclosures for AS'!D373)</f>
        <v/>
      </c>
      <c r="E41" s="125" t="str">
        <f>+IF('Qualitative Disclosures for AS'!E373="","",'Qualitative Disclosures for AS'!E373)</f>
        <v/>
      </c>
      <c r="F41" s="125" t="str">
        <f>+IF('Qualitative Disclosures for AS'!F373="","",'Qualitative Disclosures for AS'!F373)</f>
        <v/>
      </c>
      <c r="G41" s="125" t="str">
        <f>+IF('Qualitative Disclosures for AS'!G373="","",'Qualitative Disclosures for AS'!G373)</f>
        <v/>
      </c>
      <c r="J41" s="101"/>
      <c r="M41" s="87"/>
      <c r="P41" s="42" t="str">
        <f t="shared" ref="P41:P85" si="0">IF(AND(N41=0,K41=0,D41=0,E41=0,F41=0,G41=0,L41=0,M41=0),"No","Yes")</f>
        <v>Yes</v>
      </c>
    </row>
    <row r="42" spans="3:42" hidden="1" x14ac:dyDescent="0.25">
      <c r="C42" s="125" t="str">
        <f>+IF('Qualitative Disclosures for AS'!C374="","",'Qualitative Disclosures for AS'!C374)</f>
        <v>Holding Company</v>
      </c>
      <c r="D42" s="125" t="str">
        <f>+IF('Qualitative Disclosures for AS'!D374="","",'Qualitative Disclosures for AS'!D374)</f>
        <v/>
      </c>
      <c r="E42" s="125" t="str">
        <f>+IF('Qualitative Disclosures for AS'!E374="","",'Qualitative Disclosures for AS'!E374)</f>
        <v/>
      </c>
      <c r="F42" s="125" t="str">
        <f>+IF('Qualitative Disclosures for AS'!F374="","",'Qualitative Disclosures for AS'!F374)</f>
        <v/>
      </c>
      <c r="G42" s="125" t="str">
        <f>+IF('Qualitative Disclosures for AS'!G374="","",'Qualitative Disclosures for AS'!G374)</f>
        <v/>
      </c>
      <c r="M42" s="87"/>
      <c r="P42" s="42" t="str">
        <f t="shared" si="0"/>
        <v>Yes</v>
      </c>
    </row>
    <row r="43" spans="3:42" hidden="1" x14ac:dyDescent="0.25">
      <c r="C43" s="125" t="str">
        <f>+IF('Qualitative Disclosures for AS'!C375="","",'Qualitative Disclosures for AS'!C375)</f>
        <v>Subsidiaries 1</v>
      </c>
      <c r="D43" s="125" t="str">
        <f>+IF('Qualitative Disclosures for AS'!D375="","",'Qualitative Disclosures for AS'!D375)</f>
        <v/>
      </c>
      <c r="E43" s="125" t="str">
        <f>+IF('Qualitative Disclosures for AS'!E375="","",'Qualitative Disclosures for AS'!E375)</f>
        <v/>
      </c>
      <c r="F43" s="125" t="str">
        <f>+IF('Qualitative Disclosures for AS'!F375="","",'Qualitative Disclosures for AS'!F375)</f>
        <v/>
      </c>
      <c r="G43" s="125" t="str">
        <f>+IF('Qualitative Disclosures for AS'!G375="","",'Qualitative Disclosures for AS'!G375)</f>
        <v/>
      </c>
      <c r="M43" s="87"/>
      <c r="P43" s="42" t="str">
        <f t="shared" si="0"/>
        <v>Yes</v>
      </c>
    </row>
    <row r="44" spans="3:42" hidden="1" x14ac:dyDescent="0.25">
      <c r="C44" s="125" t="str">
        <f>+IF('Qualitative Disclosures for AS'!C376="","",'Qualitative Disclosures for AS'!C376)</f>
        <v>Subsidiaries 2</v>
      </c>
      <c r="D44" s="125" t="str">
        <f>+IF('Qualitative Disclosures for AS'!D376="","",'Qualitative Disclosures for AS'!D376)</f>
        <v/>
      </c>
      <c r="E44" s="125" t="str">
        <f>+IF('Qualitative Disclosures for AS'!E376="","",'Qualitative Disclosures for AS'!E376)</f>
        <v/>
      </c>
      <c r="F44" s="125" t="str">
        <f>+IF('Qualitative Disclosures for AS'!F376="","",'Qualitative Disclosures for AS'!F376)</f>
        <v/>
      </c>
      <c r="G44" s="125" t="str">
        <f>+IF('Qualitative Disclosures for AS'!G376="","",'Qualitative Disclosures for AS'!G376)</f>
        <v/>
      </c>
      <c r="M44" s="87"/>
      <c r="P44" s="42" t="str">
        <f t="shared" si="0"/>
        <v>Yes</v>
      </c>
    </row>
    <row r="45" spans="3:42" x14ac:dyDescent="0.25">
      <c r="C45" s="2623" t="str">
        <f>+IF('Qualitative Disclosures for AS'!C377="","",'Qualitative Disclosures for AS'!C377)</f>
        <v>Fellow Subsidiaries</v>
      </c>
      <c r="D45" s="125" t="str">
        <f>+IF('Qualitative Disclosures for AS'!D377="","",'Qualitative Disclosures for AS'!D377)</f>
        <v/>
      </c>
      <c r="E45" s="125" t="str">
        <f>+IF('Qualitative Disclosures for AS'!E377="","",'Qualitative Disclosures for AS'!E377)</f>
        <v/>
      </c>
      <c r="F45" s="125" t="str">
        <f>+IF('Qualitative Disclosures for AS'!F377="","",'Qualitative Disclosures for AS'!F377)</f>
        <v/>
      </c>
      <c r="G45" s="125" t="str">
        <f>+IF('Qualitative Disclosures for AS'!G377="","",'Qualitative Disclosures for AS'!G377)</f>
        <v/>
      </c>
      <c r="M45" s="87"/>
      <c r="P45" s="42" t="str">
        <f t="shared" si="0"/>
        <v>Yes</v>
      </c>
    </row>
    <row r="46" spans="3:42" hidden="1" x14ac:dyDescent="0.25">
      <c r="C46" s="125" t="str">
        <f>+IF('Qualitative Disclosures for AS'!C378="","",'Qualitative Disclosures for AS'!C378)</f>
        <v>JCO / JCE</v>
      </c>
      <c r="D46" s="125" t="str">
        <f>+IF('Qualitative Disclosures for AS'!D378="","",'Qualitative Disclosures for AS'!D378)</f>
        <v/>
      </c>
      <c r="E46" s="125" t="str">
        <f>+IF('Qualitative Disclosures for AS'!E378="","",'Qualitative Disclosures for AS'!E378)</f>
        <v/>
      </c>
      <c r="F46" s="125" t="str">
        <f>+IF('Qualitative Disclosures for AS'!F378="","",'Qualitative Disclosures for AS'!F378)</f>
        <v/>
      </c>
      <c r="G46" s="125" t="str">
        <f>+IF('Qualitative Disclosures for AS'!G378="","",'Qualitative Disclosures for AS'!G378)</f>
        <v/>
      </c>
      <c r="M46" s="87"/>
      <c r="P46" s="42" t="str">
        <f t="shared" si="0"/>
        <v>Yes</v>
      </c>
    </row>
    <row r="47" spans="3:42" hidden="1" x14ac:dyDescent="0.25">
      <c r="C47" s="125" t="str">
        <f>+IF('Qualitative Disclosures for AS'!C379="","",'Qualitative Disclosures for AS'!C379)</f>
        <v>Other Venturers</v>
      </c>
      <c r="D47" s="125" t="str">
        <f>+IF('Qualitative Disclosures for AS'!D379="","",'Qualitative Disclosures for AS'!D379)</f>
        <v/>
      </c>
      <c r="E47" s="125" t="str">
        <f>+IF('Qualitative Disclosures for AS'!E379="","",'Qualitative Disclosures for AS'!E379)</f>
        <v/>
      </c>
      <c r="F47" s="125" t="str">
        <f>+IF('Qualitative Disclosures for AS'!F379="","",'Qualitative Disclosures for AS'!F379)</f>
        <v/>
      </c>
      <c r="G47" s="125" t="str">
        <f>+IF('Qualitative Disclosures for AS'!G379="","",'Qualitative Disclosures for AS'!G379)</f>
        <v/>
      </c>
      <c r="M47" s="87"/>
      <c r="P47" s="42" t="str">
        <f t="shared" si="0"/>
        <v>Yes</v>
      </c>
    </row>
    <row r="48" spans="3:42" hidden="1" x14ac:dyDescent="0.25">
      <c r="C48" s="125" t="str">
        <f>+IF('Qualitative Disclosures for AS'!C380="","",'Qualitative Disclosures for AS'!C380)</f>
        <v>Associates</v>
      </c>
      <c r="D48" s="125" t="str">
        <f>+IF('Qualitative Disclosures for AS'!D380="","",'Qualitative Disclosures for AS'!D380)</f>
        <v/>
      </c>
      <c r="E48" s="125" t="str">
        <f>+IF('Qualitative Disclosures for AS'!E380="","",'Qualitative Disclosures for AS'!E380)</f>
        <v/>
      </c>
      <c r="F48" s="125" t="str">
        <f>+IF('Qualitative Disclosures for AS'!F380="","",'Qualitative Disclosures for AS'!F380)</f>
        <v/>
      </c>
      <c r="G48" s="125" t="str">
        <f>+IF('Qualitative Disclosures for AS'!G380="","",'Qualitative Disclosures for AS'!G380)</f>
        <v/>
      </c>
      <c r="J48" s="101"/>
      <c r="M48" s="87"/>
      <c r="P48" s="42" t="str">
        <f t="shared" si="0"/>
        <v>Yes</v>
      </c>
    </row>
    <row r="49" spans="3:16" x14ac:dyDescent="0.25">
      <c r="C49" s="125" t="str">
        <f>+'Qualitative Disclosures for AS'!C381</f>
        <v>Meridian IT Limited (UK)</v>
      </c>
      <c r="D49" s="847">
        <f>+'Qualitative Disclosures for AS'!D381</f>
        <v>1048.5601000000001</v>
      </c>
      <c r="E49" s="847">
        <f>+'Qualitative Disclosures for AS'!E381</f>
        <v>3160</v>
      </c>
      <c r="F49" s="847">
        <v>0</v>
      </c>
      <c r="G49" s="847">
        <f>+'Qualitative Disclosures for AS'!G381</f>
        <v>134.84350000000001</v>
      </c>
      <c r="M49" s="87"/>
      <c r="P49" s="42" t="str">
        <f t="shared" si="0"/>
        <v>Yes</v>
      </c>
    </row>
    <row r="50" spans="3:16" x14ac:dyDescent="0.25">
      <c r="C50" s="125" t="str">
        <f>+'Qualitative Disclosures for AS'!C382</f>
        <v>Meridian Leasing Corporation</v>
      </c>
      <c r="D50" s="847">
        <f>+'Qualitative Disclosures for AS'!D382</f>
        <v>359261.53149999998</v>
      </c>
      <c r="E50" s="847">
        <f>+'Qualitative Disclosures for AS'!E382</f>
        <v>327000</v>
      </c>
      <c r="F50" s="847">
        <v>0</v>
      </c>
      <c r="G50" s="847">
        <v>0</v>
      </c>
      <c r="M50" s="87"/>
      <c r="P50" s="42"/>
    </row>
    <row r="51" spans="3:16" x14ac:dyDescent="0.25">
      <c r="C51" s="125" t="str">
        <f>+'Qualitative Disclosures for AS'!C383</f>
        <v>Meridian IT Inc. (USA)</v>
      </c>
      <c r="D51" s="847">
        <f>+'Qualitative Disclosures for AS'!D383</f>
        <v>99424.886999999988</v>
      </c>
      <c r="E51" s="847">
        <f>+'Qualitative Disclosures for AS'!E383</f>
        <v>146759</v>
      </c>
      <c r="F51" s="847">
        <f>+'Qualitative Disclosures for AS'!F383</f>
        <v>400044.04979999998</v>
      </c>
      <c r="G51" s="847">
        <f>+'Qualitative Disclosures for AS'!G383</f>
        <v>265440.26890000002</v>
      </c>
      <c r="M51" s="87"/>
      <c r="P51" s="42"/>
    </row>
    <row r="52" spans="3:16" hidden="1" x14ac:dyDescent="0.25">
      <c r="C52" s="125" t="str">
        <f>+'Qualitative Disclosures for AS'!C384</f>
        <v>Meridian IT Solutions Pte. Ltd. (Singapore)</v>
      </c>
      <c r="D52" s="847">
        <f>+'Qualitative Disclosures for AS'!D384</f>
        <v>0</v>
      </c>
      <c r="E52" s="847">
        <f>+'Qualitative Disclosures for AS'!E384</f>
        <v>0</v>
      </c>
      <c r="F52" s="847">
        <v>0</v>
      </c>
      <c r="G52" s="847">
        <v>0</v>
      </c>
      <c r="M52" s="87"/>
      <c r="P52" s="42"/>
    </row>
    <row r="53" spans="3:16" x14ac:dyDescent="0.25">
      <c r="C53" s="125" t="str">
        <f>+'Qualitative Disclosures for AS'!C385</f>
        <v>Meridian IT Pty. Ltd. (Australia)</v>
      </c>
      <c r="D53" s="847">
        <f>+'Qualitative Disclosures for AS'!D385</f>
        <v>3142.8989000000001</v>
      </c>
      <c r="E53" s="847">
        <f>+'Qualitative Disclosures for AS'!E385</f>
        <v>0</v>
      </c>
      <c r="F53" s="847">
        <v>0</v>
      </c>
      <c r="G53" s="847">
        <v>0</v>
      </c>
      <c r="M53" s="87"/>
      <c r="P53" s="42" t="str">
        <f t="shared" si="0"/>
        <v>Yes</v>
      </c>
    </row>
    <row r="54" spans="3:16" x14ac:dyDescent="0.25">
      <c r="C54" s="125" t="s">
        <v>3910</v>
      </c>
      <c r="D54" s="847">
        <f>+'Qualitative Disclosures for AS'!D386</f>
        <v>2024.99</v>
      </c>
      <c r="E54" s="847"/>
      <c r="F54" s="847"/>
      <c r="G54" s="847"/>
      <c r="M54" s="87"/>
      <c r="P54" s="42"/>
    </row>
    <row r="55" spans="3:16" x14ac:dyDescent="0.25">
      <c r="C55" s="125" t="str">
        <f>+IF('Qualitative Disclosures for AS'!C387="","",'Qualitative Disclosures for AS'!C387)</f>
        <v/>
      </c>
      <c r="D55" s="125" t="str">
        <f>+IF('Qualitative Disclosures for AS'!D387="","",'Qualitative Disclosures for AS'!D387)</f>
        <v/>
      </c>
      <c r="E55" s="125" t="str">
        <f>+IF('Qualitative Disclosures for AS'!E387="","",'Qualitative Disclosures for AS'!E387)</f>
        <v/>
      </c>
      <c r="F55" s="847" t="str">
        <f>+IF('Qualitative Disclosures for AS'!F387="","",'Qualitative Disclosures for AS'!F387)</f>
        <v/>
      </c>
      <c r="G55" s="847" t="str">
        <f>+IF('Qualitative Disclosures for AS'!G387="","",'Qualitative Disclosures for AS'!G387)</f>
        <v/>
      </c>
      <c r="M55" s="87"/>
      <c r="P55" s="42" t="str">
        <f t="shared" si="0"/>
        <v>Yes</v>
      </c>
    </row>
    <row r="56" spans="3:16" x14ac:dyDescent="0.25">
      <c r="C56" s="2623" t="str">
        <f>+IF('Qualitative Disclosures for AS'!C388="","",'Qualitative Disclosures for AS'!C388)</f>
        <v>Purchase of goods / Receiving of services</v>
      </c>
      <c r="D56" s="125" t="str">
        <f>+IF('Qualitative Disclosures for AS'!D388="","",'Qualitative Disclosures for AS'!D388)</f>
        <v/>
      </c>
      <c r="E56" s="125" t="str">
        <f>+IF('Qualitative Disclosures for AS'!E388="","",'Qualitative Disclosures for AS'!E388)</f>
        <v/>
      </c>
      <c r="F56" s="847" t="str">
        <f>+IF('Qualitative Disclosures for AS'!F388="","",'Qualitative Disclosures for AS'!F388)</f>
        <v/>
      </c>
      <c r="G56" s="847" t="str">
        <f>+IF('Qualitative Disclosures for AS'!G388="","",'Qualitative Disclosures for AS'!G388)</f>
        <v/>
      </c>
      <c r="M56" s="87"/>
      <c r="P56" s="42" t="str">
        <f t="shared" si="0"/>
        <v>Yes</v>
      </c>
    </row>
    <row r="57" spans="3:16" hidden="1" x14ac:dyDescent="0.25">
      <c r="C57" s="125" t="str">
        <f>+IF('Qualitative Disclosures for AS'!C389="","",'Qualitative Disclosures for AS'!C389)</f>
        <v>Ultimate Holding Company</v>
      </c>
      <c r="D57" s="125" t="str">
        <f>+IF('Qualitative Disclosures for AS'!D389="","",'Qualitative Disclosures for AS'!D389)</f>
        <v/>
      </c>
      <c r="E57" s="125" t="str">
        <f>+IF('Qualitative Disclosures for AS'!E389="","",'Qualitative Disclosures for AS'!E389)</f>
        <v/>
      </c>
      <c r="F57" s="847" t="str">
        <f>+IF('Qualitative Disclosures for AS'!F389="","",'Qualitative Disclosures for AS'!F389)</f>
        <v/>
      </c>
      <c r="G57" s="847" t="str">
        <f>+IF('Qualitative Disclosures for AS'!G389="","",'Qualitative Disclosures for AS'!G389)</f>
        <v/>
      </c>
      <c r="M57" s="87"/>
      <c r="P57" s="42" t="str">
        <f t="shared" si="0"/>
        <v>Yes</v>
      </c>
    </row>
    <row r="58" spans="3:16" hidden="1" x14ac:dyDescent="0.25">
      <c r="C58" s="125" t="str">
        <f>+IF('Qualitative Disclosures for AS'!C390="","",'Qualitative Disclosures for AS'!C390)</f>
        <v>Holding Company</v>
      </c>
      <c r="D58" s="125" t="str">
        <f>+IF('Qualitative Disclosures for AS'!D390="","",'Qualitative Disclosures for AS'!D390)</f>
        <v/>
      </c>
      <c r="E58" s="125" t="str">
        <f>+IF('Qualitative Disclosures for AS'!E390="","",'Qualitative Disclosures for AS'!E390)</f>
        <v/>
      </c>
      <c r="F58" s="847" t="str">
        <f>+IF('Qualitative Disclosures for AS'!F390="","",'Qualitative Disclosures for AS'!F390)</f>
        <v/>
      </c>
      <c r="G58" s="847" t="str">
        <f>+IF('Qualitative Disclosures for AS'!G390="","",'Qualitative Disclosures for AS'!G390)</f>
        <v/>
      </c>
      <c r="M58" s="87"/>
      <c r="P58" s="42" t="str">
        <f t="shared" si="0"/>
        <v>Yes</v>
      </c>
    </row>
    <row r="59" spans="3:16" hidden="1" x14ac:dyDescent="0.25">
      <c r="C59" s="125" t="str">
        <f>+IF('Qualitative Disclosures for AS'!C391="","",'Qualitative Disclosures for AS'!C391)</f>
        <v>Subsidiaries</v>
      </c>
      <c r="D59" s="125" t="str">
        <f>+IF('Qualitative Disclosures for AS'!D391="","",'Qualitative Disclosures for AS'!D391)</f>
        <v/>
      </c>
      <c r="E59" s="125" t="str">
        <f>+IF('Qualitative Disclosures for AS'!E391="","",'Qualitative Disclosures for AS'!E391)</f>
        <v/>
      </c>
      <c r="F59" s="847" t="str">
        <f>+IF('Qualitative Disclosures for AS'!F391="","",'Qualitative Disclosures for AS'!F391)</f>
        <v/>
      </c>
      <c r="G59" s="847" t="str">
        <f>+IF('Qualitative Disclosures for AS'!G391="","",'Qualitative Disclosures for AS'!G391)</f>
        <v/>
      </c>
      <c r="J59" s="101"/>
      <c r="M59" s="87"/>
      <c r="P59" s="42" t="str">
        <f t="shared" si="0"/>
        <v>Yes</v>
      </c>
    </row>
    <row r="60" spans="3:16" x14ac:dyDescent="0.25">
      <c r="C60" s="2623" t="str">
        <f>+IF('Qualitative Disclosures for AS'!C392="","",'Qualitative Disclosures for AS'!C392)</f>
        <v>Fellow Subsidiaries</v>
      </c>
      <c r="D60" s="125" t="str">
        <f>+IF('Qualitative Disclosures for AS'!D392="","",'Qualitative Disclosures for AS'!D392)</f>
        <v/>
      </c>
      <c r="E60" s="125" t="str">
        <f>+IF('Qualitative Disclosures for AS'!E392="","",'Qualitative Disclosures for AS'!E392)</f>
        <v/>
      </c>
      <c r="F60" s="847" t="str">
        <f>+IF('Qualitative Disclosures for AS'!F392="","",'Qualitative Disclosures for AS'!F392)</f>
        <v/>
      </c>
      <c r="G60" s="847" t="str">
        <f>+IF('Qualitative Disclosures for AS'!G392="","",'Qualitative Disclosures for AS'!G392)</f>
        <v/>
      </c>
      <c r="M60" s="87"/>
      <c r="P60" s="42" t="str">
        <f t="shared" si="0"/>
        <v>Yes</v>
      </c>
    </row>
    <row r="61" spans="3:16" hidden="1" x14ac:dyDescent="0.25">
      <c r="C61" s="125" t="str">
        <f>+IF('Qualitative Disclosures for AS'!C393="","",'Qualitative Disclosures for AS'!C393)</f>
        <v>JCO / JCE</v>
      </c>
      <c r="D61" s="125" t="str">
        <f>+IF('Qualitative Disclosures for AS'!D393="","",'Qualitative Disclosures for AS'!D393)</f>
        <v/>
      </c>
      <c r="E61" s="125" t="str">
        <f>+IF('Qualitative Disclosures for AS'!E393="","",'Qualitative Disclosures for AS'!E393)</f>
        <v/>
      </c>
      <c r="F61" s="847" t="str">
        <f>+IF('Qualitative Disclosures for AS'!F393="","",'Qualitative Disclosures for AS'!F393)</f>
        <v/>
      </c>
      <c r="G61" s="847" t="str">
        <f>+IF('Qualitative Disclosures for AS'!G393="","",'Qualitative Disclosures for AS'!G393)</f>
        <v/>
      </c>
      <c r="M61" s="87"/>
      <c r="P61" s="42" t="str">
        <f t="shared" si="0"/>
        <v>Yes</v>
      </c>
    </row>
    <row r="62" spans="3:16" hidden="1" x14ac:dyDescent="0.25">
      <c r="C62" s="125" t="str">
        <f>+IF('Qualitative Disclosures for AS'!C394="","",'Qualitative Disclosures for AS'!C394)</f>
        <v>Other Venturers</v>
      </c>
      <c r="D62" s="125" t="str">
        <f>+IF('Qualitative Disclosures for AS'!D394="","",'Qualitative Disclosures for AS'!D394)</f>
        <v/>
      </c>
      <c r="E62" s="125" t="str">
        <f>+IF('Qualitative Disclosures for AS'!E394="","",'Qualitative Disclosures for AS'!E394)</f>
        <v/>
      </c>
      <c r="F62" s="847" t="str">
        <f>+IF('Qualitative Disclosures for AS'!F394="","",'Qualitative Disclosures for AS'!F394)</f>
        <v/>
      </c>
      <c r="G62" s="847" t="str">
        <f>+IF('Qualitative Disclosures for AS'!G394="","",'Qualitative Disclosures for AS'!G394)</f>
        <v/>
      </c>
      <c r="M62" s="87"/>
      <c r="P62" s="42" t="str">
        <f t="shared" si="0"/>
        <v>Yes</v>
      </c>
    </row>
    <row r="63" spans="3:16" hidden="1" x14ac:dyDescent="0.25">
      <c r="C63" s="125" t="str">
        <f>+IF('Qualitative Disclosures for AS'!C395="","",'Qualitative Disclosures for AS'!C395)</f>
        <v>Associates</v>
      </c>
      <c r="D63" s="125" t="str">
        <f>+IF('Qualitative Disclosures for AS'!D395="","",'Qualitative Disclosures for AS'!D395)</f>
        <v/>
      </c>
      <c r="E63" s="125" t="str">
        <f>+IF('Qualitative Disclosures for AS'!E395="","",'Qualitative Disclosures for AS'!E395)</f>
        <v/>
      </c>
      <c r="F63" s="847" t="str">
        <f>+IF('Qualitative Disclosures for AS'!F395="","",'Qualitative Disclosures for AS'!F395)</f>
        <v/>
      </c>
      <c r="G63" s="847" t="str">
        <f>+IF('Qualitative Disclosures for AS'!G395="","",'Qualitative Disclosures for AS'!G395)</f>
        <v/>
      </c>
      <c r="M63" s="87"/>
      <c r="P63" s="42" t="str">
        <f t="shared" si="0"/>
        <v>Yes</v>
      </c>
    </row>
    <row r="64" spans="3:16" hidden="1" x14ac:dyDescent="0.25">
      <c r="C64" s="125" t="str">
        <f>+IF('Qualitative Disclosures for AS'!C404="","",'Qualitative Disclosures for AS'!C404)</f>
        <v>KMP</v>
      </c>
      <c r="D64" s="125" t="str">
        <f>+IF('Qualitative Disclosures for AS'!D404="","",'Qualitative Disclosures for AS'!D404)</f>
        <v/>
      </c>
      <c r="E64" s="125" t="str">
        <f>+IF('Qualitative Disclosures for AS'!E404="","",'Qualitative Disclosures for AS'!E404)</f>
        <v/>
      </c>
      <c r="F64" s="847" t="str">
        <f>+IF('Qualitative Disclosures for AS'!F404="","",'Qualitative Disclosures for AS'!F404)</f>
        <v/>
      </c>
      <c r="G64" s="847" t="str">
        <f>+IF('Qualitative Disclosures for AS'!G404="","",'Qualitative Disclosures for AS'!G404)</f>
        <v/>
      </c>
      <c r="M64" s="87"/>
      <c r="P64" s="42" t="str">
        <f t="shared" si="0"/>
        <v>Yes</v>
      </c>
    </row>
    <row r="65" spans="3:16" hidden="1" x14ac:dyDescent="0.25">
      <c r="C65" s="125" t="str">
        <f>+IF('Qualitative Disclosures for AS'!C405="","",'Qualitative Disclosures for AS'!C405)</f>
        <v>Relatives of KMP</v>
      </c>
      <c r="D65" s="125" t="str">
        <f>+IF('Qualitative Disclosures for AS'!D405="","",'Qualitative Disclosures for AS'!D405)</f>
        <v/>
      </c>
      <c r="E65" s="125" t="str">
        <f>+IF('Qualitative Disclosures for AS'!E405="","",'Qualitative Disclosures for AS'!E405)</f>
        <v/>
      </c>
      <c r="F65" s="847" t="str">
        <f>+IF('Qualitative Disclosures for AS'!F405="","",'Qualitative Disclosures for AS'!F405)</f>
        <v/>
      </c>
      <c r="G65" s="847" t="str">
        <f>+IF('Qualitative Disclosures for AS'!G405="","",'Qualitative Disclosures for AS'!G405)</f>
        <v/>
      </c>
      <c r="M65" s="87"/>
      <c r="P65" s="42" t="str">
        <f t="shared" si="0"/>
        <v>Yes</v>
      </c>
    </row>
    <row r="66" spans="3:16" hidden="1" x14ac:dyDescent="0.25">
      <c r="C66" s="125" t="str">
        <f>+'Qualitative Disclosures for AS'!C396</f>
        <v>Meridian IT Limited (UK)</v>
      </c>
      <c r="D66" s="847">
        <f>+'Qualitative Disclosures for AS'!D396</f>
        <v>0</v>
      </c>
      <c r="E66" s="847">
        <f>+'Qualitative Disclosures for AS'!E396</f>
        <v>0</v>
      </c>
      <c r="F66" s="847">
        <v>0</v>
      </c>
      <c r="G66" s="847">
        <v>0</v>
      </c>
      <c r="M66" s="87"/>
      <c r="P66" s="42"/>
    </row>
    <row r="67" spans="3:16" hidden="1" x14ac:dyDescent="0.25">
      <c r="C67" s="125" t="str">
        <f>+'Qualitative Disclosures for AS'!C397</f>
        <v>Meridian Leasing Corporation</v>
      </c>
      <c r="D67" s="847">
        <f>+'Qualitative Disclosures for AS'!D397</f>
        <v>0</v>
      </c>
      <c r="E67" s="847">
        <f>+'Qualitative Disclosures for AS'!E397</f>
        <v>0</v>
      </c>
      <c r="F67" s="847">
        <v>0</v>
      </c>
      <c r="G67" s="847">
        <v>0</v>
      </c>
      <c r="M67" s="87"/>
      <c r="P67" s="42"/>
    </row>
    <row r="68" spans="3:16" x14ac:dyDescent="0.25">
      <c r="C68" s="125" t="str">
        <f>+'Qualitative Disclosures for AS'!C398</f>
        <v>Meridian IT Inc. (USA)</v>
      </c>
      <c r="D68" s="847">
        <f>+'Qualitative Disclosures for AS'!D398</f>
        <v>0</v>
      </c>
      <c r="E68" s="847">
        <f>+'Qualitative Disclosures for AS'!E398</f>
        <v>0</v>
      </c>
      <c r="F68" s="847">
        <f>+'Qualitative Disclosures for AS'!F398</f>
        <v>59682.712300000007</v>
      </c>
      <c r="G68" s="847">
        <v>0</v>
      </c>
      <c r="M68" s="87"/>
      <c r="P68" s="42"/>
    </row>
    <row r="69" spans="3:16" hidden="1" x14ac:dyDescent="0.25">
      <c r="C69" s="125" t="str">
        <f>+'Qualitative Disclosures for AS'!C399</f>
        <v>Meridian IT Solutions Pte. Ltd. (SG)</v>
      </c>
      <c r="D69" s="847">
        <f>+'Qualitative Disclosures for AS'!D399</f>
        <v>0</v>
      </c>
      <c r="E69" s="847">
        <f>+'Qualitative Disclosures for AS'!E399</f>
        <v>0</v>
      </c>
      <c r="F69" s="847">
        <v>0</v>
      </c>
      <c r="G69" s="847">
        <v>0</v>
      </c>
      <c r="M69" s="87"/>
      <c r="P69" s="42"/>
    </row>
    <row r="70" spans="3:16" x14ac:dyDescent="0.25">
      <c r="C70" s="125" t="s">
        <v>3554</v>
      </c>
      <c r="D70" s="847">
        <f>+'Qualitative Disclosures for AS'!D400</f>
        <v>837.24009999999998</v>
      </c>
      <c r="E70" s="847">
        <f>+'Qualitative Disclosures for AS'!E400</f>
        <v>0</v>
      </c>
      <c r="F70" s="847"/>
      <c r="G70" s="847"/>
      <c r="M70" s="87"/>
      <c r="P70" s="42"/>
    </row>
    <row r="71" spans="3:16" x14ac:dyDescent="0.25">
      <c r="C71" s="125" t="s">
        <v>2217</v>
      </c>
      <c r="D71" s="847">
        <f>+'Qualitative Disclosures for AS'!D401</f>
        <v>0</v>
      </c>
      <c r="E71" s="847">
        <f>+'Qualitative Disclosures for AS'!E401</f>
        <v>72824</v>
      </c>
      <c r="F71" s="847"/>
      <c r="G71" s="847">
        <f>+'Qualitative Disclosures for AS'!G401</f>
        <v>6905.2138999999997</v>
      </c>
      <c r="M71" s="87"/>
      <c r="P71" s="42"/>
    </row>
    <row r="72" spans="3:16" x14ac:dyDescent="0.25">
      <c r="C72" s="125" t="str">
        <f>+'Qualitative Disclosures for AS'!C402</f>
        <v>Meridian IT Pty. Ltd. (Australia)</v>
      </c>
      <c r="D72" s="847">
        <f>+'Qualitative Disclosures for AS'!D402</f>
        <v>370250.09080000001</v>
      </c>
      <c r="E72" s="847">
        <f>+'Qualitative Disclosures for AS'!E402</f>
        <v>459232</v>
      </c>
      <c r="F72" s="847">
        <v>0</v>
      </c>
      <c r="G72" s="847">
        <v>0</v>
      </c>
      <c r="M72" s="87"/>
      <c r="P72" s="42"/>
    </row>
    <row r="73" spans="3:16" hidden="1" x14ac:dyDescent="0.25">
      <c r="C73" s="125"/>
      <c r="D73" s="125"/>
      <c r="E73" s="125"/>
      <c r="F73" s="847"/>
      <c r="G73" s="847"/>
      <c r="M73" s="87"/>
      <c r="P73" s="42"/>
    </row>
    <row r="74" spans="3:16" hidden="1" x14ac:dyDescent="0.25">
      <c r="C74" s="125"/>
      <c r="D74" s="125"/>
      <c r="E74" s="125"/>
      <c r="F74" s="847"/>
      <c r="G74" s="847"/>
      <c r="M74" s="87"/>
      <c r="P74" s="42"/>
    </row>
    <row r="75" spans="3:16" x14ac:dyDescent="0.25">
      <c r="C75" s="125" t="str">
        <f>+IF('Qualitative Disclosures for AS'!C406="","",'Qualitative Disclosures for AS'!C406)</f>
        <v/>
      </c>
      <c r="D75" s="125" t="str">
        <f>+IF('Qualitative Disclosures for AS'!D406="","",'Qualitative Disclosures for AS'!D406)</f>
        <v/>
      </c>
      <c r="E75" s="125" t="str">
        <f>+IF('Qualitative Disclosures for AS'!E406="","",'Qualitative Disclosures for AS'!E406)</f>
        <v/>
      </c>
      <c r="F75" s="847" t="str">
        <f>+IF('Qualitative Disclosures for AS'!F406="","",'Qualitative Disclosures for AS'!F406)</f>
        <v/>
      </c>
      <c r="G75" s="847" t="str">
        <f>+IF('Qualitative Disclosures for AS'!G406="","",'Qualitative Disclosures for AS'!G406)</f>
        <v/>
      </c>
      <c r="J75" s="101"/>
      <c r="M75" s="87"/>
      <c r="P75" s="42" t="str">
        <f t="shared" si="0"/>
        <v>Yes</v>
      </c>
    </row>
    <row r="76" spans="3:16" hidden="1" x14ac:dyDescent="0.25">
      <c r="C76" s="2623" t="str">
        <f>+IF('Qualitative Disclosures for AS'!C407="","",'Qualitative Disclosures for AS'!C407)</f>
        <v>Other Income / (Expenses)</v>
      </c>
      <c r="D76" s="125" t="str">
        <f>+IF('Qualitative Disclosures for AS'!D407="","",'Qualitative Disclosures for AS'!D407)</f>
        <v/>
      </c>
      <c r="E76" s="125" t="str">
        <f>+IF('Qualitative Disclosures for AS'!E407="","",'Qualitative Disclosures for AS'!E407)</f>
        <v/>
      </c>
      <c r="F76" s="847" t="str">
        <f>+IF('Qualitative Disclosures for AS'!F407="","",'Qualitative Disclosures for AS'!F407)</f>
        <v/>
      </c>
      <c r="G76" s="847" t="str">
        <f>+IF('Qualitative Disclosures for AS'!G407="","",'Qualitative Disclosures for AS'!G407)</f>
        <v/>
      </c>
      <c r="M76" s="87"/>
      <c r="P76" s="42" t="str">
        <f t="shared" si="0"/>
        <v>Yes</v>
      </c>
    </row>
    <row r="77" spans="3:16" hidden="1" x14ac:dyDescent="0.25">
      <c r="C77" s="125" t="str">
        <f>+IF('Qualitative Disclosures for AS'!C408="","",'Qualitative Disclosures for AS'!C408)</f>
        <v>Ultimate Holding Company</v>
      </c>
      <c r="D77" s="125" t="str">
        <f>+IF('Qualitative Disclosures for AS'!D408="","",'Qualitative Disclosures for AS'!D408)</f>
        <v/>
      </c>
      <c r="E77" s="125" t="str">
        <f>+IF('Qualitative Disclosures for AS'!E408="","",'Qualitative Disclosures for AS'!E408)</f>
        <v/>
      </c>
      <c r="F77" s="847" t="str">
        <f>+IF('Qualitative Disclosures for AS'!F408="","",'Qualitative Disclosures for AS'!F408)</f>
        <v/>
      </c>
      <c r="G77" s="847" t="str">
        <f>+IF('Qualitative Disclosures for AS'!G408="","",'Qualitative Disclosures for AS'!G408)</f>
        <v/>
      </c>
      <c r="M77" s="87"/>
      <c r="P77" s="42" t="str">
        <f t="shared" si="0"/>
        <v>Yes</v>
      </c>
    </row>
    <row r="78" spans="3:16" hidden="1" x14ac:dyDescent="0.25">
      <c r="C78" s="125" t="str">
        <f>+IF('Qualitative Disclosures for AS'!C409="","",'Qualitative Disclosures for AS'!C409)</f>
        <v>Holding Company</v>
      </c>
      <c r="D78" s="125" t="str">
        <f>+IF('Qualitative Disclosures for AS'!D409="","",'Qualitative Disclosures for AS'!D409)</f>
        <v/>
      </c>
      <c r="E78" s="125" t="str">
        <f>+IF('Qualitative Disclosures for AS'!E409="","",'Qualitative Disclosures for AS'!E409)</f>
        <v/>
      </c>
      <c r="F78" s="847" t="str">
        <f>+IF('Qualitative Disclosures for AS'!F409="","",'Qualitative Disclosures for AS'!F409)</f>
        <v/>
      </c>
      <c r="G78" s="847" t="str">
        <f>+IF('Qualitative Disclosures for AS'!G409="","",'Qualitative Disclosures for AS'!G409)</f>
        <v/>
      </c>
      <c r="M78" s="87"/>
      <c r="P78" s="42" t="str">
        <f t="shared" si="0"/>
        <v>Yes</v>
      </c>
    </row>
    <row r="79" spans="3:16" hidden="1" x14ac:dyDescent="0.25">
      <c r="C79" s="125" t="str">
        <f>+IF('Qualitative Disclosures for AS'!C410="","",'Qualitative Disclosures for AS'!C410)</f>
        <v>Subsidiaries</v>
      </c>
      <c r="D79" s="125" t="str">
        <f>+IF('Qualitative Disclosures for AS'!D410="","",'Qualitative Disclosures for AS'!D410)</f>
        <v/>
      </c>
      <c r="E79" s="125" t="str">
        <f>+IF('Qualitative Disclosures for AS'!E410="","",'Qualitative Disclosures for AS'!E410)</f>
        <v/>
      </c>
      <c r="F79" s="847" t="str">
        <f>+IF('Qualitative Disclosures for AS'!F410="","",'Qualitative Disclosures for AS'!F410)</f>
        <v/>
      </c>
      <c r="G79" s="847" t="str">
        <f>+IF('Qualitative Disclosures for AS'!G410="","",'Qualitative Disclosures for AS'!G410)</f>
        <v/>
      </c>
      <c r="M79" s="87"/>
      <c r="P79" s="42" t="str">
        <f t="shared" si="0"/>
        <v>Yes</v>
      </c>
    </row>
    <row r="80" spans="3:16" hidden="1" x14ac:dyDescent="0.25">
      <c r="C80" s="2623" t="str">
        <f>+IF('Qualitative Disclosures for AS'!C411="","",'Qualitative Disclosures for AS'!C411)</f>
        <v>Fellow Subsidiaries</v>
      </c>
      <c r="D80" s="125" t="str">
        <f>+IF('Qualitative Disclosures for AS'!D411="","",'Qualitative Disclosures for AS'!D411)</f>
        <v/>
      </c>
      <c r="E80" s="125" t="str">
        <f>+IF('Qualitative Disclosures for AS'!E411="","",'Qualitative Disclosures for AS'!E411)</f>
        <v/>
      </c>
      <c r="F80" s="847" t="str">
        <f>+IF('Qualitative Disclosures for AS'!F411="","",'Qualitative Disclosures for AS'!F411)</f>
        <v/>
      </c>
      <c r="G80" s="847" t="str">
        <f>+IF('Qualitative Disclosures for AS'!G411="","",'Qualitative Disclosures for AS'!G411)</f>
        <v/>
      </c>
      <c r="M80" s="87"/>
      <c r="P80" s="42" t="str">
        <f t="shared" si="0"/>
        <v>Yes</v>
      </c>
    </row>
    <row r="81" spans="3:16" hidden="1" x14ac:dyDescent="0.25">
      <c r="C81" s="125" t="str">
        <f>+IF('Qualitative Disclosures for AS'!C412="","",'Qualitative Disclosures for AS'!C412)</f>
        <v>JCO / JCE</v>
      </c>
      <c r="D81" s="125" t="str">
        <f>+IF('Qualitative Disclosures for AS'!D412="","",'Qualitative Disclosures for AS'!D412)</f>
        <v/>
      </c>
      <c r="E81" s="125" t="str">
        <f>+IF('Qualitative Disclosures for AS'!E412="","",'Qualitative Disclosures for AS'!E412)</f>
        <v/>
      </c>
      <c r="F81" s="847" t="str">
        <f>+IF('Qualitative Disclosures for AS'!F412="","",'Qualitative Disclosures for AS'!F412)</f>
        <v/>
      </c>
      <c r="G81" s="847" t="str">
        <f>+IF('Qualitative Disclosures for AS'!G412="","",'Qualitative Disclosures for AS'!G412)</f>
        <v/>
      </c>
      <c r="M81" s="87"/>
      <c r="P81" s="42" t="str">
        <f t="shared" si="0"/>
        <v>Yes</v>
      </c>
    </row>
    <row r="82" spans="3:16" hidden="1" x14ac:dyDescent="0.25">
      <c r="C82" s="125" t="str">
        <f>+IF('Qualitative Disclosures for AS'!C413="","",'Qualitative Disclosures for AS'!C413)</f>
        <v>Other Venturers</v>
      </c>
      <c r="D82" s="125" t="str">
        <f>+IF('Qualitative Disclosures for AS'!D413="","",'Qualitative Disclosures for AS'!D413)</f>
        <v/>
      </c>
      <c r="E82" s="125" t="str">
        <f>+IF('Qualitative Disclosures for AS'!E413="","",'Qualitative Disclosures for AS'!E413)</f>
        <v/>
      </c>
      <c r="F82" s="847" t="str">
        <f>+IF('Qualitative Disclosures for AS'!F413="","",'Qualitative Disclosures for AS'!F413)</f>
        <v/>
      </c>
      <c r="G82" s="847" t="str">
        <f>+IF('Qualitative Disclosures for AS'!G413="","",'Qualitative Disclosures for AS'!G413)</f>
        <v/>
      </c>
      <c r="J82" s="101"/>
      <c r="M82" s="87"/>
      <c r="P82" s="42" t="str">
        <f t="shared" si="0"/>
        <v>Yes</v>
      </c>
    </row>
    <row r="83" spans="3:16" hidden="1" x14ac:dyDescent="0.25">
      <c r="C83" s="125" t="str">
        <f>+IF('Qualitative Disclosures for AS'!C414="","",'Qualitative Disclosures for AS'!C414)</f>
        <v>Associates</v>
      </c>
      <c r="D83" s="125" t="str">
        <f>+IF('Qualitative Disclosures for AS'!D414="","",'Qualitative Disclosures for AS'!D414)</f>
        <v/>
      </c>
      <c r="E83" s="125" t="str">
        <f>+IF('Qualitative Disclosures for AS'!E414="","",'Qualitative Disclosures for AS'!E414)</f>
        <v/>
      </c>
      <c r="F83" s="847" t="str">
        <f>+IF('Qualitative Disclosures for AS'!F414="","",'Qualitative Disclosures for AS'!F414)</f>
        <v/>
      </c>
      <c r="G83" s="847" t="str">
        <f>+IF('Qualitative Disclosures for AS'!G414="","",'Qualitative Disclosures for AS'!G414)</f>
        <v/>
      </c>
      <c r="M83" s="87"/>
      <c r="P83" s="42" t="str">
        <f t="shared" si="0"/>
        <v>Yes</v>
      </c>
    </row>
    <row r="84" spans="3:16" hidden="1" x14ac:dyDescent="0.25">
      <c r="C84" s="125" t="str">
        <f>+IF('Qualitative Disclosures for AS'!C415="","",'Qualitative Disclosures for AS'!C415)</f>
        <v>KMP</v>
      </c>
      <c r="D84" s="125" t="str">
        <f>+IF('Qualitative Disclosures for AS'!D415="","",'Qualitative Disclosures for AS'!D415)</f>
        <v/>
      </c>
      <c r="E84" s="125" t="str">
        <f>+IF('Qualitative Disclosures for AS'!E415="","",'Qualitative Disclosures for AS'!E415)</f>
        <v/>
      </c>
      <c r="F84" s="847" t="str">
        <f>+IF('Qualitative Disclosures for AS'!F415="","",'Qualitative Disclosures for AS'!F415)</f>
        <v/>
      </c>
      <c r="G84" s="847" t="str">
        <f>+IF('Qualitative Disclosures for AS'!G415="","",'Qualitative Disclosures for AS'!G415)</f>
        <v/>
      </c>
      <c r="M84" s="87"/>
      <c r="P84" s="42" t="str">
        <f t="shared" si="0"/>
        <v>Yes</v>
      </c>
    </row>
    <row r="85" spans="3:16" hidden="1" x14ac:dyDescent="0.25">
      <c r="C85" s="125" t="str">
        <f>+IF('Qualitative Disclosures for AS'!C416="","",'Qualitative Disclosures for AS'!C416)</f>
        <v>Relatives of KMP</v>
      </c>
      <c r="D85" s="125" t="str">
        <f>+IF('Qualitative Disclosures for AS'!D416="","",'Qualitative Disclosures for AS'!D416)</f>
        <v/>
      </c>
      <c r="E85" s="125" t="str">
        <f>+IF('Qualitative Disclosures for AS'!E416="","",'Qualitative Disclosures for AS'!E416)</f>
        <v/>
      </c>
      <c r="F85" s="847" t="str">
        <f>+IF('Qualitative Disclosures for AS'!F416="","",'Qualitative Disclosures for AS'!F416)</f>
        <v/>
      </c>
      <c r="G85" s="847" t="str">
        <f>+IF('Qualitative Disclosures for AS'!G416="","",'Qualitative Disclosures for AS'!G416)</f>
        <v/>
      </c>
      <c r="J85" s="101"/>
      <c r="M85" s="87"/>
      <c r="P85" s="42" t="str">
        <f t="shared" si="0"/>
        <v>Yes</v>
      </c>
    </row>
    <row r="86" spans="3:16" hidden="1" x14ac:dyDescent="0.25">
      <c r="C86" s="125"/>
      <c r="D86" s="125"/>
      <c r="E86" s="125"/>
      <c r="F86" s="847"/>
      <c r="G86" s="847"/>
      <c r="J86" s="101"/>
      <c r="M86" s="87"/>
      <c r="P86" s="42"/>
    </row>
    <row r="87" spans="3:16" x14ac:dyDescent="0.25">
      <c r="C87" s="2623" t="str">
        <f>+'Qualitative Disclosures for AS'!C431</f>
        <v>Cross Sales Commission :-</v>
      </c>
      <c r="D87" s="125"/>
      <c r="E87" s="125"/>
      <c r="F87" s="847"/>
      <c r="G87" s="847"/>
      <c r="J87" s="101"/>
      <c r="M87" s="87"/>
      <c r="P87" s="42"/>
    </row>
    <row r="88" spans="3:16" x14ac:dyDescent="0.25">
      <c r="C88" s="125" t="str">
        <f>+'Qualitative Disclosures for AS'!C432</f>
        <v>Meridian IT Solutions Pte. Ltd. (SG)</v>
      </c>
      <c r="D88" s="847">
        <f>+'Qualitative Disclosures for AS'!D432</f>
        <v>3747.2019000000005</v>
      </c>
      <c r="E88" s="847">
        <f>+'Qualitative Disclosures for AS'!E432</f>
        <v>2043</v>
      </c>
      <c r="F88" s="847">
        <v>0</v>
      </c>
      <c r="G88" s="847">
        <v>0</v>
      </c>
      <c r="J88" s="101"/>
      <c r="M88" s="87"/>
      <c r="P88" s="42"/>
    </row>
    <row r="89" spans="3:16" x14ac:dyDescent="0.25">
      <c r="C89" s="125" t="str">
        <f>+'Qualitative Disclosures for AS'!C433</f>
        <v>Meridian IT Inc. (USA)</v>
      </c>
      <c r="D89" s="847">
        <f>+'Qualitative Disclosures for AS'!D433</f>
        <v>102772.14050000001</v>
      </c>
      <c r="E89" s="847">
        <f>+'Qualitative Disclosures for AS'!E433</f>
        <v>181694</v>
      </c>
      <c r="F89" s="847">
        <f>+'Qualitative Disclosures for AS'!F433</f>
        <v>42238.815300000002</v>
      </c>
      <c r="G89" s="847">
        <f>+'Qualitative Disclosures for AS'!G433</f>
        <v>1577.3670999999999</v>
      </c>
      <c r="J89" s="101"/>
      <c r="M89" s="87"/>
      <c r="P89" s="42"/>
    </row>
    <row r="90" spans="3:16" x14ac:dyDescent="0.25">
      <c r="C90" s="125" t="str">
        <f>+'Qualitative Disclosures for AS'!C434</f>
        <v>Concat AG</v>
      </c>
      <c r="D90" s="847">
        <f>+'Qualitative Disclosures for AS'!D434</f>
        <v>0</v>
      </c>
      <c r="E90" s="847">
        <f>+'Qualitative Disclosures for AS'!E434</f>
        <v>1099</v>
      </c>
      <c r="F90" s="847">
        <v>0</v>
      </c>
      <c r="G90" s="847">
        <f>+'Qualitative Disclosures for AS'!G434</f>
        <v>1099.4680000000001</v>
      </c>
      <c r="J90" s="101"/>
      <c r="M90" s="87"/>
      <c r="P90" s="42"/>
    </row>
    <row r="91" spans="3:16" x14ac:dyDescent="0.25">
      <c r="C91" s="125" t="str">
        <f>+'Qualitative Disclosures for AS'!C435</f>
        <v>Meridian IT Limited (UK)</v>
      </c>
      <c r="D91" s="847">
        <f>+'Qualitative Disclosures for AS'!D435</f>
        <v>6662.0203000000001</v>
      </c>
      <c r="E91" s="847">
        <f>+'Qualitative Disclosures for AS'!E435</f>
        <v>0</v>
      </c>
      <c r="F91" s="847">
        <v>0</v>
      </c>
      <c r="G91" s="847">
        <v>0</v>
      </c>
      <c r="J91" s="101"/>
      <c r="M91" s="87"/>
      <c r="P91" s="42"/>
    </row>
    <row r="92" spans="3:16" x14ac:dyDescent="0.25">
      <c r="C92" s="125"/>
      <c r="D92" s="847"/>
      <c r="E92" s="847"/>
      <c r="F92" s="847"/>
      <c r="G92" s="847"/>
      <c r="J92" s="101"/>
      <c r="M92" s="87"/>
      <c r="P92" s="42"/>
    </row>
    <row r="93" spans="3:16" x14ac:dyDescent="0.25">
      <c r="C93" s="2623" t="str">
        <f>+'Qualitative Disclosures for AS'!C437</f>
        <v>Global Recharge (Cost Plus Sales)</v>
      </c>
      <c r="D93" s="847"/>
      <c r="E93" s="847"/>
      <c r="F93" s="847"/>
      <c r="G93" s="847"/>
      <c r="J93" s="101"/>
      <c r="M93" s="87"/>
      <c r="P93" s="42"/>
    </row>
    <row r="94" spans="3:16" x14ac:dyDescent="0.25">
      <c r="C94" s="125" t="str">
        <f>+'Qualitative Disclosures for AS'!C438</f>
        <v>Meridian IT Inc U.S.</v>
      </c>
      <c r="D94" s="847">
        <f>+'Qualitative Disclosures for AS'!D438</f>
        <v>2061088.2929</v>
      </c>
      <c r="E94" s="847">
        <f>+'Qualitative Disclosures for AS'!E438</f>
        <v>1761685</v>
      </c>
      <c r="F94" s="847">
        <v>0</v>
      </c>
      <c r="G94" s="847">
        <v>0</v>
      </c>
      <c r="J94" s="101"/>
      <c r="M94" s="87"/>
      <c r="P94" s="42"/>
    </row>
    <row r="95" spans="3:16" x14ac:dyDescent="0.25">
      <c r="C95" s="125"/>
      <c r="D95" s="847"/>
      <c r="E95" s="847"/>
      <c r="F95" s="847"/>
      <c r="G95" s="847"/>
      <c r="J95" s="101"/>
      <c r="M95" s="87"/>
      <c r="P95" s="42"/>
    </row>
    <row r="96" spans="3:16" x14ac:dyDescent="0.25">
      <c r="C96" s="2623" t="s">
        <v>752</v>
      </c>
      <c r="D96" s="847"/>
      <c r="E96" s="847"/>
      <c r="F96" s="847"/>
      <c r="G96" s="847"/>
      <c r="J96" s="101"/>
      <c r="M96" s="87"/>
      <c r="P96" s="42"/>
    </row>
    <row r="97" spans="3:16" x14ac:dyDescent="0.25">
      <c r="C97" s="125" t="s">
        <v>2217</v>
      </c>
      <c r="D97" s="847">
        <f>+'Qualitative Disclosures for AS'!D441</f>
        <v>1099.4680000000001</v>
      </c>
      <c r="E97" s="847">
        <v>0</v>
      </c>
      <c r="F97" s="847"/>
      <c r="G97" s="847"/>
      <c r="J97" s="101"/>
      <c r="M97" s="87"/>
      <c r="P97" s="42"/>
    </row>
    <row r="98" spans="3:16" x14ac:dyDescent="0.25">
      <c r="C98" s="125"/>
      <c r="D98" s="847"/>
      <c r="E98" s="847"/>
      <c r="F98" s="847"/>
      <c r="G98" s="847"/>
      <c r="J98" s="101"/>
      <c r="M98" s="87"/>
      <c r="P98" s="42"/>
    </row>
    <row r="99" spans="3:16" hidden="1" x14ac:dyDescent="0.25">
      <c r="C99" s="2623" t="s">
        <v>2517</v>
      </c>
      <c r="D99" s="847"/>
      <c r="E99" s="847"/>
      <c r="F99" s="847"/>
      <c r="G99" s="847"/>
      <c r="J99" s="101"/>
      <c r="M99" s="87"/>
      <c r="P99" s="42"/>
    </row>
    <row r="100" spans="3:16" hidden="1" x14ac:dyDescent="0.25">
      <c r="C100" s="125" t="s">
        <v>3304</v>
      </c>
      <c r="D100" s="832">
        <f>+'Qualitative Disclosures for AS'!D444</f>
        <v>0</v>
      </c>
      <c r="E100" s="847">
        <f>+'Qualitative Disclosures for AS'!E444</f>
        <v>0</v>
      </c>
      <c r="F100" s="847"/>
      <c r="G100" s="847"/>
      <c r="J100" s="101"/>
      <c r="M100" s="87"/>
      <c r="P100" s="42"/>
    </row>
    <row r="101" spans="3:16" hidden="1" x14ac:dyDescent="0.25">
      <c r="C101" s="125"/>
      <c r="D101" s="847"/>
      <c r="E101" s="847"/>
      <c r="F101" s="847"/>
      <c r="G101" s="847"/>
      <c r="J101" s="101"/>
      <c r="M101" s="87"/>
      <c r="P101" s="42"/>
    </row>
    <row r="102" spans="3:16" x14ac:dyDescent="0.25">
      <c r="C102" s="2623" t="str">
        <f>+'Qualitative Disclosures for AS'!C446</f>
        <v>KMP</v>
      </c>
      <c r="D102" s="847"/>
      <c r="E102" s="847"/>
      <c r="F102" s="847"/>
      <c r="G102" s="847"/>
      <c r="J102" s="101"/>
      <c r="M102" s="87"/>
      <c r="P102" s="42"/>
    </row>
    <row r="103" spans="3:16" x14ac:dyDescent="0.25">
      <c r="C103" s="2623" t="str">
        <f>+'Qualitative Disclosures for AS'!C447</f>
        <v>Director Remuneration</v>
      </c>
      <c r="D103" s="847"/>
      <c r="E103" s="847"/>
      <c r="F103" s="847"/>
      <c r="G103" s="847"/>
      <c r="J103" s="101"/>
      <c r="M103" s="87"/>
      <c r="P103" s="42"/>
    </row>
    <row r="104" spans="3:16" x14ac:dyDescent="0.25">
      <c r="C104" s="125" t="str">
        <f>+'Qualitative Disclosures for AS'!C449</f>
        <v xml:space="preserve">    - Salary  </v>
      </c>
      <c r="D104" s="847">
        <f>+'Qualitative Disclosures for AS'!D449</f>
        <v>46874.53</v>
      </c>
      <c r="E104" s="847">
        <f>+'Qualitative Disclosures for AS'!E449</f>
        <v>42500</v>
      </c>
      <c r="F104" s="832">
        <v>0</v>
      </c>
      <c r="G104" s="847">
        <v>0</v>
      </c>
      <c r="J104" s="101"/>
      <c r="M104" s="87"/>
      <c r="P104" s="42"/>
    </row>
    <row r="105" spans="3:16" x14ac:dyDescent="0.25">
      <c r="C105" s="125" t="str">
        <f>+'Qualitative Disclosures for AS'!C450</f>
        <v xml:space="preserve">   - Gratuity contribution to fund with LIC</v>
      </c>
      <c r="D105" s="847">
        <f>+'Qualitative Disclosures for AS'!D450</f>
        <v>0</v>
      </c>
      <c r="E105" s="847">
        <f>+'Qualitative Disclosures for AS'!E450</f>
        <v>3594</v>
      </c>
      <c r="F105" s="847">
        <v>0</v>
      </c>
      <c r="G105" s="847">
        <v>0</v>
      </c>
      <c r="J105" s="101"/>
      <c r="M105" s="87"/>
      <c r="P105" s="42"/>
    </row>
    <row r="106" spans="3:16" x14ac:dyDescent="0.25">
      <c r="C106" s="18" t="str">
        <f>+IF('Qualitative Disclosures for AS'!C417="","",'Qualitative Disclosures for AS'!C417)</f>
        <v/>
      </c>
      <c r="D106" s="18" t="str">
        <f>+IF('Qualitative Disclosures for AS'!D417="","",'Qualitative Disclosures for AS'!D417)</f>
        <v/>
      </c>
      <c r="E106" s="18" t="str">
        <f>+IF('Qualitative Disclosures for AS'!E417="","",'Qualitative Disclosures for AS'!E417)</f>
        <v/>
      </c>
      <c r="F106" s="18" t="str">
        <f>+IF('Qualitative Disclosures for AS'!F417="","",'Qualitative Disclosures for AS'!F417)</f>
        <v/>
      </c>
      <c r="G106" s="18" t="str">
        <f>+IF('Qualitative Disclosures for AS'!G417="","",'Qualitative Disclosures for AS'!G417)</f>
        <v/>
      </c>
      <c r="P106" s="42" t="str">
        <f>IF(AND(D106=0,E106=0,F106=0,G106=0),"No","Yes")</f>
        <v>Yes</v>
      </c>
    </row>
    <row r="107" spans="3:16" hidden="1" x14ac:dyDescent="0.25">
      <c r="C107" s="2637" t="str">
        <f>+IF('Qualitative Disclosures for AS'!C418="","",'Qualitative Disclosures for AS'!C418)</f>
        <v>Loans Granted / (repaid)</v>
      </c>
      <c r="D107" s="108" t="str">
        <f>+IF('Qualitative Disclosures for AS'!D418="","",'Qualitative Disclosures for AS'!D418)</f>
        <v/>
      </c>
      <c r="E107" s="108" t="str">
        <f>+IF('Qualitative Disclosures for AS'!E418="","",'Qualitative Disclosures for AS'!E418)</f>
        <v/>
      </c>
      <c r="F107" s="108" t="str">
        <f>+IF('Qualitative Disclosures for AS'!F418="","",'Qualitative Disclosures for AS'!F418)</f>
        <v/>
      </c>
      <c r="G107" s="108" t="str">
        <f>+IF('Qualitative Disclosures for AS'!G418="","",'Qualitative Disclosures for AS'!G418)</f>
        <v/>
      </c>
      <c r="M107" s="87"/>
      <c r="P107" s="42" t="str">
        <f t="shared" ref="P107:P118" si="1">IF(AND(D107=0,E107=0,F107=0,G107=0),"No","Yes")</f>
        <v>Yes</v>
      </c>
    </row>
    <row r="108" spans="3:16" hidden="1" x14ac:dyDescent="0.25">
      <c r="C108" s="1159" t="str">
        <f>+IF('Qualitative Disclosures for AS'!C419="","",'Qualitative Disclosures for AS'!C419)</f>
        <v>Ultimate Holding Company</v>
      </c>
      <c r="D108" s="125" t="str">
        <f>+IF('Qualitative Disclosures for AS'!D419="","",'Qualitative Disclosures for AS'!D419)</f>
        <v/>
      </c>
      <c r="E108" s="125" t="str">
        <f>+IF('Qualitative Disclosures for AS'!E419="","",'Qualitative Disclosures for AS'!E419)</f>
        <v/>
      </c>
      <c r="F108" s="125" t="str">
        <f>+IF('Qualitative Disclosures for AS'!F419="","",'Qualitative Disclosures for AS'!F419)</f>
        <v/>
      </c>
      <c r="G108" s="125" t="str">
        <f>+IF('Qualitative Disclosures for AS'!G419="","",'Qualitative Disclosures for AS'!G419)</f>
        <v/>
      </c>
      <c r="M108" s="87"/>
      <c r="P108" s="42" t="str">
        <f t="shared" si="1"/>
        <v>Yes</v>
      </c>
    </row>
    <row r="109" spans="3:16" hidden="1" x14ac:dyDescent="0.25">
      <c r="C109" s="1159" t="str">
        <f>+IF('Qualitative Disclosures for AS'!C420="","",'Qualitative Disclosures for AS'!C420)</f>
        <v>Holding Company</v>
      </c>
      <c r="D109" s="125" t="str">
        <f>+IF('Qualitative Disclosures for AS'!D420="","",'Qualitative Disclosures for AS'!D420)</f>
        <v/>
      </c>
      <c r="E109" s="125" t="str">
        <f>+IF('Qualitative Disclosures for AS'!E420="","",'Qualitative Disclosures for AS'!E420)</f>
        <v/>
      </c>
      <c r="F109" s="125" t="str">
        <f>+IF('Qualitative Disclosures for AS'!F420="","",'Qualitative Disclosures for AS'!F420)</f>
        <v/>
      </c>
      <c r="G109" s="125" t="str">
        <f>+IF('Qualitative Disclosures for AS'!G420="","",'Qualitative Disclosures for AS'!G420)</f>
        <v/>
      </c>
      <c r="M109" s="87"/>
      <c r="P109" s="42" t="str">
        <f t="shared" si="1"/>
        <v>Yes</v>
      </c>
    </row>
    <row r="110" spans="3:16" hidden="1" x14ac:dyDescent="0.25">
      <c r="C110" s="1159" t="str">
        <f>+IF('Qualitative Disclosures for AS'!C421="","",'Qualitative Disclosures for AS'!C421)</f>
        <v>Subsidiaries</v>
      </c>
      <c r="D110" s="125" t="str">
        <f>+IF('Qualitative Disclosures for AS'!D421="","",'Qualitative Disclosures for AS'!D421)</f>
        <v/>
      </c>
      <c r="E110" s="125" t="str">
        <f>+IF('Qualitative Disclosures for AS'!E421="","",'Qualitative Disclosures for AS'!E421)</f>
        <v/>
      </c>
      <c r="F110" s="125" t="str">
        <f>+IF('Qualitative Disclosures for AS'!F421="","",'Qualitative Disclosures for AS'!F421)</f>
        <v/>
      </c>
      <c r="G110" s="125" t="str">
        <f>+IF('Qualitative Disclosures for AS'!G421="","",'Qualitative Disclosures for AS'!G421)</f>
        <v/>
      </c>
      <c r="M110" s="87"/>
      <c r="P110" s="42" t="str">
        <f t="shared" si="1"/>
        <v>Yes</v>
      </c>
    </row>
    <row r="111" spans="3:16" hidden="1" x14ac:dyDescent="0.25">
      <c r="C111" s="1159" t="str">
        <f>+IF('Qualitative Disclosures for AS'!C422="","",'Qualitative Disclosures for AS'!C422)</f>
        <v>Fellow Subsidiaries</v>
      </c>
      <c r="D111" s="125" t="str">
        <f>+IF('Qualitative Disclosures for AS'!D422="","",'Qualitative Disclosures for AS'!D422)</f>
        <v/>
      </c>
      <c r="E111" s="125" t="str">
        <f>+IF('Qualitative Disclosures for AS'!E422="","",'Qualitative Disclosures for AS'!E422)</f>
        <v/>
      </c>
      <c r="F111" s="125" t="str">
        <f>+IF('Qualitative Disclosures for AS'!F422="","",'Qualitative Disclosures for AS'!F422)</f>
        <v/>
      </c>
      <c r="G111" s="125" t="str">
        <f>+IF('Qualitative Disclosures for AS'!G422="","",'Qualitative Disclosures for AS'!G422)</f>
        <v/>
      </c>
      <c r="M111" s="87"/>
      <c r="P111" s="42" t="str">
        <f t="shared" si="1"/>
        <v>Yes</v>
      </c>
    </row>
    <row r="112" spans="3:16" hidden="1" x14ac:dyDescent="0.25">
      <c r="C112" s="1159" t="str">
        <f>+IF('Qualitative Disclosures for AS'!C423="","",'Qualitative Disclosures for AS'!C423)</f>
        <v>JCO / JCE</v>
      </c>
      <c r="D112" s="125" t="str">
        <f>+IF('Qualitative Disclosures for AS'!D423="","",'Qualitative Disclosures for AS'!D423)</f>
        <v/>
      </c>
      <c r="E112" s="125" t="str">
        <f>+IF('Qualitative Disclosures for AS'!E423="","",'Qualitative Disclosures for AS'!E423)</f>
        <v/>
      </c>
      <c r="F112" s="125" t="str">
        <f>+IF('Qualitative Disclosures for AS'!F423="","",'Qualitative Disclosures for AS'!F423)</f>
        <v/>
      </c>
      <c r="G112" s="125" t="str">
        <f>+IF('Qualitative Disclosures for AS'!G423="","",'Qualitative Disclosures for AS'!G423)</f>
        <v/>
      </c>
      <c r="M112" s="87"/>
      <c r="P112" s="42" t="str">
        <f t="shared" si="1"/>
        <v>Yes</v>
      </c>
    </row>
    <row r="113" spans="3:16" hidden="1" x14ac:dyDescent="0.25">
      <c r="C113" s="1159" t="str">
        <f>+IF('Qualitative Disclosures for AS'!C424="","",'Qualitative Disclosures for AS'!C424)</f>
        <v>Other Venturers</v>
      </c>
      <c r="D113" s="125" t="str">
        <f>+IF('Qualitative Disclosures for AS'!D424="","",'Qualitative Disclosures for AS'!D424)</f>
        <v/>
      </c>
      <c r="E113" s="125" t="str">
        <f>+IF('Qualitative Disclosures for AS'!E424="","",'Qualitative Disclosures for AS'!E424)</f>
        <v/>
      </c>
      <c r="F113" s="125" t="str">
        <f>+IF('Qualitative Disclosures for AS'!F424="","",'Qualitative Disclosures for AS'!F424)</f>
        <v/>
      </c>
      <c r="G113" s="125" t="str">
        <f>+IF('Qualitative Disclosures for AS'!G424="","",'Qualitative Disclosures for AS'!G424)</f>
        <v/>
      </c>
      <c r="M113" s="87"/>
      <c r="P113" s="42" t="str">
        <f t="shared" si="1"/>
        <v>Yes</v>
      </c>
    </row>
    <row r="114" spans="3:16" hidden="1" x14ac:dyDescent="0.25">
      <c r="C114" s="1159" t="str">
        <f>+IF('Qualitative Disclosures for AS'!C425="","",'Qualitative Disclosures for AS'!C425)</f>
        <v>Associates</v>
      </c>
      <c r="D114" s="125" t="str">
        <f>+IF('Qualitative Disclosures for AS'!D425="","",'Qualitative Disclosures for AS'!D425)</f>
        <v/>
      </c>
      <c r="E114" s="125" t="str">
        <f>+IF('Qualitative Disclosures for AS'!E425="","",'Qualitative Disclosures for AS'!E425)</f>
        <v/>
      </c>
      <c r="F114" s="125" t="str">
        <f>+IF('Qualitative Disclosures for AS'!F425="","",'Qualitative Disclosures for AS'!F425)</f>
        <v/>
      </c>
      <c r="G114" s="125" t="str">
        <f>+IF('Qualitative Disclosures for AS'!G425="","",'Qualitative Disclosures for AS'!G425)</f>
        <v/>
      </c>
      <c r="M114" s="87"/>
      <c r="P114" s="42" t="str">
        <f t="shared" si="1"/>
        <v>Yes</v>
      </c>
    </row>
    <row r="115" spans="3:16" hidden="1" x14ac:dyDescent="0.25">
      <c r="C115" s="1159" t="str">
        <f>+IF('Qualitative Disclosures for AS'!C426="","",'Qualitative Disclosures for AS'!C426)</f>
        <v>KMP</v>
      </c>
      <c r="D115" s="125" t="str">
        <f>+IF('Qualitative Disclosures for AS'!D426="","",'Qualitative Disclosures for AS'!D426)</f>
        <v/>
      </c>
      <c r="E115" s="125" t="str">
        <f>+IF('Qualitative Disclosures for AS'!E426="","",'Qualitative Disclosures for AS'!E426)</f>
        <v/>
      </c>
      <c r="F115" s="125" t="str">
        <f>+IF('Qualitative Disclosures for AS'!F426="","",'Qualitative Disclosures for AS'!F426)</f>
        <v/>
      </c>
      <c r="G115" s="125" t="str">
        <f>+IF('Qualitative Disclosures for AS'!G426="","",'Qualitative Disclosures for AS'!G426)</f>
        <v/>
      </c>
      <c r="M115" s="87"/>
      <c r="P115" s="42" t="str">
        <f t="shared" si="1"/>
        <v>Yes</v>
      </c>
    </row>
    <row r="116" spans="3:16" hidden="1" x14ac:dyDescent="0.25">
      <c r="C116" s="1159" t="str">
        <f>+IF('Qualitative Disclosures for AS'!C427="","",'Qualitative Disclosures for AS'!C427)</f>
        <v>Relatives of KMP</v>
      </c>
      <c r="D116" s="125" t="str">
        <f>+IF('Qualitative Disclosures for AS'!D427="","",'Qualitative Disclosures for AS'!D427)</f>
        <v/>
      </c>
      <c r="E116" s="125" t="str">
        <f>+IF('Qualitative Disclosures for AS'!E427="","",'Qualitative Disclosures for AS'!E427)</f>
        <v/>
      </c>
      <c r="F116" s="125" t="str">
        <f>+IF('Qualitative Disclosures for AS'!F427="","",'Qualitative Disclosures for AS'!F427)</f>
        <v/>
      </c>
      <c r="G116" s="125" t="str">
        <f>+IF('Qualitative Disclosures for AS'!G427="","",'Qualitative Disclosures for AS'!G427)</f>
        <v/>
      </c>
      <c r="M116" s="87"/>
      <c r="P116" s="42" t="str">
        <f t="shared" si="1"/>
        <v>Yes</v>
      </c>
    </row>
    <row r="117" spans="3:16" hidden="1" x14ac:dyDescent="0.25">
      <c r="C117" s="1159" t="str">
        <f>+IF('Qualitative Disclosures for AS'!C428="","",'Qualitative Disclosures for AS'!C428)</f>
        <v/>
      </c>
      <c r="D117" s="125" t="str">
        <f>+IF('Qualitative Disclosures for AS'!D428="","",'Qualitative Disclosures for AS'!D428)</f>
        <v/>
      </c>
      <c r="E117" s="125" t="str">
        <f>+IF('Qualitative Disclosures for AS'!E428="","",'Qualitative Disclosures for AS'!E428)</f>
        <v/>
      </c>
      <c r="F117" s="125" t="str">
        <f>+IF('Qualitative Disclosures for AS'!F428="","",'Qualitative Disclosures for AS'!F428)</f>
        <v/>
      </c>
      <c r="G117" s="125" t="str">
        <f>+IF('Qualitative Disclosures for AS'!G428="","",'Qualitative Disclosures for AS'!G428)</f>
        <v/>
      </c>
      <c r="M117" s="87"/>
      <c r="P117" s="42" t="str">
        <f t="shared" si="1"/>
        <v>Yes</v>
      </c>
    </row>
    <row r="118" spans="3:16" hidden="1" x14ac:dyDescent="0.25">
      <c r="C118" s="1158" t="str">
        <f>+IF('Qualitative Disclosures for AS'!C452="","",'Qualitative Disclosures for AS'!C452)</f>
        <v/>
      </c>
      <c r="D118" s="125" t="str">
        <f>+IF('Qualitative Disclosures for AS'!D452="","",'Qualitative Disclosures for AS'!D452)</f>
        <v/>
      </c>
      <c r="E118" s="125" t="str">
        <f>+IF('Qualitative Disclosures for AS'!E452="","",'Qualitative Disclosures for AS'!E452)</f>
        <v/>
      </c>
      <c r="F118" s="125" t="str">
        <f>+IF('Qualitative Disclosures for AS'!F452="","",'Qualitative Disclosures for AS'!F452)</f>
        <v/>
      </c>
      <c r="G118" s="125" t="str">
        <f>+IF('Qualitative Disclosures for AS'!G452="","",'Qualitative Disclosures for AS'!G452)</f>
        <v/>
      </c>
      <c r="M118" s="87"/>
      <c r="P118" s="42" t="str">
        <f t="shared" si="1"/>
        <v>Yes</v>
      </c>
    </row>
    <row r="119" spans="3:16" ht="17.25" hidden="1" thickBot="1" x14ac:dyDescent="0.3">
      <c r="C119" s="1160"/>
      <c r="D119" s="111"/>
      <c r="E119" s="111"/>
      <c r="F119" s="111"/>
      <c r="G119" s="111"/>
      <c r="H119" s="111"/>
      <c r="I119" s="111"/>
      <c r="J119" s="111"/>
      <c r="K119" s="111"/>
      <c r="L119" s="111"/>
      <c r="M119" s="112"/>
      <c r="P119" s="42" t="str" cm="1">
        <f t="array" ref="P119">IFERROR(INDEX(P40:P118, MATCH(TRUE,P40:P118="Yes",0)),"No")</f>
        <v>Yes</v>
      </c>
    </row>
    <row r="120" spans="3:16" hidden="1" x14ac:dyDescent="0.25"/>
  </sheetData>
  <sheetProtection formatCells="0" formatColumns="0" formatRows="0"/>
  <mergeCells count="8">
    <mergeCell ref="C13:M14"/>
    <mergeCell ref="D17:G17"/>
    <mergeCell ref="C38:C39"/>
    <mergeCell ref="D38:E38"/>
    <mergeCell ref="F38:G38"/>
    <mergeCell ref="J38:J39"/>
    <mergeCell ref="K38:L38"/>
    <mergeCell ref="F37:G37"/>
  </mergeCells>
  <pageMargins left="0.5" right="0.5" top="0.5" bottom="0.5" header="0.5" footer="0.5"/>
  <pageSetup scale="68" fitToHeight="0"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B8:T242"/>
  <sheetViews>
    <sheetView showGridLines="0" view="pageBreakPreview" zoomScale="80" zoomScaleNormal="90" zoomScaleSheetLayoutView="80" workbookViewId="0"/>
  </sheetViews>
  <sheetFormatPr defaultColWidth="9.140625" defaultRowHeight="16.5" x14ac:dyDescent="0.25"/>
  <cols>
    <col min="1" max="1" width="3.7109375" style="41" customWidth="1"/>
    <col min="2" max="2" width="3.7109375" style="42" customWidth="1"/>
    <col min="3" max="3" width="43" style="41" bestFit="1" customWidth="1"/>
    <col min="4" max="4" width="30.7109375" style="41" customWidth="1"/>
    <col min="5" max="5" width="22.85546875" style="41" customWidth="1"/>
    <col min="6" max="6" width="29" style="41" customWidth="1"/>
    <col min="7" max="7" width="3.7109375" style="41" customWidth="1"/>
    <col min="8" max="8" width="21.140625" style="41" customWidth="1"/>
    <col min="9" max="9" width="12.85546875" bestFit="1" customWidth="1"/>
    <col min="10" max="10" width="13.140625" style="41" customWidth="1"/>
    <col min="11" max="11" width="10" style="41" customWidth="1"/>
    <col min="12" max="15" width="9.140625" style="41"/>
    <col min="16" max="16" width="16.7109375" style="41" customWidth="1"/>
    <col min="17" max="19" width="9.140625" style="41"/>
    <col min="20" max="20" width="19" style="41" customWidth="1"/>
    <col min="21" max="16384" width="9.140625" style="41"/>
  </cols>
  <sheetData>
    <row r="8" spans="3:20" s="42" customFormat="1" ht="15" x14ac:dyDescent="0.25">
      <c r="C8" s="42" t="str">
        <f>Company_Name</f>
        <v>Sample Company</v>
      </c>
    </row>
    <row r="9" spans="3:20" s="42" customFormat="1" x14ac:dyDescent="0.25">
      <c r="C9" s="17" t="s">
        <v>90</v>
      </c>
      <c r="D9" s="81"/>
      <c r="E9" s="81"/>
      <c r="F9" s="81"/>
    </row>
    <row r="10" spans="3:20" x14ac:dyDescent="0.25">
      <c r="C10" s="19"/>
      <c r="D10" s="19"/>
      <c r="E10" s="19"/>
      <c r="F10" s="19"/>
    </row>
    <row r="11" spans="3:20" ht="15.95" hidden="1" customHeight="1" x14ac:dyDescent="0.25">
      <c r="C11" s="178" t="str">
        <f>IF(T11="Yes","Note " &amp; MAX('Profit and Loss'!$E$16:$E$49)+1 &amp; " Additional information to the financial statements ","Note " &amp; MAX('Profit and Loss'!$E$16:$E$49)+1 &amp; " Additional information to the financial statements")</f>
        <v xml:space="preserve">Note 22 Additional information to the financial statements </v>
      </c>
      <c r="D11" s="190"/>
      <c r="E11" s="190"/>
      <c r="F11" s="190"/>
      <c r="T11" s="42" t="str">
        <f>+IF(COUNTIF('Master Data'!$Q$10:$Q$20,"Yes")&gt;0,"Yes","No")</f>
        <v>Yes</v>
      </c>
    </row>
    <row r="12" spans="3:20" hidden="1" x14ac:dyDescent="0.25"/>
    <row r="13" spans="3:20" hidden="1" x14ac:dyDescent="0.25">
      <c r="C13" s="1165" t="str">
        <f>+IF('Qualitative Disclosures for AS'!C1116="","",'Qualitative Disclosures for AS'!C1116)</f>
        <v>Money received against share warrants</v>
      </c>
      <c r="D13" s="191"/>
      <c r="E13" s="192"/>
      <c r="F13" s="192"/>
      <c r="K13" s="1165"/>
    </row>
    <row r="14" spans="3:20" ht="144.94999999999999" hidden="1" customHeight="1" x14ac:dyDescent="0.25">
      <c r="C14" s="2942" t="str">
        <f>+IF('Qualitative Disclosures for AS'!C1117="","",'Qualitative Disclosures for AS'!C1117)</f>
        <v>The Board of Directors of the Company at their meeting held on X July, 20XX and as approved at its Annual General Meeting held on XX July, 20XX have resolved to create, offer, issue and allot up to _____ warrants, convertible into _____ equity shares of ` __/- each on a preferential allotment basis, pursuant to the provisions of the Companies Act, at a conversion price of ` ___/- per equity share of the Company, arrived at in accordance with the SEBI Guidelines in this regard and subsequently these warrants were allotted on (date) to the promoters and the 10% application money amounting to ` ______ was received from them. The warrants may be converted into equivalent number of shares on payment of the balance amount at any time on or before 31 July, 20XX. In the event the warrants are not converted into shares within the said period, the Company is eligible to forfeit the amounts received towards the warrants.</v>
      </c>
      <c r="D14" s="2942" t="str">
        <f>+IF('Qualitative Disclosures for AS'!D1117="","",'Qualitative Disclosures for AS'!D1117)</f>
        <v/>
      </c>
      <c r="E14" s="2942" t="str">
        <f>+IF('Qualitative Disclosures for AS'!E1117="","",'Qualitative Disclosures for AS'!E1117)</f>
        <v/>
      </c>
      <c r="F14" s="2942" t="str">
        <f>+IF('Qualitative Disclosures for AS'!F1117="","",'Qualitative Disclosures for AS'!F1117)</f>
        <v/>
      </c>
      <c r="K14" s="1164"/>
    </row>
    <row r="15" spans="3:20" ht="14.45" hidden="1" customHeight="1" x14ac:dyDescent="0.25">
      <c r="C15" s="56"/>
      <c r="D15" s="56"/>
      <c r="E15" s="56"/>
      <c r="F15" s="56"/>
      <c r="K15" s="1164"/>
    </row>
    <row r="16" spans="3:20" ht="14.45" hidden="1" customHeight="1" x14ac:dyDescent="0.25">
      <c r="C16" s="1453" t="str">
        <f>+IF('Qualitative Disclosures for AS'!C1119="","",'Qualitative Disclosures for AS'!C1119)</f>
        <v/>
      </c>
      <c r="D16" s="1453" t="str">
        <f>+IF('Qualitative Disclosures for AS'!D1119="","",'Qualitative Disclosures for AS'!D1119)</f>
        <v/>
      </c>
      <c r="E16" s="1453" t="str">
        <f>+IF('Qualitative Disclosures for AS'!E1119="","",'Qualitative Disclosures for AS'!E1119)</f>
        <v/>
      </c>
      <c r="F16" s="1453" t="str">
        <f>+IF('Qualitative Disclosures for AS'!F1119="","",'Qualitative Disclosures for AS'!F1119)</f>
        <v/>
      </c>
      <c r="K16" s="1164"/>
    </row>
    <row r="17" spans="3:14" ht="14.45" hidden="1" customHeight="1" x14ac:dyDescent="0.25">
      <c r="C17" s="1453" t="str">
        <f>+IF('Qualitative Disclosures for AS'!C1120="","",'Qualitative Disclosures for AS'!C1120)</f>
        <v/>
      </c>
      <c r="D17" s="1453" t="str">
        <f>+IF('Qualitative Disclosures for AS'!D1120="","",'Qualitative Disclosures for AS'!D1120)</f>
        <v/>
      </c>
      <c r="E17" s="1453" t="str">
        <f>+IF('Qualitative Disclosures for AS'!E1120="","",'Qualitative Disclosures for AS'!E1120)</f>
        <v/>
      </c>
      <c r="F17" s="1453" t="str">
        <f>+IF('Qualitative Disclosures for AS'!F1120="","",'Qualitative Disclosures for AS'!F1120)</f>
        <v xml:space="preserve">  </v>
      </c>
      <c r="K17" s="1164"/>
    </row>
    <row r="18" spans="3:14" ht="14.45" hidden="1" customHeight="1" x14ac:dyDescent="0.25">
      <c r="C18" s="1453" t="str">
        <f>+IF('Qualitative Disclosures for AS'!C1121="","",'Qualitative Disclosures for AS'!C1121)</f>
        <v/>
      </c>
      <c r="D18" s="1453" t="str">
        <f>+IF('Qualitative Disclosures for AS'!D1121="","",'Qualitative Disclosures for AS'!D1121)</f>
        <v/>
      </c>
      <c r="E18" s="1453" t="str">
        <f>+IF('Qualitative Disclosures for AS'!E1121="","",'Qualitative Disclosures for AS'!E1121)</f>
        <v/>
      </c>
      <c r="F18" s="1453" t="str">
        <f>+IF('Qualitative Disclosures for AS'!F1121="","",'Qualitative Disclosures for AS'!F1121)</f>
        <v/>
      </c>
      <c r="K18" s="1164"/>
    </row>
    <row r="19" spans="3:14" ht="14.45" hidden="1" customHeight="1" x14ac:dyDescent="0.25">
      <c r="C19" s="1453" t="str">
        <f>+IF('Qualitative Disclosures for AS'!C1122="","",'Qualitative Disclosures for AS'!C1122)</f>
        <v/>
      </c>
      <c r="D19" s="1453" t="str">
        <f>+IF('Qualitative Disclosures for AS'!D1122="","",'Qualitative Disclosures for AS'!D1122)</f>
        <v/>
      </c>
      <c r="E19" s="1453" t="str">
        <f>+IF('Qualitative Disclosures for AS'!E1122="","",'Qualitative Disclosures for AS'!E1122)</f>
        <v/>
      </c>
      <c r="F19" s="1453" t="str">
        <f>+IF('Qualitative Disclosures for AS'!F1122="","",'Qualitative Disclosures for AS'!F1122)</f>
        <v/>
      </c>
      <c r="K19" s="1164"/>
    </row>
    <row r="20" spans="3:14" ht="14.45" hidden="1" customHeight="1" x14ac:dyDescent="0.25">
      <c r="C20" s="1453" t="str">
        <f>+IF('Qualitative Disclosures for AS'!C1123="","",'Qualitative Disclosures for AS'!C1123)</f>
        <v/>
      </c>
      <c r="D20" s="1453" t="str">
        <f>+IF('Qualitative Disclosures for AS'!D1123="","",'Qualitative Disclosures for AS'!D1123)</f>
        <v/>
      </c>
      <c r="E20" s="1453" t="str">
        <f>+IF('Qualitative Disclosures for AS'!E1123="","",'Qualitative Disclosures for AS'!E1123)</f>
        <v/>
      </c>
      <c r="F20" s="1453" t="str">
        <f>+IF('Qualitative Disclosures for AS'!F1123="","",'Qualitative Disclosures for AS'!F1123)</f>
        <v/>
      </c>
      <c r="K20" s="1164"/>
    </row>
    <row r="21" spans="3:14" ht="14.45" hidden="1" customHeight="1" x14ac:dyDescent="0.25">
      <c r="C21" s="1453" t="str">
        <f>+IF('Qualitative Disclosures for AS'!C1124="","",'Qualitative Disclosures for AS'!C1124)</f>
        <v/>
      </c>
      <c r="D21" s="1453" t="str">
        <f>+IF('Qualitative Disclosures for AS'!D1124="","",'Qualitative Disclosures for AS'!D1124)</f>
        <v/>
      </c>
      <c r="E21" s="1453" t="str">
        <f>+IF('Qualitative Disclosures for AS'!E1124="","",'Qualitative Disclosures for AS'!E1124)</f>
        <v/>
      </c>
      <c r="F21" s="1453" t="str">
        <f>+IF('Qualitative Disclosures for AS'!F1124="","",'Qualitative Disclosures for AS'!F1124)</f>
        <v/>
      </c>
      <c r="K21" s="1164"/>
    </row>
    <row r="22" spans="3:14" hidden="1" x14ac:dyDescent="0.25">
      <c r="C22" s="191"/>
      <c r="D22" s="191"/>
      <c r="E22" s="192"/>
      <c r="F22" s="192"/>
      <c r="K22" s="1164"/>
    </row>
    <row r="23" spans="3:14" hidden="1" x14ac:dyDescent="0.25">
      <c r="C23" s="1164" t="str">
        <f>+IF('Qualitative Disclosures for AS'!C1126="","",'Qualitative Disclosures for AS'!C1126)</f>
        <v>Share application money pending allotment</v>
      </c>
      <c r="D23" s="191"/>
      <c r="E23" s="192"/>
      <c r="F23" s="192"/>
      <c r="K23" s="1164"/>
    </row>
    <row r="24" spans="3:14" ht="120" hidden="1" customHeight="1" x14ac:dyDescent="0.25">
      <c r="C24" s="2942" t="str">
        <f>+IF('Qualitative Disclosures for AS'!C1127="","",'Qualitative Disclosures for AS'!C1127)</f>
        <v>As at 31 March 20X2, the Company has received an amount of `_____ towards share application money towards ____ equity / preference shares of the Company (As at 31 March, 20X1 ` ____ towards ____ equity / preference shares) at a premium of ` ____ (As at 31 March, 20X1 ` ____). The share application money was received pursuant to an invitation to offer shares and in terms of such invitation, the Company is required to complete the allotment formalities by _____ (As at 31 March, 20X1 ______). The Company has sufficient authorised capital to cover the allotment of these shares. Pending allotment of shares, the amounts are maintained in a designated bank account and are not available for use by the Company.</v>
      </c>
      <c r="D24" s="2942" t="str">
        <f>+IF('Qualitative Disclosures for AS'!D1127="","",'Qualitative Disclosures for AS'!D1127)</f>
        <v/>
      </c>
      <c r="E24" s="2942" t="str">
        <f>+IF('Qualitative Disclosures for AS'!E1127="","",'Qualitative Disclosures for AS'!E1127)</f>
        <v/>
      </c>
      <c r="F24" s="2942" t="str">
        <f>+IF('Qualitative Disclosures for AS'!F1127="","",'Qualitative Disclosures for AS'!F1127)</f>
        <v/>
      </c>
      <c r="K24" s="17"/>
    </row>
    <row r="25" spans="3:14" ht="14.45" hidden="1" customHeight="1" x14ac:dyDescent="0.25">
      <c r="C25" s="56"/>
      <c r="D25" s="56"/>
      <c r="E25" s="56"/>
      <c r="F25" s="56"/>
      <c r="K25" s="1125"/>
      <c r="L25" s="1125"/>
      <c r="M25" s="1125"/>
      <c r="N25" s="1126"/>
    </row>
    <row r="26" spans="3:14" ht="14.45" hidden="1" customHeight="1" x14ac:dyDescent="0.25">
      <c r="C26" s="1453" t="str">
        <f>+IF('Qualitative Disclosures for AS'!C1129="","",'Qualitative Disclosures for AS'!C1129)</f>
        <v/>
      </c>
      <c r="D26" s="1453" t="str">
        <f>+IF('Qualitative Disclosures for AS'!D1129="","",'Qualitative Disclosures for AS'!D1129)</f>
        <v/>
      </c>
      <c r="E26" s="1453" t="str">
        <f>+IF('Qualitative Disclosures for AS'!E1129="","",'Qualitative Disclosures for AS'!E1129)</f>
        <v/>
      </c>
      <c r="F26" s="1453" t="str">
        <f>+IF('Qualitative Disclosures for AS'!F1129="","",'Qualitative Disclosures for AS'!F1129)</f>
        <v/>
      </c>
      <c r="K26" s="1125"/>
      <c r="L26" s="1125"/>
      <c r="M26" s="1125"/>
      <c r="N26" s="1125"/>
    </row>
    <row r="27" spans="3:14" ht="14.45" hidden="1" customHeight="1" x14ac:dyDescent="0.25">
      <c r="C27" s="1453" t="str">
        <f>+IF('Qualitative Disclosures for AS'!C1130="","",'Qualitative Disclosures for AS'!C1130)</f>
        <v/>
      </c>
      <c r="D27" s="1453" t="str">
        <f>+IF('Qualitative Disclosures for AS'!D1130="","",'Qualitative Disclosures for AS'!D1130)</f>
        <v/>
      </c>
      <c r="E27" s="1453" t="str">
        <f>+IF('Qualitative Disclosures for AS'!E1130="","",'Qualitative Disclosures for AS'!E1130)</f>
        <v/>
      </c>
      <c r="F27" s="1453" t="str">
        <f>+IF('Qualitative Disclosures for AS'!F1130="","",'Qualitative Disclosures for AS'!F1130)</f>
        <v/>
      </c>
      <c r="K27" s="1125"/>
      <c r="L27" s="1125"/>
      <c r="M27" s="1125"/>
      <c r="N27" s="1125"/>
    </row>
    <row r="28" spans="3:14" ht="14.45" hidden="1" customHeight="1" x14ac:dyDescent="0.25">
      <c r="C28" s="1453" t="str">
        <f>+IF('Qualitative Disclosures for AS'!C1131="","",'Qualitative Disclosures for AS'!C1131)</f>
        <v/>
      </c>
      <c r="D28" s="1453" t="str">
        <f>+IF('Qualitative Disclosures for AS'!D1131="","",'Qualitative Disclosures for AS'!D1131)</f>
        <v/>
      </c>
      <c r="E28" s="1453" t="str">
        <f>+IF('Qualitative Disclosures for AS'!E1131="","",'Qualitative Disclosures for AS'!E1131)</f>
        <v/>
      </c>
      <c r="F28" s="1453" t="str">
        <f>+IF('Qualitative Disclosures for AS'!F1131="","",'Qualitative Disclosures for AS'!F1131)</f>
        <v/>
      </c>
      <c r="K28" s="1125"/>
      <c r="L28" s="1125"/>
      <c r="M28" s="1125"/>
      <c r="N28" s="1125"/>
    </row>
    <row r="29" spans="3:14" ht="14.45" hidden="1" customHeight="1" x14ac:dyDescent="0.25">
      <c r="C29" s="1453" t="str">
        <f>+IF('Qualitative Disclosures for AS'!C1132="","",'Qualitative Disclosures for AS'!C1132)</f>
        <v/>
      </c>
      <c r="D29" s="1453" t="str">
        <f>+IF('Qualitative Disclosures for AS'!D1132="","",'Qualitative Disclosures for AS'!D1132)</f>
        <v/>
      </c>
      <c r="E29" s="1453" t="str">
        <f>+IF('Qualitative Disclosures for AS'!E1132="","",'Qualitative Disclosures for AS'!E1132)</f>
        <v/>
      </c>
      <c r="F29" s="1453" t="str">
        <f>+IF('Qualitative Disclosures for AS'!F1132="","",'Qualitative Disclosures for AS'!F1132)</f>
        <v/>
      </c>
      <c r="K29" s="1125"/>
      <c r="L29" s="1125"/>
      <c r="M29" s="1125"/>
      <c r="N29" s="1125"/>
    </row>
    <row r="30" spans="3:14" ht="14.45" hidden="1" customHeight="1" x14ac:dyDescent="0.25">
      <c r="C30" s="1453" t="str">
        <f>+IF('Qualitative Disclosures for AS'!C1133="","",'Qualitative Disclosures for AS'!C1133)</f>
        <v/>
      </c>
      <c r="D30" s="1453" t="str">
        <f>+IF('Qualitative Disclosures for AS'!D1133="","",'Qualitative Disclosures for AS'!D1133)</f>
        <v/>
      </c>
      <c r="E30" s="1453" t="str">
        <f>+IF('Qualitative Disclosures for AS'!E1133="","",'Qualitative Disclosures for AS'!E1133)</f>
        <v/>
      </c>
      <c r="F30" s="1453" t="str">
        <f>+IF('Qualitative Disclosures for AS'!F1133="","",'Qualitative Disclosures for AS'!F1133)</f>
        <v/>
      </c>
      <c r="K30" s="1125"/>
      <c r="L30" s="1125"/>
      <c r="M30" s="1125"/>
      <c r="N30" s="1125"/>
    </row>
    <row r="31" spans="3:14" ht="14.45" hidden="1" customHeight="1" x14ac:dyDescent="0.25">
      <c r="C31" s="1453" t="str">
        <f>+IF('Qualitative Disclosures for AS'!C1134="","",'Qualitative Disclosures for AS'!C1134)</f>
        <v/>
      </c>
      <c r="D31" s="1453" t="str">
        <f>+IF('Qualitative Disclosures for AS'!D1134="","",'Qualitative Disclosures for AS'!D1134)</f>
        <v/>
      </c>
      <c r="E31" s="1453" t="str">
        <f>+IF('Qualitative Disclosures for AS'!E1134="","",'Qualitative Disclosures for AS'!E1134)</f>
        <v/>
      </c>
      <c r="F31" s="1453" t="str">
        <f>+IF('Qualitative Disclosures for AS'!F1134="","",'Qualitative Disclosures for AS'!F1134)</f>
        <v/>
      </c>
      <c r="K31" s="1125"/>
      <c r="L31" s="1125"/>
      <c r="M31" s="1125"/>
      <c r="N31" s="1125"/>
    </row>
    <row r="32" spans="3:14" hidden="1" x14ac:dyDescent="0.25">
      <c r="C32" s="31"/>
      <c r="D32" s="31"/>
      <c r="E32" s="31"/>
      <c r="F32" s="31"/>
    </row>
    <row r="33" spans="2:20" x14ac:dyDescent="0.25">
      <c r="B33" s="42">
        <v>25</v>
      </c>
      <c r="C33" s="1164" t="str">
        <f>+IF('Qualitative Disclosures for AS'!C1136="","",'Qualitative Disclosures for AS'!C1136)</f>
        <v xml:space="preserve">Contingent liabilities and commitments </v>
      </c>
      <c r="D33" s="31"/>
      <c r="E33" s="31"/>
      <c r="F33" s="31"/>
    </row>
    <row r="34" spans="2:20" x14ac:dyDescent="0.25">
      <c r="C34" s="1164"/>
      <c r="D34" s="31"/>
      <c r="E34" s="2954" t="str">
        <f>+'Disclosures under AS'!E193</f>
        <v>Amount in Rs '00.</v>
      </c>
      <c r="F34" s="2954"/>
    </row>
    <row r="35" spans="2:20" ht="30" x14ac:dyDescent="0.25">
      <c r="C35" s="2952" t="str">
        <f>+IF('Qualitative Disclosures for AS'!C1138="","",'Qualitative Disclosures for AS'!C1138)</f>
        <v>Particulars</v>
      </c>
      <c r="D35" s="2952" t="str">
        <f>+IF('Qualitative Disclosures for AS'!D1138="","",'Qualitative Disclosures for AS'!D1138)</f>
        <v/>
      </c>
      <c r="E35" s="1935" t="str">
        <f>+IF('Qualitative Disclosures for AS'!E1138="","",'Qualitative Disclosures for AS'!E1138)</f>
        <v>As At 31st March 2025</v>
      </c>
      <c r="F35" s="1935" t="str">
        <f>+IF('Qualitative Disclosures for AS'!F1138="","",'Qualitative Disclosures for AS'!F1138)</f>
        <v>As At 31st March 2024</v>
      </c>
    </row>
    <row r="36" spans="2:20" s="42" customFormat="1" x14ac:dyDescent="0.25">
      <c r="C36" s="2953" t="str">
        <f>+IF('Qualitative Disclosures for AS'!C1139="","",'Qualitative Disclosures for AS'!C1139)</f>
        <v>(i) Contingent liabilities</v>
      </c>
      <c r="D36" s="2953" t="str">
        <f>+IF('Qualitative Disclosures for AS'!D1139="","",'Qualitative Disclosures for AS'!D1139)</f>
        <v/>
      </c>
      <c r="E36" s="249"/>
      <c r="F36" s="249"/>
      <c r="G36" s="146"/>
      <c r="K36" s="41"/>
    </row>
    <row r="37" spans="2:20" s="42" customFormat="1" x14ac:dyDescent="0.25">
      <c r="C37" s="2948" t="str">
        <f>+IF('Qualitative Disclosures for AS'!C1141="","",'Qualitative Disclosures for AS'!C1141)</f>
        <v>(a) Claims against the Company not acknowledged as debt</v>
      </c>
      <c r="D37" s="2948" t="str">
        <f>+IF('Qualitative Disclosures for AS'!D1141="","",'Qualitative Disclosures for AS'!D1141)</f>
        <v/>
      </c>
      <c r="E37" s="249"/>
      <c r="F37" s="249"/>
      <c r="G37" s="146"/>
      <c r="K37" s="41"/>
    </row>
    <row r="38" spans="2:20" s="42" customFormat="1" hidden="1" x14ac:dyDescent="0.25">
      <c r="C38" s="2948" t="str">
        <f>+IF('Qualitative Disclosures for AS'!C1150="","",'Qualitative Disclosures for AS'!C1150)</f>
        <v>(b) Guarantees @ (give details)</v>
      </c>
      <c r="D38" s="2948" t="str">
        <f>+IF('Qualitative Disclosures for AS'!D1150="","",'Qualitative Disclosures for AS'!D1150)</f>
        <v/>
      </c>
      <c r="E38" s="249">
        <f>'Qualitative Disclosures for AS'!E1150</f>
        <v>0</v>
      </c>
      <c r="F38" s="249">
        <f>'Qualitative Disclosures for AS'!F1150</f>
        <v>0</v>
      </c>
      <c r="G38" s="146"/>
    </row>
    <row r="39" spans="2:20" s="42" customFormat="1" ht="16.5" hidden="1" customHeight="1" x14ac:dyDescent="0.25">
      <c r="C39" s="2948" t="str">
        <f>+IF('Qualitative Disclosures for AS'!C1151="","",'Qualitative Disclosures for AS'!C1151)</f>
        <v>(c) Other money for which the Company is contingently liable (give details)</v>
      </c>
      <c r="D39" s="2948" t="str">
        <f>+IF('Qualitative Disclosures for AS'!D1151="","",'Qualitative Disclosures for AS'!D1151)</f>
        <v/>
      </c>
      <c r="E39" s="249">
        <f>'Qualitative Disclosures for AS'!E1151</f>
        <v>0</v>
      </c>
      <c r="F39" s="249">
        <f>'Qualitative Disclosures for AS'!F1151</f>
        <v>0</v>
      </c>
      <c r="G39" s="146"/>
    </row>
    <row r="40" spans="2:20" s="42" customFormat="1" ht="52.5" hidden="1" customHeight="1" x14ac:dyDescent="0.25">
      <c r="C40" s="2948" t="str">
        <f>+IF('Qualitative Disclosures for AS'!C1152="","",'Qualitative Disclosures for AS'!C1152)</f>
        <v>(d) In relation to the Company's interests in joint ventures and its share in each of the contingent liabilities which have been incurred jointly with other venturers</v>
      </c>
      <c r="D40" s="2948" t="str">
        <f>+IF('Qualitative Disclosures for AS'!D1152="","",'Qualitative Disclosures for AS'!D1152)</f>
        <v/>
      </c>
      <c r="E40" s="249">
        <f>'Qualitative Disclosures for AS'!E1152</f>
        <v>0</v>
      </c>
      <c r="F40" s="249">
        <f>'Qualitative Disclosures for AS'!F1152</f>
        <v>0</v>
      </c>
      <c r="G40" s="146"/>
    </row>
    <row r="41" spans="2:20" s="42" customFormat="1" ht="56.25" hidden="1" customHeight="1" x14ac:dyDescent="0.25">
      <c r="C41" s="2948" t="str">
        <f>+IF('Qualitative Disclosures for AS'!C1153="","",'Qualitative Disclosures for AS'!C1153)</f>
        <v>(e) Company's share of the share of contingent liabilities of Joint Ventures themselves for which it is contingently liable (Refer Note 27.13(i))</v>
      </c>
      <c r="D41" s="2948" t="str">
        <f>+IF('Qualitative Disclosures for AS'!D1153="","",'Qualitative Disclosures for AS'!D1153)</f>
        <v/>
      </c>
      <c r="E41" s="249">
        <f>'Qualitative Disclosures for AS'!E1153</f>
        <v>0</v>
      </c>
      <c r="F41" s="249">
        <f>'Qualitative Disclosures for AS'!F1153</f>
        <v>0</v>
      </c>
      <c r="G41" s="146"/>
    </row>
    <row r="42" spans="2:20" s="42" customFormat="1" ht="54.95" hidden="1" customHeight="1" x14ac:dyDescent="0.25">
      <c r="C42" s="2948" t="str">
        <f>+IF('Qualitative Disclosures for AS'!C1154="","",'Qualitative Disclosures for AS'!C1154)</f>
        <v>(f) Contingent liabilities arising because the Company is contingently liable for the liabilities of the other venturers of a joint venture</v>
      </c>
      <c r="D42" s="2948" t="str">
        <f>+IF('Qualitative Disclosures for AS'!D1154="","",'Qualitative Disclosures for AS'!D1154)</f>
        <v/>
      </c>
      <c r="E42" s="249">
        <f>'Qualitative Disclosures for AS'!E1154</f>
        <v>0</v>
      </c>
      <c r="F42" s="249">
        <f>'Qualitative Disclosures for AS'!F1154</f>
        <v>0</v>
      </c>
      <c r="G42" s="146"/>
    </row>
    <row r="43" spans="2:20" s="42" customFormat="1" ht="54.95" hidden="1" customHeight="1" x14ac:dyDescent="0.25">
      <c r="C43" s="2948" t="str">
        <f>+IF('Qualitative Disclosures for AS'!C1155="","",'Qualitative Disclosures for AS'!C1155)</f>
        <v>Future cash outflows in respect of the above matters are determinable only on receipt of judgments / decisions pending at various forums / authorities.</v>
      </c>
      <c r="D43" s="2948" t="str">
        <f>+IF('Qualitative Disclosures for AS'!D1155="","",'Qualitative Disclosures for AS'!D1155)</f>
        <v/>
      </c>
      <c r="E43" s="249">
        <f>'Qualitative Disclosures for AS'!E1155</f>
        <v>0</v>
      </c>
      <c r="F43" s="249">
        <f>'Qualitative Disclosures for AS'!F1155</f>
        <v>0</v>
      </c>
      <c r="G43" s="146"/>
    </row>
    <row r="44" spans="2:20" hidden="1" x14ac:dyDescent="0.25">
      <c r="C44" s="2950" t="str">
        <f>+IF('Qualitative Disclosures for AS'!C1156="","",'Qualitative Disclosures for AS'!C1156)</f>
        <v>(ii) Commitments #</v>
      </c>
      <c r="D44" s="2950" t="str">
        <f>+IF('Qualitative Disclosures for AS'!D1156="","",'Qualitative Disclosures for AS'!D1156)</f>
        <v/>
      </c>
      <c r="E44" s="24">
        <f>'Qualitative Disclosures for AS'!E1156</f>
        <v>0</v>
      </c>
      <c r="F44" s="24">
        <f>'Qualitative Disclosures for AS'!F1156</f>
        <v>0</v>
      </c>
      <c r="J44" s="42"/>
      <c r="T44" s="42"/>
    </row>
    <row r="45" spans="2:20" ht="36.75" hidden="1" customHeight="1" x14ac:dyDescent="0.25">
      <c r="C45" s="2948" t="str">
        <f>+IF('Qualitative Disclosures for AS'!C1157="","",'Qualitative Disclosures for AS'!C1157)</f>
        <v>(a) Estimated amount of contracts remaining to be executed on capital account and not provided for</v>
      </c>
      <c r="D45" s="2948" t="str">
        <f>+IF('Qualitative Disclosures for AS'!D1157="","",'Qualitative Disclosures for AS'!D1157)</f>
        <v/>
      </c>
      <c r="E45" s="249">
        <f>'Qualitative Disclosures for AS'!E1157</f>
        <v>0</v>
      </c>
      <c r="F45" s="249">
        <f>'Qualitative Disclosures for AS'!F1157</f>
        <v>0</v>
      </c>
      <c r="J45" s="42"/>
      <c r="T45" s="42"/>
    </row>
    <row r="46" spans="2:20" hidden="1" x14ac:dyDescent="0.25">
      <c r="C46" s="2951" t="str">
        <f>+IF('Qualitative Disclosures for AS'!C1158="","",'Qualitative Disclosures for AS'!C1158)</f>
        <v>Tangible assets</v>
      </c>
      <c r="D46" s="2951" t="str">
        <f>+IF('Qualitative Disclosures for AS'!D1158="","",'Qualitative Disclosures for AS'!D1158)</f>
        <v/>
      </c>
      <c r="E46" s="249">
        <f>'Qualitative Disclosures for AS'!E1158</f>
        <v>0</v>
      </c>
      <c r="F46" s="249">
        <f>'Qualitative Disclosures for AS'!F1158</f>
        <v>0</v>
      </c>
      <c r="J46" s="42"/>
      <c r="T46" s="42"/>
    </row>
    <row r="47" spans="2:20" hidden="1" x14ac:dyDescent="0.25">
      <c r="C47" s="2951" t="str">
        <f>+IF('Qualitative Disclosures for AS'!C1159="","",'Qualitative Disclosures for AS'!C1159)</f>
        <v>Intangible assets</v>
      </c>
      <c r="D47" s="2951" t="str">
        <f>+IF('Qualitative Disclosures for AS'!D1159="","",'Qualitative Disclosures for AS'!D1159)</f>
        <v/>
      </c>
      <c r="E47" s="249">
        <f>'Qualitative Disclosures for AS'!E1159</f>
        <v>0</v>
      </c>
      <c r="F47" s="249">
        <f>'Qualitative Disclosures for AS'!F1159</f>
        <v>0</v>
      </c>
      <c r="J47" s="42"/>
      <c r="T47" s="42"/>
    </row>
    <row r="48" spans="2:20" hidden="1" x14ac:dyDescent="0.25">
      <c r="C48" s="2948" t="str">
        <f>+IF('Qualitative Disclosures for AS'!C1160="","",'Qualitative Disclosures for AS'!C1160)</f>
        <v>(b) Uncalled liability on shares and other investments partly paid</v>
      </c>
      <c r="D48" s="2948" t="str">
        <f>+IF('Qualitative Disclosures for AS'!D1160="","",'Qualitative Disclosures for AS'!D1160)</f>
        <v/>
      </c>
      <c r="E48" s="249">
        <f>'Qualitative Disclosures for AS'!E1160</f>
        <v>0</v>
      </c>
      <c r="F48" s="249">
        <f>'Qualitative Disclosures for AS'!F1160</f>
        <v>0</v>
      </c>
      <c r="J48" s="42"/>
      <c r="T48" s="42"/>
    </row>
    <row r="49" spans="3:20" hidden="1" x14ac:dyDescent="0.25">
      <c r="C49" s="2948" t="str">
        <f>+IF('Qualitative Disclosures for AS'!C1161="","",'Qualitative Disclosures for AS'!C1161)</f>
        <v>(c) Other commitments (specify nature)</v>
      </c>
      <c r="D49" s="2948" t="str">
        <f>+IF('Qualitative Disclosures for AS'!D1161="","",'Qualitative Disclosures for AS'!D1161)</f>
        <v/>
      </c>
      <c r="E49" s="249">
        <f>'Qualitative Disclosures for AS'!E1161</f>
        <v>0</v>
      </c>
      <c r="F49" s="249">
        <f>'Qualitative Disclosures for AS'!F1161</f>
        <v>0</v>
      </c>
      <c r="J49" s="860"/>
      <c r="T49" s="42"/>
    </row>
    <row r="50" spans="3:20" hidden="1" x14ac:dyDescent="0.25">
      <c r="C50" s="2948" t="str">
        <f>+IF('Qualitative Disclosures for AS'!C1162="","",'Qualitative Disclosures for AS'!C1162)</f>
        <v>(d) Relating to Joint Ventures (Refer Note 27.13(i))</v>
      </c>
      <c r="D50" s="2949" t="str">
        <f>+IF('Qualitative Disclosures for AS'!D1162="","",'Qualitative Disclosures for AS'!D1162)</f>
        <v/>
      </c>
      <c r="E50" s="1047">
        <f>'Qualitative Disclosures for AS'!E1162</f>
        <v>0</v>
      </c>
      <c r="F50" s="1047">
        <f>'Qualitative Disclosures for AS'!F1162</f>
        <v>0</v>
      </c>
      <c r="K50" s="860"/>
      <c r="T50" s="42"/>
    </row>
    <row r="51" spans="3:20" x14ac:dyDescent="0.25">
      <c r="C51" s="467" t="s">
        <v>3811</v>
      </c>
      <c r="D51" s="1752"/>
      <c r="E51" s="831">
        <f>+'Qualitative Disclosures for AS'!E1142</f>
        <v>13992</v>
      </c>
      <c r="F51" s="831">
        <f>+'Qualitative Disclosures for AS'!F1142</f>
        <v>13992</v>
      </c>
      <c r="K51" s="860"/>
      <c r="T51" s="42"/>
    </row>
    <row r="52" spans="3:20" x14ac:dyDescent="0.25">
      <c r="C52" s="467" t="s">
        <v>3812</v>
      </c>
      <c r="D52" s="1752"/>
      <c r="E52" s="831">
        <f>+'Qualitative Disclosures for AS'!E1143</f>
        <v>51.95</v>
      </c>
      <c r="F52" s="831">
        <f>+'Qualitative Disclosures for AS'!F1143</f>
        <v>52</v>
      </c>
      <c r="K52" s="860"/>
      <c r="T52" s="42"/>
    </row>
    <row r="53" spans="3:20" x14ac:dyDescent="0.25">
      <c r="C53" s="467" t="s">
        <v>3813</v>
      </c>
      <c r="D53" s="1752"/>
      <c r="E53" s="831">
        <f>+'Qualitative Disclosures for AS'!E1144</f>
        <v>732.72</v>
      </c>
      <c r="F53" s="831">
        <v>0</v>
      </c>
      <c r="K53" s="860"/>
      <c r="T53" s="42"/>
    </row>
    <row r="54" spans="3:20" x14ac:dyDescent="0.25">
      <c r="C54" s="467" t="s">
        <v>3814</v>
      </c>
      <c r="D54" s="1752"/>
      <c r="E54" s="831">
        <f>+'Qualitative Disclosures for AS'!E1145</f>
        <v>163.15</v>
      </c>
      <c r="F54" s="831">
        <v>0</v>
      </c>
      <c r="K54" s="860"/>
      <c r="T54" s="42"/>
    </row>
    <row r="55" spans="3:20" x14ac:dyDescent="0.25">
      <c r="C55" s="1153" t="s">
        <v>3912</v>
      </c>
      <c r="D55" s="1915"/>
      <c r="E55" s="1953">
        <f>+'Qualitative Disclosures for AS'!E1148</f>
        <v>0</v>
      </c>
      <c r="F55" s="1953">
        <f>+'Qualitative Disclosures for AS'!F1148</f>
        <v>2011.3</v>
      </c>
      <c r="I55" s="2504"/>
      <c r="K55" s="860"/>
      <c r="T55" s="42"/>
    </row>
    <row r="56" spans="3:20" x14ac:dyDescent="0.25">
      <c r="C56" s="458" t="s">
        <v>3803</v>
      </c>
      <c r="D56" s="458"/>
      <c r="E56" s="192"/>
      <c r="F56" s="192"/>
      <c r="K56" s="860"/>
      <c r="T56" s="42"/>
    </row>
    <row r="57" spans="3:20" hidden="1" x14ac:dyDescent="0.25">
      <c r="C57" s="1455" t="str">
        <f>+IF('Qualitative Disclosures for AS'!C1164="","",'Qualitative Disclosures for AS'!C1164)</f>
        <v/>
      </c>
      <c r="D57" s="1455" t="str">
        <f>+IF('Qualitative Disclosures for AS'!D1164="","",'Qualitative Disclosures for AS'!D1164)</f>
        <v/>
      </c>
      <c r="E57" s="1422" t="str">
        <f>+IF('Qualitative Disclosures for AS'!E1164="","",'Qualitative Disclosures for AS'!E1164)</f>
        <v/>
      </c>
      <c r="F57" s="1422" t="str">
        <f>+IF('Qualitative Disclosures for AS'!F1164="","",'Qualitative Disclosures for AS'!F1164)</f>
        <v/>
      </c>
      <c r="K57" s="860"/>
      <c r="T57" s="42"/>
    </row>
    <row r="58" spans="3:20" hidden="1" x14ac:dyDescent="0.25">
      <c r="C58" s="1455" t="str">
        <f>+IF('Qualitative Disclosures for AS'!C1165="","",'Qualitative Disclosures for AS'!C1165)</f>
        <v/>
      </c>
      <c r="D58" s="1455" t="str">
        <f>+IF('Qualitative Disclosures for AS'!D1165="","",'Qualitative Disclosures for AS'!D1165)</f>
        <v/>
      </c>
      <c r="E58" s="1422" t="str">
        <f>+IF('Qualitative Disclosures for AS'!E1165="","",'Qualitative Disclosures for AS'!E1165)</f>
        <v/>
      </c>
      <c r="F58" s="1422" t="str">
        <f>+IF('Qualitative Disclosures for AS'!F1165="","",'Qualitative Disclosures for AS'!F1165)</f>
        <v/>
      </c>
      <c r="K58" s="860"/>
      <c r="T58" s="42"/>
    </row>
    <row r="59" spans="3:20" hidden="1" x14ac:dyDescent="0.25">
      <c r="C59" s="1455" t="str">
        <f>+IF('Qualitative Disclosures for AS'!C1166="","",'Qualitative Disclosures for AS'!C1166)</f>
        <v/>
      </c>
      <c r="D59" s="1455" t="str">
        <f>+IF('Qualitative Disclosures for AS'!D1166="","",'Qualitative Disclosures for AS'!D1166)</f>
        <v/>
      </c>
      <c r="E59" s="1422" t="str">
        <f>+IF('Qualitative Disclosures for AS'!E1166="","",'Qualitative Disclosures for AS'!E1166)</f>
        <v/>
      </c>
      <c r="F59" s="1422" t="str">
        <f>+IF('Qualitative Disclosures for AS'!F1166="","",'Qualitative Disclosures for AS'!F1166)</f>
        <v/>
      </c>
      <c r="K59" s="860"/>
      <c r="T59" s="42"/>
    </row>
    <row r="60" spans="3:20" hidden="1" x14ac:dyDescent="0.25">
      <c r="C60" s="1455" t="str">
        <f>+IF('Qualitative Disclosures for AS'!C1167="","",'Qualitative Disclosures for AS'!C1167)</f>
        <v/>
      </c>
      <c r="D60" s="1455" t="str">
        <f>+IF('Qualitative Disclosures for AS'!D1167="","",'Qualitative Disclosures for AS'!D1167)</f>
        <v/>
      </c>
      <c r="E60" s="1422" t="str">
        <f>+IF('Qualitative Disclosures for AS'!E1167="","",'Qualitative Disclosures for AS'!E1167)</f>
        <v/>
      </c>
      <c r="F60" s="1422" t="str">
        <f>+IF('Qualitative Disclosures for AS'!F1167="","",'Qualitative Disclosures for AS'!F1167)</f>
        <v/>
      </c>
      <c r="K60" s="860"/>
      <c r="T60" s="42"/>
    </row>
    <row r="61" spans="3:20" hidden="1" x14ac:dyDescent="0.25">
      <c r="C61" s="1455" t="str">
        <f>+IF('Qualitative Disclosures for AS'!C1168="","",'Qualitative Disclosures for AS'!C1168)</f>
        <v/>
      </c>
      <c r="D61" s="1455" t="str">
        <f>+IF('Qualitative Disclosures for AS'!D1168="","",'Qualitative Disclosures for AS'!D1168)</f>
        <v/>
      </c>
      <c r="E61" s="1422" t="str">
        <f>+IF('Qualitative Disclosures for AS'!E1168="","",'Qualitative Disclosures for AS'!E1168)</f>
        <v/>
      </c>
      <c r="F61" s="1422" t="str">
        <f>+IF('Qualitative Disclosures for AS'!F1168="","",'Qualitative Disclosures for AS'!F1168)</f>
        <v/>
      </c>
      <c r="K61" s="860"/>
      <c r="T61" s="42"/>
    </row>
    <row r="62" spans="3:20" hidden="1" x14ac:dyDescent="0.25">
      <c r="C62" s="1455" t="str">
        <f>+IF('Qualitative Disclosures for AS'!C1169="","",'Qualitative Disclosures for AS'!C1169)</f>
        <v/>
      </c>
      <c r="D62" s="1455" t="str">
        <f>+IF('Qualitative Disclosures for AS'!D1169="","",'Qualitative Disclosures for AS'!D1169)</f>
        <v/>
      </c>
      <c r="E62" s="1422" t="str">
        <f>+IF('Qualitative Disclosures for AS'!E1169="","",'Qualitative Disclosures for AS'!E1169)</f>
        <v/>
      </c>
      <c r="F62" s="1422" t="str">
        <f>+IF('Qualitative Disclosures for AS'!F1169="","",'Qualitative Disclosures for AS'!F1169)</f>
        <v/>
      </c>
      <c r="K62" s="860"/>
      <c r="T62" s="42"/>
    </row>
    <row r="63" spans="3:20" hidden="1" x14ac:dyDescent="0.25">
      <c r="C63" s="191"/>
      <c r="D63" s="191"/>
      <c r="E63" s="192"/>
      <c r="F63" s="192"/>
      <c r="T63" s="42"/>
    </row>
    <row r="64" spans="3:20" hidden="1" x14ac:dyDescent="0.25">
      <c r="C64" s="1164" t="str">
        <f>+IF('Qualitative Disclosures for AS'!C1171="","",'Qualitative Disclosures for AS'!C1171)</f>
        <v>Details of unutilised amounts out of issue of securities made for specific purpose</v>
      </c>
      <c r="D64" s="191"/>
      <c r="E64" s="192"/>
      <c r="F64" s="192"/>
    </row>
    <row r="65" spans="2:6" ht="95.1" hidden="1" customHeight="1" x14ac:dyDescent="0.25">
      <c r="C65" s="2941" t="str">
        <f>+IF('Qualitative Disclosures for AS'!C1172="","",'Qualitative Disclosures for AS'!C1172)</f>
        <v>The Company had issued securities (specify type of security) amounting to ` ____ for purposes of _____. As at 31 March, 20X2, an amount of ` ____ (31 March, 20X1 ` ____) is pending utilisation in future periods / is no longer required for the said purpose consequent to completion of the specified activity. Accordingly, the unutilised amount has been invested in term deposits with banks (specify any other nature) / used in the operations of the Company for acquisition of other assets / investments / to meet its working capital requirements.</v>
      </c>
      <c r="D65" s="2941" t="str">
        <f>+IF('Qualitative Disclosures for AS'!D1172="","",'Qualitative Disclosures for AS'!D1172)</f>
        <v/>
      </c>
      <c r="E65" s="2941" t="str">
        <f>+IF('Qualitative Disclosures for AS'!E1172="","",'Qualitative Disclosures for AS'!E1172)</f>
        <v/>
      </c>
      <c r="F65" s="2941" t="str">
        <f>+IF('Qualitative Disclosures for AS'!F1172="","",'Qualitative Disclosures for AS'!F1172)</f>
        <v/>
      </c>
    </row>
    <row r="66" spans="2:6" hidden="1" x14ac:dyDescent="0.25">
      <c r="C66" s="56" t="str">
        <f>+IF('Qualitative Disclosures for AS'!C1173="","",'Qualitative Disclosures for AS'!C1173)</f>
        <v/>
      </c>
      <c r="D66" s="56"/>
      <c r="E66" s="56"/>
      <c r="F66" s="56"/>
    </row>
    <row r="67" spans="2:6" ht="60" hidden="1" customHeight="1" x14ac:dyDescent="0.25">
      <c r="C67" s="2942" t="str">
        <f>+IF('Qualitative Disclosures for AS'!C1174="","",'Qualitative Disclosures for AS'!C1174)</f>
        <v>The Company has a borrowed an amount of `_____ from ________ bank / institution for _________(specify purpose). As at 31 March, 20X2, an amount of ` ____ (31 March, 20X1 ` ____) is outstanding. The Company has used the borrowing for _________ (specify where the funds have been actually utilised).</v>
      </c>
      <c r="D67" s="2942" t="str">
        <f>+IF('Qualitative Disclosures for AS'!D1174="","",'Qualitative Disclosures for AS'!D1174)</f>
        <v/>
      </c>
      <c r="E67" s="2942" t="str">
        <f>+IF('Qualitative Disclosures for AS'!E1174="","",'Qualitative Disclosures for AS'!E1174)</f>
        <v/>
      </c>
      <c r="F67" s="2942" t="str">
        <f>+IF('Qualitative Disclosures for AS'!F1174="","",'Qualitative Disclosures for AS'!F1174)</f>
        <v/>
      </c>
    </row>
    <row r="68" spans="2:6" ht="14.45" hidden="1" customHeight="1" x14ac:dyDescent="0.25">
      <c r="C68" s="56"/>
      <c r="D68" s="56"/>
      <c r="E68" s="56"/>
      <c r="F68" s="56"/>
    </row>
    <row r="69" spans="2:6" ht="14.45" hidden="1" customHeight="1" x14ac:dyDescent="0.25">
      <c r="C69" s="1453" t="str">
        <f>+IF('Qualitative Disclosures for AS'!C1176="","",'Qualitative Disclosures for AS'!C1176)</f>
        <v/>
      </c>
      <c r="D69" s="1453" t="str">
        <f>+IF('Qualitative Disclosures for AS'!D1176="","",'Qualitative Disclosures for AS'!D1176)</f>
        <v/>
      </c>
      <c r="E69" s="1453" t="str">
        <f>+IF('Qualitative Disclosures for AS'!E1176="","",'Qualitative Disclosures for AS'!E1176)</f>
        <v/>
      </c>
      <c r="F69" s="1453" t="str">
        <f>+IF('Qualitative Disclosures for AS'!F1176="","",'Qualitative Disclosures for AS'!F1176)</f>
        <v/>
      </c>
    </row>
    <row r="70" spans="2:6" ht="14.45" hidden="1" customHeight="1" x14ac:dyDescent="0.25">
      <c r="C70" s="1453" t="str">
        <f>+IF('Qualitative Disclosures for AS'!C1177="","",'Qualitative Disclosures for AS'!C1177)</f>
        <v/>
      </c>
      <c r="D70" s="1453" t="str">
        <f>+IF('Qualitative Disclosures for AS'!D1177="","",'Qualitative Disclosures for AS'!D1177)</f>
        <v/>
      </c>
      <c r="E70" s="1453" t="str">
        <f>+IF('Qualitative Disclosures for AS'!E1177="","",'Qualitative Disclosures for AS'!E1177)</f>
        <v/>
      </c>
      <c r="F70" s="1453" t="str">
        <f>+IF('Qualitative Disclosures for AS'!F1177="","",'Qualitative Disclosures for AS'!F1177)</f>
        <v/>
      </c>
    </row>
    <row r="71" spans="2:6" ht="14.45" hidden="1" customHeight="1" x14ac:dyDescent="0.25">
      <c r="C71" s="1453" t="str">
        <f>+IF('Qualitative Disclosures for AS'!C1178="","",'Qualitative Disclosures for AS'!C1178)</f>
        <v/>
      </c>
      <c r="D71" s="1453" t="str">
        <f>+IF('Qualitative Disclosures for AS'!D1178="","",'Qualitative Disclosures for AS'!D1178)</f>
        <v/>
      </c>
      <c r="E71" s="1453" t="str">
        <f>+IF('Qualitative Disclosures for AS'!E1178="","",'Qualitative Disclosures for AS'!E1178)</f>
        <v/>
      </c>
      <c r="F71" s="1453" t="str">
        <f>+IF('Qualitative Disclosures for AS'!F1178="","",'Qualitative Disclosures for AS'!F1178)</f>
        <v/>
      </c>
    </row>
    <row r="72" spans="2:6" ht="14.45" hidden="1" customHeight="1" x14ac:dyDescent="0.25">
      <c r="C72" s="1453" t="str">
        <f>+IF('Qualitative Disclosures for AS'!C1179="","",'Qualitative Disclosures for AS'!C1179)</f>
        <v/>
      </c>
      <c r="D72" s="1453" t="str">
        <f>+IF('Qualitative Disclosures for AS'!D1179="","",'Qualitative Disclosures for AS'!D1179)</f>
        <v/>
      </c>
      <c r="E72" s="1453" t="str">
        <f>+IF('Qualitative Disclosures for AS'!E1179="","",'Qualitative Disclosures for AS'!E1179)</f>
        <v/>
      </c>
      <c r="F72" s="1453" t="str">
        <f>+IF('Qualitative Disclosures for AS'!F1179="","",'Qualitative Disclosures for AS'!F1179)</f>
        <v/>
      </c>
    </row>
    <row r="73" spans="2:6" ht="14.45" hidden="1" customHeight="1" x14ac:dyDescent="0.25">
      <c r="C73" s="1453" t="str">
        <f>+IF('Qualitative Disclosures for AS'!C1180="","",'Qualitative Disclosures for AS'!C1180)</f>
        <v/>
      </c>
      <c r="D73" s="1453" t="str">
        <f>+IF('Qualitative Disclosures for AS'!D1180="","",'Qualitative Disclosures for AS'!D1180)</f>
        <v/>
      </c>
      <c r="E73" s="1453" t="str">
        <f>+IF('Qualitative Disclosures for AS'!E1180="","",'Qualitative Disclosures for AS'!E1180)</f>
        <v/>
      </c>
      <c r="F73" s="1453" t="str">
        <f>+IF('Qualitative Disclosures for AS'!F1180="","",'Qualitative Disclosures for AS'!F1180)</f>
        <v/>
      </c>
    </row>
    <row r="74" spans="2:6" ht="14.45" hidden="1" customHeight="1" x14ac:dyDescent="0.25">
      <c r="C74" s="1452" t="str">
        <f>+IF('Qualitative Disclosures for AS'!C1181="","",'Qualitative Disclosures for AS'!C1181)</f>
        <v/>
      </c>
      <c r="D74" s="1452" t="str">
        <f>+IF('Qualitative Disclosures for AS'!D1181="","",'Qualitative Disclosures for AS'!D1181)</f>
        <v/>
      </c>
      <c r="E74" s="1422" t="str">
        <f>+IF('Qualitative Disclosures for AS'!E1181="","",'Qualitative Disclosures for AS'!E1181)</f>
        <v/>
      </c>
      <c r="F74" s="1422" t="str">
        <f>+IF('Qualitative Disclosures for AS'!F1181="","",'Qualitative Disclosures for AS'!F1181)</f>
        <v/>
      </c>
    </row>
    <row r="75" spans="2:6" ht="14.45" customHeight="1" x14ac:dyDescent="0.25">
      <c r="C75" s="32"/>
      <c r="D75" s="32"/>
      <c r="E75" s="229"/>
      <c r="F75" s="229"/>
    </row>
    <row r="76" spans="2:6" ht="51" customHeight="1" x14ac:dyDescent="0.25">
      <c r="C76" s="2947" t="s">
        <v>3911</v>
      </c>
      <c r="D76" s="2947"/>
      <c r="E76" s="2947"/>
      <c r="F76" s="2947"/>
    </row>
    <row r="77" spans="2:6" ht="14.45" customHeight="1" x14ac:dyDescent="0.25">
      <c r="C77" s="191"/>
      <c r="D77" s="191"/>
      <c r="E77" s="192"/>
      <c r="F77" s="192"/>
    </row>
    <row r="78" spans="2:6" x14ac:dyDescent="0.25">
      <c r="B78" s="42">
        <v>26</v>
      </c>
      <c r="C78" s="17" t="str">
        <f>+IF('Qualitative Disclosures for AS'!C1183="","",'Qualitative Disclosures for AS'!C1183)</f>
        <v>Disclosures required under Section 22 of the Micro, Small and Medium Enterprises Development Act, 2006</v>
      </c>
      <c r="D78" s="81"/>
      <c r="E78" s="81"/>
      <c r="F78" s="81"/>
    </row>
    <row r="79" spans="2:6" x14ac:dyDescent="0.25">
      <c r="C79" s="17"/>
      <c r="D79" s="81"/>
      <c r="E79" s="81"/>
      <c r="F79" s="214" t="str">
        <f>+E34</f>
        <v>Amount in Rs '00.</v>
      </c>
    </row>
    <row r="80" spans="2:6" ht="30" x14ac:dyDescent="0.25">
      <c r="C80" s="2870" t="str">
        <f>+IF('Qualitative Disclosures for AS'!C1185="","",'Qualitative Disclosures for AS'!C1185)</f>
        <v>Particulars</v>
      </c>
      <c r="D80" s="2871" t="str">
        <f>+IF('Qualitative Disclosures for AS'!D1185="","",'Qualitative Disclosures for AS'!D1185)</f>
        <v/>
      </c>
      <c r="E80" s="1935" t="str">
        <f>+IF('Qualitative Disclosures for AS'!E1185="","",'Qualitative Disclosures for AS'!E1185)</f>
        <v>As At 31st March 2025</v>
      </c>
      <c r="F80" s="1935" t="str">
        <f>+IF('Qualitative Disclosures for AS'!F1185="","",'Qualitative Disclosures for AS'!F1185)</f>
        <v>As At 31st March 2024</v>
      </c>
    </row>
    <row r="81" spans="3:20" ht="35.25" customHeight="1" x14ac:dyDescent="0.25">
      <c r="C81" s="2943" t="str">
        <f>+IF('Qualitative Disclosures for AS'!C1186="","",'Qualitative Disclosures for AS'!C1186)</f>
        <v>(i) Principal amount remaining unpaid to any supplier as at the end of the accounting year</v>
      </c>
      <c r="D81" s="2943" t="str">
        <f>+IF('Qualitative Disclosures for AS'!D1186="","",'Qualitative Disclosures for AS'!D1186)</f>
        <v/>
      </c>
      <c r="E81" s="1695">
        <f>+'Balance Sheet'!F33</f>
        <v>21010.052500000002</v>
      </c>
      <c r="F81" s="1795">
        <f>+'Balance Sheet'!G33</f>
        <v>0</v>
      </c>
      <c r="T81" s="42"/>
    </row>
    <row r="82" spans="3:20" ht="35.25" customHeight="1" x14ac:dyDescent="0.25">
      <c r="C82" s="2944" t="str">
        <f>+IF('Qualitative Disclosures for AS'!C1187="","",'Qualitative Disclosures for AS'!C1187)</f>
        <v>(ii) Interest due thereon remaining unpaid to any supplier as at the end of the accounting year</v>
      </c>
      <c r="D82" s="2944" t="str">
        <f>+IF('Qualitative Disclosures for AS'!D1187="","",'Qualitative Disclosures for AS'!D1187)</f>
        <v/>
      </c>
      <c r="E82" s="1792">
        <v>0</v>
      </c>
      <c r="F82" s="1792">
        <v>0</v>
      </c>
      <c r="T82" s="42"/>
    </row>
    <row r="83" spans="3:20" ht="35.25" customHeight="1" x14ac:dyDescent="0.25">
      <c r="C83" s="2944" t="str">
        <f>+IF('Qualitative Disclosures for AS'!C1188="","",'Qualitative Disclosures for AS'!C1188)</f>
        <v xml:space="preserve">(iii) The amount of interest paid along with the amounts of the payment made to the supplier beyond the appointed day </v>
      </c>
      <c r="D83" s="2944" t="str">
        <f>+IF('Qualitative Disclosures for AS'!D1188="","",'Qualitative Disclosures for AS'!D1188)</f>
        <v/>
      </c>
      <c r="E83" s="1792">
        <v>0</v>
      </c>
      <c r="F83" s="1792">
        <v>0</v>
      </c>
      <c r="T83" s="42"/>
    </row>
    <row r="84" spans="3:20" x14ac:dyDescent="0.25">
      <c r="C84" s="2944" t="str">
        <f>+IF('Qualitative Disclosures for AS'!C1189="","",'Qualitative Disclosures for AS'!C1189)</f>
        <v>(iv) The amount of interest due and payable for the year</v>
      </c>
      <c r="D84" s="2944" t="str">
        <f>+IF('Qualitative Disclosures for AS'!D1189="","",'Qualitative Disclosures for AS'!D1189)</f>
        <v/>
      </c>
      <c r="E84" s="1792">
        <v>0</v>
      </c>
      <c r="F84" s="1792">
        <v>0</v>
      </c>
      <c r="T84" s="42"/>
    </row>
    <row r="85" spans="3:20" ht="35.25" customHeight="1" x14ac:dyDescent="0.25">
      <c r="C85" s="2944" t="str">
        <f>+IF('Qualitative Disclosures for AS'!C1190="","",'Qualitative Disclosures for AS'!C1190)</f>
        <v>(v) The amount of interest accrued and remaining unpaid at the end of the accounting year</v>
      </c>
      <c r="D85" s="2944" t="str">
        <f>+IF('Qualitative Disclosures for AS'!D1190="","",'Qualitative Disclosures for AS'!D1190)</f>
        <v/>
      </c>
      <c r="E85" s="1792">
        <v>0</v>
      </c>
      <c r="F85" s="1792">
        <v>0</v>
      </c>
      <c r="T85" s="42"/>
    </row>
    <row r="86" spans="3:20" ht="35.25" customHeight="1" x14ac:dyDescent="0.25">
      <c r="C86" s="2945" t="str">
        <f>+IF('Qualitative Disclosures for AS'!C1191="","",'Qualitative Disclosures for AS'!C1191)</f>
        <v>(vi) The amount of further interest due and payable even in the succeeding year, until such date when the interest dues as above are actually paid</v>
      </c>
      <c r="D86" s="2945" t="str">
        <f>+IF('Qualitative Disclosures for AS'!D1191="","",'Qualitative Disclosures for AS'!D1191)</f>
        <v/>
      </c>
      <c r="E86" s="1793">
        <v>0</v>
      </c>
      <c r="F86" s="1793">
        <v>0</v>
      </c>
      <c r="T86" s="42"/>
    </row>
    <row r="87" spans="3:20" x14ac:dyDescent="0.25">
      <c r="C87" s="31"/>
      <c r="D87" s="31"/>
      <c r="E87" s="1971"/>
      <c r="F87" s="1971"/>
      <c r="T87" s="42"/>
    </row>
    <row r="88" spans="3:20" x14ac:dyDescent="0.25">
      <c r="C88" s="31"/>
      <c r="D88" s="31"/>
      <c r="E88" s="1971"/>
      <c r="F88" s="1971"/>
      <c r="T88" s="42"/>
    </row>
    <row r="89" spans="3:20" ht="36.75" customHeight="1" x14ac:dyDescent="0.25">
      <c r="C89" s="2942" t="str">
        <f>+IF('Qualitative Disclosures for AS'!C1193="","",'Qualitative Disclosures for AS'!C1193)</f>
        <v>Dues to Micro and Small Enterprises have been determined to the extent such parties have been identified on the basis of information collected by the Management. This has been relied upon by the auditors.</v>
      </c>
      <c r="D89" s="2942" t="str">
        <f>+IF('Qualitative Disclosures for AS'!D1193="","",'Qualitative Disclosures for AS'!D1193)</f>
        <v/>
      </c>
      <c r="E89" s="2942" t="str">
        <f>+IF('Qualitative Disclosures for AS'!E1193="","",'Qualitative Disclosures for AS'!E1193)</f>
        <v/>
      </c>
      <c r="F89" s="2942" t="str">
        <f>+IF('Qualitative Disclosures for AS'!F1193="","",'Qualitative Disclosures for AS'!F1193)</f>
        <v/>
      </c>
      <c r="T89" s="42"/>
    </row>
    <row r="90" spans="3:20" x14ac:dyDescent="0.25">
      <c r="C90" s="56" t="str">
        <f>+IF('Qualitative Disclosures for AS'!C1194="","",'Qualitative Disclosures for AS'!C1194)</f>
        <v/>
      </c>
      <c r="D90" s="56" t="str">
        <f>+IF('Qualitative Disclosures for AS'!D1194="","",'Qualitative Disclosures for AS'!D1194)</f>
        <v/>
      </c>
      <c r="E90" s="56" t="str">
        <f>+IF('Qualitative Disclosures for AS'!E1194="","",'Qualitative Disclosures for AS'!E1194)</f>
        <v/>
      </c>
      <c r="F90" s="56" t="str">
        <f>+IF('Qualitative Disclosures for AS'!F1194="","",'Qualitative Disclosures for AS'!F1194)</f>
        <v/>
      </c>
      <c r="T90" s="42"/>
    </row>
    <row r="91" spans="3:20" hidden="1" x14ac:dyDescent="0.25">
      <c r="C91" s="1453" t="str">
        <f>+IF('Qualitative Disclosures for AS'!C1195="","",'Qualitative Disclosures for AS'!C1195)</f>
        <v/>
      </c>
      <c r="D91" s="1453" t="str">
        <f>+IF('Qualitative Disclosures for AS'!D1195="","",'Qualitative Disclosures for AS'!D1195)</f>
        <v/>
      </c>
      <c r="E91" s="1453" t="str">
        <f>+IF('Qualitative Disclosures for AS'!E1195="","",'Qualitative Disclosures for AS'!E1195)</f>
        <v/>
      </c>
      <c r="F91" s="1453" t="str">
        <f>+IF('Qualitative Disclosures for AS'!F1195="","",'Qualitative Disclosures for AS'!F1195)</f>
        <v/>
      </c>
      <c r="T91" s="42"/>
    </row>
    <row r="92" spans="3:20" hidden="1" x14ac:dyDescent="0.25">
      <c r="C92" s="1453" t="str">
        <f>+IF('Qualitative Disclosures for AS'!C1196="","",'Qualitative Disclosures for AS'!C1196)</f>
        <v/>
      </c>
      <c r="D92" s="1453" t="str">
        <f>+IF('Qualitative Disclosures for AS'!D1196="","",'Qualitative Disclosures for AS'!D1196)</f>
        <v/>
      </c>
      <c r="E92" s="1453" t="str">
        <f>+IF('Qualitative Disclosures for AS'!E1196="","",'Qualitative Disclosures for AS'!E1196)</f>
        <v/>
      </c>
      <c r="F92" s="1453" t="str">
        <f>+IF('Qualitative Disclosures for AS'!F1196="","",'Qualitative Disclosures for AS'!F1196)</f>
        <v/>
      </c>
      <c r="T92" s="42"/>
    </row>
    <row r="93" spans="3:20" hidden="1" x14ac:dyDescent="0.25">
      <c r="C93" s="1453" t="str">
        <f>+IF('Qualitative Disclosures for AS'!C1197="","",'Qualitative Disclosures for AS'!C1197)</f>
        <v/>
      </c>
      <c r="D93" s="1453" t="str">
        <f>+IF('Qualitative Disclosures for AS'!D1197="","",'Qualitative Disclosures for AS'!D1197)</f>
        <v/>
      </c>
      <c r="E93" s="1453" t="str">
        <f>+IF('Qualitative Disclosures for AS'!E1197="","",'Qualitative Disclosures for AS'!E1197)</f>
        <v/>
      </c>
      <c r="F93" s="1453" t="str">
        <f>+IF('Qualitative Disclosures for AS'!F1197="","",'Qualitative Disclosures for AS'!F1197)</f>
        <v/>
      </c>
      <c r="T93" s="42"/>
    </row>
    <row r="94" spans="3:20" hidden="1" x14ac:dyDescent="0.25">
      <c r="C94" s="1453" t="str">
        <f>+IF('Qualitative Disclosures for AS'!C1198="","",'Qualitative Disclosures for AS'!C1198)</f>
        <v/>
      </c>
      <c r="D94" s="1453" t="str">
        <f>+IF('Qualitative Disclosures for AS'!D1198="","",'Qualitative Disclosures for AS'!D1198)</f>
        <v/>
      </c>
      <c r="E94" s="1453" t="str">
        <f>+IF('Qualitative Disclosures for AS'!E1198="","",'Qualitative Disclosures for AS'!E1198)</f>
        <v/>
      </c>
      <c r="F94" s="1453" t="str">
        <f>+IF('Qualitative Disclosures for AS'!F1198="","",'Qualitative Disclosures for AS'!F1198)</f>
        <v/>
      </c>
      <c r="T94" s="42"/>
    </row>
    <row r="95" spans="3:20" hidden="1" x14ac:dyDescent="0.25">
      <c r="C95" s="1453" t="str">
        <f>+IF('Qualitative Disclosures for AS'!C1199="","",'Qualitative Disclosures for AS'!C1199)</f>
        <v/>
      </c>
      <c r="D95" s="1453" t="str">
        <f>+IF('Qualitative Disclosures for AS'!D1199="","",'Qualitative Disclosures for AS'!D1199)</f>
        <v/>
      </c>
      <c r="E95" s="1453" t="str">
        <f>+IF('Qualitative Disclosures for AS'!E1199="","",'Qualitative Disclosures for AS'!E1199)</f>
        <v/>
      </c>
      <c r="F95" s="1453" t="str">
        <f>+IF('Qualitative Disclosures for AS'!F1199="","",'Qualitative Disclosures for AS'!F1199)</f>
        <v/>
      </c>
      <c r="T95" s="42"/>
    </row>
    <row r="96" spans="3:20" hidden="1" x14ac:dyDescent="0.25">
      <c r="C96" s="1453" t="str">
        <f>+IF('Qualitative Disclosures for AS'!C1200="","",'Qualitative Disclosures for AS'!C1200)</f>
        <v/>
      </c>
      <c r="D96" s="1453" t="str">
        <f>+IF('Qualitative Disclosures for AS'!D1200="","",'Qualitative Disclosures for AS'!D1200)</f>
        <v/>
      </c>
      <c r="E96" s="1453" t="str">
        <f>+IF('Qualitative Disclosures for AS'!E1200="","",'Qualitative Disclosures for AS'!E1200)</f>
        <v/>
      </c>
      <c r="F96" s="1453" t="str">
        <f>+IF('Qualitative Disclosures for AS'!F1200="","",'Qualitative Disclosures for AS'!F1200)</f>
        <v/>
      </c>
      <c r="T96" s="42"/>
    </row>
    <row r="97" spans="2:6" hidden="1" x14ac:dyDescent="0.25">
      <c r="C97" s="56"/>
      <c r="D97" s="56"/>
      <c r="E97" s="56"/>
      <c r="F97" s="56"/>
    </row>
    <row r="98" spans="2:6" x14ac:dyDescent="0.25">
      <c r="B98" s="42">
        <v>27</v>
      </c>
      <c r="C98" s="2946" t="str">
        <f>+IF('Qualitative Disclosures for AS'!C1202="","",'Qualitative Disclosures for AS'!C1202)</f>
        <v>Unhedged foreign currency exposures</v>
      </c>
      <c r="D98" s="2946" t="str">
        <f>+IF('Qualitative Disclosures for AS'!D1202="","",'Qualitative Disclosures for AS'!D1202)</f>
        <v/>
      </c>
      <c r="E98" s="2946" t="str">
        <f>+IF('Qualitative Disclosures for AS'!E1202="","",'Qualitative Disclosures for AS'!E1202)</f>
        <v/>
      </c>
      <c r="F98" s="2946" t="str">
        <f>+IF('Qualitative Disclosures for AS'!F1202="","",'Qualitative Disclosures for AS'!F1202)</f>
        <v/>
      </c>
    </row>
    <row r="99" spans="2:6" hidden="1" x14ac:dyDescent="0.25">
      <c r="C99" s="2938" t="str">
        <f>+IF('Qualitative Disclosures for AS'!C1203="","",'Qualitative Disclosures for AS'!C1203)</f>
        <v>I. The following derivative positions are open as at 31 March, 20X2. These transactions have been undertaken to act as economic hedges for the Company’s exposures to various risks in foreign exchange markets and may / may not qualify or be designated as hedging instruments. The accounting for these transactions is stated in Notes 2.10, 2.25 and 2.26.</v>
      </c>
      <c r="D99" s="2938" t="str">
        <f>+IF('Qualitative Disclosures for AS'!D1203="","",'Qualitative Disclosures for AS'!D1203)</f>
        <v/>
      </c>
      <c r="E99" s="2938" t="str">
        <f>+IF('Qualitative Disclosures for AS'!E1203="","",'Qualitative Disclosures for AS'!E1203)</f>
        <v/>
      </c>
      <c r="F99" s="2938" t="str">
        <f>+IF('Qualitative Disclosures for AS'!F1203="","",'Qualitative Disclosures for AS'!F1203)</f>
        <v/>
      </c>
    </row>
    <row r="100" spans="2:6" hidden="1" x14ac:dyDescent="0.25">
      <c r="C100" s="2938" t="str">
        <f>+IF('Qualitative Disclosures for AS'!C1204="","",'Qualitative Disclosures for AS'!C1204)</f>
        <v>(a) Forward exchange contracts and options (being derivative instruments), which are not intended for trading or speculative purposes but for hedge purposes to establish the amount of reporting currency required or available at the settlement date of certain payables and receivables.</v>
      </c>
      <c r="D100" s="2938" t="str">
        <f>+IF('Qualitative Disclosures for AS'!D1204="","",'Qualitative Disclosures for AS'!D1204)</f>
        <v/>
      </c>
      <c r="E100" s="2938" t="str">
        <f>+IF('Qualitative Disclosures for AS'!E1204="","",'Qualitative Disclosures for AS'!E1204)</f>
        <v/>
      </c>
      <c r="F100" s="2938" t="str">
        <f>+IF('Qualitative Disclosures for AS'!F1204="","",'Qualitative Disclosures for AS'!F1204)</f>
        <v/>
      </c>
    </row>
    <row r="101" spans="2:6" hidden="1" x14ac:dyDescent="0.25">
      <c r="C101" s="191" t="str">
        <f>+IF('Qualitative Disclosures for AS'!C1205="","",'Qualitative Disclosures for AS'!C1205)</f>
        <v>(i) Outstanding forward exchange contracts entered into by the Company as on 31 March, 20X2</v>
      </c>
      <c r="D101" s="197" t="str">
        <f>+IF('Qualitative Disclosures for AS'!D1205="","",'Qualitative Disclosures for AS'!D1205)</f>
        <v/>
      </c>
      <c r="E101" s="198" t="str">
        <f>+IF('Qualitative Disclosures for AS'!E1205="","",'Qualitative Disclosures for AS'!E1205)</f>
        <v/>
      </c>
      <c r="F101" s="192" t="str">
        <f>+IF('Qualitative Disclosures for AS'!F1205="","",'Qualitative Disclosures for AS'!F1205)</f>
        <v/>
      </c>
    </row>
    <row r="102" spans="2:6" hidden="1" x14ac:dyDescent="0.25">
      <c r="C102" s="199" t="str">
        <f>+IF('Qualitative Disclosures for AS'!C1206="","",'Qualitative Disclosures for AS'!C1206)</f>
        <v>Currency</v>
      </c>
      <c r="D102" s="199" t="str">
        <f>+IF('Qualitative Disclosures for AS'!D1206="","",'Qualitative Disclosures for AS'!D1206)</f>
        <v>Amount</v>
      </c>
      <c r="E102" s="200" t="str">
        <f>+IF('Qualitative Disclosures for AS'!E1206="","",'Qualitative Disclosures for AS'!E1206)</f>
        <v>Buy / Sell</v>
      </c>
      <c r="F102" s="200" t="str">
        <f>+IF('Qualitative Disclosures for AS'!F1206="","",'Qualitative Disclosures for AS'!F1206)</f>
        <v>Cross currency</v>
      </c>
    </row>
    <row r="103" spans="2:6" hidden="1" x14ac:dyDescent="0.25">
      <c r="C103" s="810" t="str">
        <f>+IF('Qualitative Disclosures for AS'!C1207="","",'Qualitative Disclosures for AS'!C1207)</f>
        <v>AUD</v>
      </c>
      <c r="D103" s="197" t="str">
        <f>+IF('Qualitative Disclosures for AS'!D1207="","",'Qualitative Disclosures for AS'!D1207)</f>
        <v>XXX</v>
      </c>
      <c r="E103" s="194" t="str">
        <f>+IF('Qualitative Disclosures for AS'!E1207="","",'Qualitative Disclosures for AS'!E1207)</f>
        <v>Buy</v>
      </c>
      <c r="F103" s="194" t="str">
        <f>+IF('Qualitative Disclosures for AS'!F1207="","",'Qualitative Disclosures for AS'!F1207)</f>
        <v>Rupees</v>
      </c>
    </row>
    <row r="104" spans="2:6" hidden="1" x14ac:dyDescent="0.25">
      <c r="C104" s="807" t="str">
        <f>+IF('Qualitative Disclosures for AS'!C1208="","",'Qualitative Disclosures for AS'!C1208)</f>
        <v>AUD</v>
      </c>
      <c r="D104" s="197" t="str">
        <f>+IF('Qualitative Disclosures for AS'!D1208="","",'Qualitative Disclosures for AS'!D1208)</f>
        <v>(AAA)</v>
      </c>
      <c r="E104" s="194" t="str">
        <f>+IF('Qualitative Disclosures for AS'!E1208="","",'Qualitative Disclosures for AS'!E1208)</f>
        <v>Buy</v>
      </c>
      <c r="F104" s="194" t="str">
        <f>+IF('Qualitative Disclosures for AS'!F1208="","",'Qualitative Disclosures for AS'!F1208)</f>
        <v>Rupees</v>
      </c>
    </row>
    <row r="105" spans="2:6" hidden="1" x14ac:dyDescent="0.25">
      <c r="C105" s="807" t="str">
        <f>+IF('Qualitative Disclosures for AS'!C1209="","",'Qualitative Disclosures for AS'!C1209)</f>
        <v>USD</v>
      </c>
      <c r="D105" s="197" t="str">
        <f>+IF('Qualitative Disclosures for AS'!D1209="","",'Qualitative Disclosures for AS'!D1209)</f>
        <v>YYY</v>
      </c>
      <c r="E105" s="194" t="str">
        <f>+IF('Qualitative Disclosures for AS'!E1209="","",'Qualitative Disclosures for AS'!E1209)</f>
        <v>Sell</v>
      </c>
      <c r="F105" s="194" t="str">
        <f>+IF('Qualitative Disclosures for AS'!F1209="","",'Qualitative Disclosures for AS'!F1209)</f>
        <v>Rupees</v>
      </c>
    </row>
    <row r="106" spans="2:6" hidden="1" x14ac:dyDescent="0.25">
      <c r="C106" s="811" t="str">
        <f>+IF('Qualitative Disclosures for AS'!C1210="","",'Qualitative Disclosures for AS'!C1210)</f>
        <v>USD</v>
      </c>
      <c r="D106" s="201" t="str">
        <f>+IF('Qualitative Disclosures for AS'!D1210="","",'Qualitative Disclosures for AS'!D1210)</f>
        <v>(ZZZ)</v>
      </c>
      <c r="E106" s="202" t="str">
        <f>+IF('Qualitative Disclosures for AS'!E1210="","",'Qualitative Disclosures for AS'!E1210)</f>
        <v>Sell</v>
      </c>
      <c r="F106" s="202" t="str">
        <f>+IF('Qualitative Disclosures for AS'!F1210="","",'Qualitative Disclosures for AS'!F1210)</f>
        <v>Rupees</v>
      </c>
    </row>
    <row r="107" spans="2:6" hidden="1" x14ac:dyDescent="0.25">
      <c r="C107" s="191" t="str">
        <f>+IF('Qualitative Disclosures for AS'!C1211="","",'Qualitative Disclosures for AS'!C1211)</f>
        <v>Note: Figures in brackets relate to the previous year</v>
      </c>
      <c r="D107" s="191" t="str">
        <f>+IF('Qualitative Disclosures for AS'!D1211="","",'Qualitative Disclosures for AS'!D1211)</f>
        <v/>
      </c>
      <c r="E107" s="203" t="str">
        <f>+IF('Qualitative Disclosures for AS'!E1211="","",'Qualitative Disclosures for AS'!E1211)</f>
        <v/>
      </c>
      <c r="F107" s="192" t="str">
        <f>+IF('Qualitative Disclosures for AS'!F1211="","",'Qualitative Disclosures for AS'!F1211)</f>
        <v/>
      </c>
    </row>
    <row r="108" spans="2:6" hidden="1" x14ac:dyDescent="0.25">
      <c r="C108" s="191" t="str">
        <f>+IF('Qualitative Disclosures for AS'!C1212="","",'Qualitative Disclosures for AS'!C1212)</f>
        <v/>
      </c>
      <c r="D108" s="191" t="str">
        <f>+IF('Qualitative Disclosures for AS'!D1212="","",'Qualitative Disclosures for AS'!D1212)</f>
        <v/>
      </c>
      <c r="E108" s="192" t="str">
        <f>+IF('Qualitative Disclosures for AS'!E1212="","",'Qualitative Disclosures for AS'!E1212)</f>
        <v/>
      </c>
      <c r="F108" s="192" t="str">
        <f>+IF('Qualitative Disclosures for AS'!F1212="","",'Qualitative Disclosures for AS'!F1212)</f>
        <v/>
      </c>
    </row>
    <row r="109" spans="2:6" hidden="1" x14ac:dyDescent="0.25">
      <c r="C109" s="191" t="str">
        <f>+IF('Qualitative Disclosures for AS'!C1213="","",'Qualitative Disclosures for AS'!C1213)</f>
        <v>(ii) Outstanding option contracts entered into by the Company as on 31 March, 20X2</v>
      </c>
      <c r="D109" s="191" t="str">
        <f>+IF('Qualitative Disclosures for AS'!D1213="","",'Qualitative Disclosures for AS'!D1213)</f>
        <v/>
      </c>
      <c r="E109" s="204" t="str">
        <f>+IF('Qualitative Disclosures for AS'!E1213="","",'Qualitative Disclosures for AS'!E1213)</f>
        <v/>
      </c>
      <c r="F109" s="192" t="str">
        <f>+IF('Qualitative Disclosures for AS'!F1213="","",'Qualitative Disclosures for AS'!F1213)</f>
        <v/>
      </c>
    </row>
    <row r="110" spans="2:6" hidden="1" x14ac:dyDescent="0.25">
      <c r="C110" s="199" t="str">
        <f>+IF('Qualitative Disclosures for AS'!C1214="","",'Qualitative Disclosures for AS'!C1214)</f>
        <v>Currency</v>
      </c>
      <c r="D110" s="199" t="str">
        <f>+IF('Qualitative Disclosures for AS'!D1214="","",'Qualitative Disclosures for AS'!D1214)</f>
        <v>Amount</v>
      </c>
      <c r="E110" s="200" t="str">
        <f>+IF('Qualitative Disclosures for AS'!E1214="","",'Qualitative Disclosures for AS'!E1214)</f>
        <v>Buy / Sell</v>
      </c>
      <c r="F110" s="200" t="str">
        <f>+IF('Qualitative Disclosures for AS'!F1214="","",'Qualitative Disclosures for AS'!F1214)</f>
        <v>Cross currency</v>
      </c>
    </row>
    <row r="111" spans="2:6" hidden="1" x14ac:dyDescent="0.25">
      <c r="C111" s="810" t="str">
        <f>+IF('Qualitative Disclosures for AS'!C1215="","",'Qualitative Disclosures for AS'!C1215)</f>
        <v>AUD</v>
      </c>
      <c r="D111" s="197" t="str">
        <f>+IF('Qualitative Disclosures for AS'!D1215="","",'Qualitative Disclosures for AS'!D1215)</f>
        <v>XXX</v>
      </c>
      <c r="E111" s="194" t="str">
        <f>+IF('Qualitative Disclosures for AS'!E1215="","",'Qualitative Disclosures for AS'!E1215)</f>
        <v>Buy</v>
      </c>
      <c r="F111" s="194" t="str">
        <f>+IF('Qualitative Disclosures for AS'!F1215="","",'Qualitative Disclosures for AS'!F1215)</f>
        <v>Rupees</v>
      </c>
    </row>
    <row r="112" spans="2:6" hidden="1" x14ac:dyDescent="0.25">
      <c r="C112" s="807" t="str">
        <f>+IF('Qualitative Disclosures for AS'!C1216="","",'Qualitative Disclosures for AS'!C1216)</f>
        <v>AUD</v>
      </c>
      <c r="D112" s="197" t="str">
        <f>+IF('Qualitative Disclosures for AS'!D1216="","",'Qualitative Disclosures for AS'!D1216)</f>
        <v>(AAA)</v>
      </c>
      <c r="E112" s="194" t="str">
        <f>+IF('Qualitative Disclosures for AS'!E1216="","",'Qualitative Disclosures for AS'!E1216)</f>
        <v>Buy</v>
      </c>
      <c r="F112" s="194" t="str">
        <f>+IF('Qualitative Disclosures for AS'!F1216="","",'Qualitative Disclosures for AS'!F1216)</f>
        <v>Rupees</v>
      </c>
    </row>
    <row r="113" spans="3:6" hidden="1" x14ac:dyDescent="0.25">
      <c r="C113" s="807" t="str">
        <f>+IF('Qualitative Disclosures for AS'!C1217="","",'Qualitative Disclosures for AS'!C1217)</f>
        <v>USD</v>
      </c>
      <c r="D113" s="197" t="str">
        <f>+IF('Qualitative Disclosures for AS'!D1217="","",'Qualitative Disclosures for AS'!D1217)</f>
        <v>YYY</v>
      </c>
      <c r="E113" s="194" t="str">
        <f>+IF('Qualitative Disclosures for AS'!E1217="","",'Qualitative Disclosures for AS'!E1217)</f>
        <v>Sell</v>
      </c>
      <c r="F113" s="194" t="str">
        <f>+IF('Qualitative Disclosures for AS'!F1217="","",'Qualitative Disclosures for AS'!F1217)</f>
        <v>Rupees</v>
      </c>
    </row>
    <row r="114" spans="3:6" hidden="1" x14ac:dyDescent="0.25">
      <c r="C114" s="811" t="str">
        <f>+IF('Qualitative Disclosures for AS'!C1218="","",'Qualitative Disclosures for AS'!C1218)</f>
        <v>USD</v>
      </c>
      <c r="D114" s="201" t="str">
        <f>+IF('Qualitative Disclosures for AS'!D1218="","",'Qualitative Disclosures for AS'!D1218)</f>
        <v>(ZZZ)</v>
      </c>
      <c r="E114" s="202" t="str">
        <f>+IF('Qualitative Disclosures for AS'!E1218="","",'Qualitative Disclosures for AS'!E1218)</f>
        <v>Sell</v>
      </c>
      <c r="F114" s="202" t="str">
        <f>+IF('Qualitative Disclosures for AS'!F1218="","",'Qualitative Disclosures for AS'!F1218)</f>
        <v>Rupees</v>
      </c>
    </row>
    <row r="115" spans="3:6" hidden="1" x14ac:dyDescent="0.25">
      <c r="C115" s="191" t="str">
        <f>+IF('Qualitative Disclosures for AS'!C1219="","",'Qualitative Disclosures for AS'!C1219)</f>
        <v>Note: Figures in brackets relate to the previous year</v>
      </c>
      <c r="D115" s="191" t="str">
        <f>+IF('Qualitative Disclosures for AS'!D1219="","",'Qualitative Disclosures for AS'!D1219)</f>
        <v/>
      </c>
      <c r="E115" s="192" t="str">
        <f>+IF('Qualitative Disclosures for AS'!E1219="","",'Qualitative Disclosures for AS'!E1219)</f>
        <v/>
      </c>
      <c r="F115" s="192" t="str">
        <f>+IF('Qualitative Disclosures for AS'!F1219="","",'Qualitative Disclosures for AS'!F1219)</f>
        <v/>
      </c>
    </row>
    <row r="116" spans="3:6" hidden="1" x14ac:dyDescent="0.25">
      <c r="C116" s="809" t="str">
        <f>+IF('Qualitative Disclosures for AS'!C1220="","",'Qualitative Disclosures for AS'!C1220)</f>
        <v/>
      </c>
      <c r="D116" s="809" t="str">
        <f>+IF('Qualitative Disclosures for AS'!D1220="","",'Qualitative Disclosures for AS'!D1220)</f>
        <v/>
      </c>
      <c r="E116" s="204" t="str">
        <f>+IF('Qualitative Disclosures for AS'!E1220="","",'Qualitative Disclosures for AS'!E1220)</f>
        <v/>
      </c>
      <c r="F116" s="204" t="str">
        <f>+IF('Qualitative Disclosures for AS'!F1220="","",'Qualitative Disclosures for AS'!F1220)</f>
        <v/>
      </c>
    </row>
    <row r="117" spans="3:6" hidden="1" x14ac:dyDescent="0.25">
      <c r="C117" s="2939" t="str">
        <f>+IF('Qualitative Disclosures for AS'!C1221="","",'Qualitative Disclosures for AS'!C1221)</f>
        <v xml:space="preserve">(b) Interest rate swaps to hedge against fluctuations in interest rate changes: No. of contracts: Nil (As at 31 March, 20X1: Nil )
</v>
      </c>
      <c r="D117" s="2939" t="str">
        <f>+IF('Qualitative Disclosures for AS'!D1221="","",'Qualitative Disclosures for AS'!D1221)</f>
        <v/>
      </c>
      <c r="E117" s="2939" t="str">
        <f>+IF('Qualitative Disclosures for AS'!E1221="","",'Qualitative Disclosures for AS'!E1221)</f>
        <v/>
      </c>
      <c r="F117" s="2939" t="str">
        <f>+IF('Qualitative Disclosures for AS'!F1221="","",'Qualitative Disclosures for AS'!F1221)</f>
        <v/>
      </c>
    </row>
    <row r="118" spans="3:6" hidden="1" x14ac:dyDescent="0.25">
      <c r="C118" s="2938" t="str">
        <f>+IF('Qualitative Disclosures for AS'!C1222="","",'Qualitative Disclosures for AS'!C1222)</f>
        <v>(c) Currency swaps (other than forward exchange contracts stated above) to hedge against fluctuations in changes in exchange rate. No. of contracts: Nil (As at 31 March, 20X1: Nil)</v>
      </c>
      <c r="D118" s="2938" t="str">
        <f>+IF('Qualitative Disclosures for AS'!D1222="","",'Qualitative Disclosures for AS'!D1222)</f>
        <v/>
      </c>
      <c r="E118" s="2938" t="str">
        <f>+IF('Qualitative Disclosures for AS'!E1222="","",'Qualitative Disclosures for AS'!E1222)</f>
        <v/>
      </c>
      <c r="F118" s="2938" t="str">
        <f>+IF('Qualitative Disclosures for AS'!F1222="","",'Qualitative Disclosures for AS'!F1222)</f>
        <v/>
      </c>
    </row>
    <row r="119" spans="3:6" x14ac:dyDescent="0.25">
      <c r="C119" s="2939" t="str">
        <f>+IF('Qualitative Disclosures for AS'!C1223="","",'Qualitative Disclosures for AS'!C1223)</f>
        <v xml:space="preserve"> The year-end foreign currency exposures that have not been hedged by a derivative instrument or otherwise are given below:</v>
      </c>
      <c r="D119" s="2939" t="str">
        <f>+IF('Qualitative Disclosures for AS'!D1223="","",'Qualitative Disclosures for AS'!D1223)</f>
        <v/>
      </c>
      <c r="E119" s="2939" t="str">
        <f>+IF('Qualitative Disclosures for AS'!E1223="","",'Qualitative Disclosures for AS'!E1223)</f>
        <v/>
      </c>
      <c r="F119" s="2939" t="str">
        <f>+IF('Qualitative Disclosures for AS'!F1223="","",'Qualitative Disclosures for AS'!F1223)</f>
        <v/>
      </c>
    </row>
    <row r="120" spans="3:6" x14ac:dyDescent="0.25">
      <c r="C120" s="458"/>
      <c r="D120" s="458"/>
      <c r="E120" s="1760" t="str">
        <f>+F79</f>
        <v>Amount in Rs '00.</v>
      </c>
      <c r="F120" s="458"/>
    </row>
    <row r="121" spans="3:6" x14ac:dyDescent="0.25">
      <c r="C121" s="2656" t="s">
        <v>3819</v>
      </c>
      <c r="D121" s="2940" t="str">
        <f>+IF('Qualitative Disclosures for AS'!D1225="","",'Qualitative Disclosures for AS'!D1225)</f>
        <v>As at 31st March,2025</v>
      </c>
      <c r="E121" s="2940"/>
      <c r="F121" s="167"/>
    </row>
    <row r="122" spans="3:6" x14ac:dyDescent="0.25">
      <c r="C122" s="148"/>
      <c r="D122" s="2611" t="str">
        <f>+IF('Qualitative Disclosures for AS'!D1226="","",'Qualitative Disclosures for AS'!D1226)</f>
        <v>Amount in Foreign currency</v>
      </c>
      <c r="E122" s="2611" t="str">
        <f>+IF('Qualitative Disclosures for AS'!E1226="","",'Qualitative Disclosures for AS'!E1226)</f>
        <v>Amount in INR</v>
      </c>
      <c r="F122" s="167"/>
    </row>
    <row r="123" spans="3:6" hidden="1" x14ac:dyDescent="0.25">
      <c r="C123" s="149" t="str">
        <f>+IF('Qualitative Disclosures for AS'!C1227="","",'Qualitative Disclosures for AS'!C1227)</f>
        <v/>
      </c>
      <c r="D123" s="149" t="str">
        <f>+IF('Qualitative Disclosures for AS'!D1227="","",'Qualitative Disclosures for AS'!D1227)</f>
        <v/>
      </c>
      <c r="E123" s="149" t="str">
        <f>+IF('Qualitative Disclosures for AS'!E1227="","",'Qualitative Disclosures for AS'!E1227)</f>
        <v/>
      </c>
      <c r="F123" s="167"/>
    </row>
    <row r="124" spans="3:6" hidden="1" x14ac:dyDescent="0.25">
      <c r="C124" s="21" t="str">
        <f>+IF('Qualitative Disclosures for AS'!C1228="","",'Qualitative Disclosures for AS'!C1228)</f>
        <v>`</v>
      </c>
      <c r="D124" s="205" t="str">
        <f>+IF('Qualitative Disclosures for AS'!D1228="","",'Qualitative Disclosures for AS'!D1228)</f>
        <v/>
      </c>
      <c r="E124" s="21" t="str">
        <f>+IF('Qualitative Disclosures for AS'!E1228="","",'Qualitative Disclosures for AS'!E1228)</f>
        <v>`</v>
      </c>
      <c r="F124" s="2655"/>
    </row>
    <row r="125" spans="3:6" x14ac:dyDescent="0.25">
      <c r="C125" s="2649" t="str">
        <f>+'Qualitative Disclosures for AS'!C1230</f>
        <v>Trade Payables</v>
      </c>
      <c r="D125" s="1075"/>
      <c r="E125" s="24"/>
      <c r="F125" s="2655"/>
    </row>
    <row r="126" spans="3:6" x14ac:dyDescent="0.25">
      <c r="C126" s="123" t="str">
        <f>+'Qualitative Disclosures for AS'!C1231</f>
        <v>USD</v>
      </c>
      <c r="D126" s="2654">
        <f>+'Qualitative Disclosures for AS'!D1231</f>
        <v>1191.6660345194473</v>
      </c>
      <c r="E126" s="2651">
        <f>+'Qualitative Disclosures for AS'!E1231</f>
        <v>101921.5276</v>
      </c>
      <c r="F126" s="2655"/>
    </row>
    <row r="127" spans="3:6" x14ac:dyDescent="0.25">
      <c r="C127" s="24"/>
      <c r="D127" s="1075"/>
      <c r="E127" s="24"/>
      <c r="F127" s="2655"/>
    </row>
    <row r="128" spans="3:6" x14ac:dyDescent="0.25">
      <c r="C128" s="2649" t="str">
        <f>+'Qualitative Disclosures for AS'!C1233</f>
        <v>Trade Receivables</v>
      </c>
      <c r="D128" s="1075"/>
      <c r="E128" s="24"/>
      <c r="F128" s="2655"/>
    </row>
    <row r="129" spans="3:20" x14ac:dyDescent="0.25">
      <c r="C129" s="123" t="str">
        <f>+IF('Qualitative Disclosures for AS'!C1234="","",'Qualitative Disclosures for AS'!C1234)</f>
        <v>USD</v>
      </c>
      <c r="D129" s="2653">
        <f>+IF('Qualitative Disclosures for AS'!D1234="","",'Qualitative Disclosures for AS'!D1234)</f>
        <v>4677.3132542798548</v>
      </c>
      <c r="E129" s="2311">
        <f>+IF('Qualitative Disclosures for AS'!E1234="","",'Qualitative Disclosures for AS'!E1234)</f>
        <v>400044.05439999996</v>
      </c>
      <c r="F129" s="2668"/>
      <c r="T129" s="42"/>
    </row>
    <row r="130" spans="3:20" x14ac:dyDescent="0.25">
      <c r="C130" s="109" t="str">
        <f>+IF('Qualitative Disclosures for AS'!C1235="","",'Qualitative Disclosures for AS'!C1235)</f>
        <v/>
      </c>
      <c r="D130" s="144" t="str">
        <f>+IF('Qualitative Disclosures for AS'!D1235="","",'Qualitative Disclosures for AS'!D1235)</f>
        <v/>
      </c>
      <c r="E130" s="109" t="str">
        <f>+IF('Qualitative Disclosures for AS'!E1235="","",'Qualitative Disclosures for AS'!E1235)</f>
        <v/>
      </c>
      <c r="F130" s="113"/>
    </row>
    <row r="131" spans="3:20" x14ac:dyDescent="0.25">
      <c r="C131" s="113" t="str">
        <f>+IF('Qualitative Disclosures for AS'!C1236="","",'Qualitative Disclosures for AS'!C1236)</f>
        <v/>
      </c>
      <c r="D131" s="113" t="str">
        <f>+IF('Qualitative Disclosures for AS'!D1236="","",'Qualitative Disclosures for AS'!D1236)</f>
        <v/>
      </c>
      <c r="E131" s="113" t="str">
        <f>+IF('Qualitative Disclosures for AS'!E1236="","",'Qualitative Disclosures for AS'!E1236)</f>
        <v/>
      </c>
      <c r="F131" s="113"/>
    </row>
    <row r="132" spans="3:20" hidden="1" x14ac:dyDescent="0.25">
      <c r="C132" s="1714" t="str">
        <f>+IF('Qualitative Disclosures for AS'!C1237="","",'Qualitative Disclosures for AS'!C1237)</f>
        <v/>
      </c>
      <c r="D132" s="1714" t="str">
        <f>+IF('Qualitative Disclosures for AS'!D1237="","",'Qualitative Disclosures for AS'!D1237)</f>
        <v/>
      </c>
      <c r="E132" s="1714" t="str">
        <f>+IF('Qualitative Disclosures for AS'!E1237="","",'Qualitative Disclosures for AS'!E1237)</f>
        <v/>
      </c>
      <c r="F132" s="1714" t="str">
        <f>+IF('Qualitative Disclosures for AS'!F1237="","",'Qualitative Disclosures for AS'!F1237)</f>
        <v/>
      </c>
    </row>
    <row r="133" spans="3:20" hidden="1" x14ac:dyDescent="0.25">
      <c r="C133" s="1714" t="str">
        <f>+IF('Qualitative Disclosures for AS'!C1238="","",'Qualitative Disclosures for AS'!C1238)</f>
        <v/>
      </c>
      <c r="D133" s="1714" t="str">
        <f>+IF('Qualitative Disclosures for AS'!D1238="","",'Qualitative Disclosures for AS'!D1238)</f>
        <v/>
      </c>
      <c r="E133" s="1714" t="str">
        <f>+IF('Qualitative Disclosures for AS'!E1238="","",'Qualitative Disclosures for AS'!E1238)</f>
        <v/>
      </c>
      <c r="F133" s="1714" t="str">
        <f>+IF('Qualitative Disclosures for AS'!F1238="","",'Qualitative Disclosures for AS'!F1238)</f>
        <v/>
      </c>
    </row>
    <row r="134" spans="3:20" hidden="1" x14ac:dyDescent="0.25">
      <c r="C134" s="1714" t="str">
        <f>+IF('Qualitative Disclosures for AS'!C1239="","",'Qualitative Disclosures for AS'!C1239)</f>
        <v/>
      </c>
      <c r="D134" s="1714" t="str">
        <f>+IF('Qualitative Disclosures for AS'!D1239="","",'Qualitative Disclosures for AS'!D1239)</f>
        <v/>
      </c>
      <c r="E134" s="1714" t="str">
        <f>+IF('Qualitative Disclosures for AS'!E1239="","",'Qualitative Disclosures for AS'!E1239)</f>
        <v/>
      </c>
      <c r="F134" s="1714" t="str">
        <f>+IF('Qualitative Disclosures for AS'!F1239="","",'Qualitative Disclosures for AS'!F1239)</f>
        <v/>
      </c>
    </row>
    <row r="135" spans="3:20" hidden="1" x14ac:dyDescent="0.25">
      <c r="C135" s="1714" t="str">
        <f>+IF('Qualitative Disclosures for AS'!C1240="","",'Qualitative Disclosures for AS'!C1240)</f>
        <v/>
      </c>
      <c r="D135" s="1714" t="str">
        <f>+IF('Qualitative Disclosures for AS'!D1240="","",'Qualitative Disclosures for AS'!D1240)</f>
        <v/>
      </c>
      <c r="E135" s="1714" t="str">
        <f>+IF('Qualitative Disclosures for AS'!E1240="","",'Qualitative Disclosures for AS'!E1240)</f>
        <v/>
      </c>
      <c r="F135" s="1714" t="str">
        <f>+IF('Qualitative Disclosures for AS'!F1240="","",'Qualitative Disclosures for AS'!F1240)</f>
        <v/>
      </c>
    </row>
    <row r="136" spans="3:20" hidden="1" x14ac:dyDescent="0.25">
      <c r="C136" s="1714" t="str">
        <f>+IF('Qualitative Disclosures for AS'!C1241="","",'Qualitative Disclosures for AS'!C1241)</f>
        <v/>
      </c>
      <c r="D136" s="1714" t="str">
        <f>+IF('Qualitative Disclosures for AS'!D1241="","",'Qualitative Disclosures for AS'!D1241)</f>
        <v/>
      </c>
      <c r="E136" s="1714" t="str">
        <f>+IF('Qualitative Disclosures for AS'!E1241="","",'Qualitative Disclosures for AS'!E1241)</f>
        <v/>
      </c>
      <c r="F136" s="1714" t="str">
        <f>+IF('Qualitative Disclosures for AS'!F1241="","",'Qualitative Disclosures for AS'!F1241)</f>
        <v/>
      </c>
    </row>
    <row r="137" spans="3:20" hidden="1" x14ac:dyDescent="0.25">
      <c r="C137" s="1714" t="str">
        <f>+IF('Qualitative Disclosures for AS'!C1242="","",'Qualitative Disclosures for AS'!C1242)</f>
        <v/>
      </c>
      <c r="D137" s="1714" t="str">
        <f>+IF('Qualitative Disclosures for AS'!D1242="","",'Qualitative Disclosures for AS'!D1242)</f>
        <v/>
      </c>
      <c r="E137" s="1714" t="str">
        <f>+IF('Qualitative Disclosures for AS'!E1242="","",'Qualitative Disclosures for AS'!E1242)</f>
        <v/>
      </c>
      <c r="F137" s="1714" t="str">
        <f>+IF('Qualitative Disclosures for AS'!F1242="","",'Qualitative Disclosures for AS'!F1242)</f>
        <v/>
      </c>
    </row>
    <row r="138" spans="3:20" hidden="1" x14ac:dyDescent="0.25">
      <c r="C138" s="191"/>
      <c r="D138" s="191"/>
      <c r="E138" s="192"/>
      <c r="F138" s="192"/>
    </row>
    <row r="139" spans="3:20" hidden="1" x14ac:dyDescent="0.25">
      <c r="C139" s="2931" t="str">
        <f>+IF('Qualitative Disclosures for AS'!C1244="","",'Qualitative Disclosures for AS'!C1244)</f>
        <v>Value of imports calculated on CIF basis :</v>
      </c>
      <c r="D139" s="2931" t="str">
        <f>+IF('Qualitative Disclosures for AS'!D1244="","",'Qualitative Disclosures for AS'!D1244)</f>
        <v/>
      </c>
      <c r="E139" s="192" t="str">
        <f>+IF('Qualitative Disclosures for AS'!E1244="","",'Qualitative Disclosures for AS'!E1244)</f>
        <v/>
      </c>
      <c r="F139" s="192" t="str">
        <f>+IF('Qualitative Disclosures for AS'!F1244="","",'Qualitative Disclosures for AS'!F1244)</f>
        <v/>
      </c>
    </row>
    <row r="140" spans="3:20" hidden="1" x14ac:dyDescent="0.25">
      <c r="C140" s="2931" t="str">
        <f>+IF('Qualitative Disclosures for AS'!C1245="","",'Qualitative Disclosures for AS'!C1245)</f>
        <v/>
      </c>
      <c r="D140" s="2931" t="str">
        <f>+IF('Qualitative Disclosures for AS'!D1245="","",'Qualitative Disclosures for AS'!D1245)</f>
        <v/>
      </c>
      <c r="E140" s="192" t="str">
        <f>+IF('Qualitative Disclosures for AS'!E1245="","",'Qualitative Disclosures for AS'!E1245)</f>
        <v/>
      </c>
      <c r="F140" s="192" t="str">
        <f>+IF('Qualitative Disclosures for AS'!F1245="","",'Qualitative Disclosures for AS'!F1245)</f>
        <v/>
      </c>
    </row>
    <row r="141" spans="3:20" ht="30" hidden="1" x14ac:dyDescent="0.25">
      <c r="C141" s="2874" t="str">
        <f>+IF('Qualitative Disclosures for AS'!C1246="","",'Qualitative Disclosures for AS'!C1246)</f>
        <v>Particulars</v>
      </c>
      <c r="D141" s="2875" t="str">
        <f>+IF('Qualitative Disclosures for AS'!D1246="","",'Qualitative Disclosures for AS'!D1246)</f>
        <v/>
      </c>
      <c r="E141" s="314" t="str">
        <f>+IF('Qualitative Disclosures for AS'!E1246="","",'Qualitative Disclosures for AS'!E1246)</f>
        <v>As At 31st March 2025</v>
      </c>
      <c r="F141" s="314" t="str">
        <f>+IF('Qualitative Disclosures for AS'!F1246="","",'Qualitative Disclosures for AS'!F1246)</f>
        <v>As At 31st March 2024</v>
      </c>
    </row>
    <row r="142" spans="3:20" hidden="1" x14ac:dyDescent="0.25">
      <c r="C142" s="141" t="str">
        <f>+IF('Qualitative Disclosures for AS'!C1247="","",'Qualitative Disclosures for AS'!C1247)</f>
        <v/>
      </c>
      <c r="D142" s="50" t="str">
        <f>+IF('Qualitative Disclosures for AS'!D1247="","",'Qualitative Disclosures for AS'!D1247)</f>
        <v/>
      </c>
      <c r="E142" s="157" t="str">
        <f>+IF('Qualitative Disclosures for AS'!E1247="","",'Qualitative Disclosures for AS'!E1247)</f>
        <v/>
      </c>
      <c r="F142" s="157" t="str">
        <f>+IF('Qualitative Disclosures for AS'!F1247="","",'Qualitative Disclosures for AS'!F1247)</f>
        <v/>
      </c>
      <c r="T142" s="42"/>
    </row>
    <row r="143" spans="3:20" hidden="1" x14ac:dyDescent="0.25">
      <c r="C143" s="127" t="str">
        <f>+IF('Qualitative Disclosures for AS'!C1248="","",'Qualitative Disclosures for AS'!C1248)</f>
        <v>Raw materials</v>
      </c>
      <c r="D143" s="50" t="str">
        <f>+IF('Qualitative Disclosures for AS'!D1248="","",'Qualitative Disclosures for AS'!D1248)</f>
        <v/>
      </c>
      <c r="E143" s="169" t="str">
        <f>+IF('Qualitative Disclosures for AS'!E1248="","",'Qualitative Disclosures for AS'!E1248)</f>
        <v/>
      </c>
      <c r="F143" s="169" t="str">
        <f>+IF('Qualitative Disclosures for AS'!F1248="","",'Qualitative Disclosures for AS'!F1248)</f>
        <v/>
      </c>
      <c r="T143" s="42"/>
    </row>
    <row r="144" spans="3:20" hidden="1" x14ac:dyDescent="0.25">
      <c r="C144" s="127" t="str">
        <f>+IF('Qualitative Disclosures for AS'!C1249="","",'Qualitative Disclosures for AS'!C1249)</f>
        <v/>
      </c>
      <c r="D144" s="50" t="str">
        <f>+IF('Qualitative Disclosures for AS'!D1249="","",'Qualitative Disclosures for AS'!D1249)</f>
        <v/>
      </c>
      <c r="E144" s="134" t="str">
        <f>+IF('Qualitative Disclosures for AS'!E1249="","",'Qualitative Disclosures for AS'!E1249)</f>
        <v/>
      </c>
      <c r="F144" s="134" t="str">
        <f>+IF('Qualitative Disclosures for AS'!F1249="","",'Qualitative Disclosures for AS'!F1249)</f>
        <v/>
      </c>
      <c r="T144" s="42"/>
    </row>
    <row r="145" spans="2:20" hidden="1" x14ac:dyDescent="0.25">
      <c r="C145" s="127" t="str">
        <f>+IF('Qualitative Disclosures for AS'!C1250="","",'Qualitative Disclosures for AS'!C1250)</f>
        <v>Components</v>
      </c>
      <c r="D145" s="50" t="str">
        <f>+IF('Qualitative Disclosures for AS'!D1250="","",'Qualitative Disclosures for AS'!D1250)</f>
        <v/>
      </c>
      <c r="E145" s="134" t="str">
        <f>+IF('Qualitative Disclosures for AS'!E1250="","",'Qualitative Disclosures for AS'!E1250)</f>
        <v/>
      </c>
      <c r="F145" s="134" t="str">
        <f>+IF('Qualitative Disclosures for AS'!F1250="","",'Qualitative Disclosures for AS'!F1250)</f>
        <v/>
      </c>
      <c r="T145" s="42"/>
    </row>
    <row r="146" spans="2:20" hidden="1" x14ac:dyDescent="0.25">
      <c r="C146" s="141" t="str">
        <f>+IF('Qualitative Disclosures for AS'!C1251="","",'Qualitative Disclosures for AS'!C1251)</f>
        <v>Spare parts</v>
      </c>
      <c r="D146" s="50" t="str">
        <f>+IF('Qualitative Disclosures for AS'!D1251="","",'Qualitative Disclosures for AS'!D1251)</f>
        <v/>
      </c>
      <c r="E146" s="134" t="str">
        <f>+IF('Qualitative Disclosures for AS'!E1251="","",'Qualitative Disclosures for AS'!E1251)</f>
        <v/>
      </c>
      <c r="F146" s="134" t="str">
        <f>+IF('Qualitative Disclosures for AS'!F1251="","",'Qualitative Disclosures for AS'!F1251)</f>
        <v/>
      </c>
      <c r="T146" s="42"/>
    </row>
    <row r="147" spans="2:20" hidden="1" x14ac:dyDescent="0.25">
      <c r="C147" s="207" t="str">
        <f>+IF('Qualitative Disclosures for AS'!C1252="","",'Qualitative Disclosures for AS'!C1252)</f>
        <v/>
      </c>
      <c r="D147" s="208" t="str">
        <f>+IF('Qualitative Disclosures for AS'!D1252="","",'Qualitative Disclosures for AS'!D1252)</f>
        <v>Total Components and spare parts</v>
      </c>
      <c r="E147" s="36" t="str">
        <f>+IF('Qualitative Disclosures for AS'!E1252="","",'Qualitative Disclosures for AS'!E1252)</f>
        <v/>
      </c>
      <c r="F147" s="36" t="str">
        <f>+IF('Qualitative Disclosures for AS'!F1252="","",'Qualitative Disclosures for AS'!F1252)</f>
        <v/>
      </c>
      <c r="T147" s="42"/>
    </row>
    <row r="148" spans="2:20" hidden="1" x14ac:dyDescent="0.25">
      <c r="C148" s="141" t="str">
        <f>+IF('Qualitative Disclosures for AS'!C1253="","",'Qualitative Disclosures for AS'!C1253)</f>
        <v/>
      </c>
      <c r="D148" s="50" t="str">
        <f>+IF('Qualitative Disclosures for AS'!D1253="","",'Qualitative Disclosures for AS'!D1253)</f>
        <v/>
      </c>
      <c r="E148" s="134" t="str">
        <f>+IF('Qualitative Disclosures for AS'!E1253="","",'Qualitative Disclosures for AS'!E1253)</f>
        <v/>
      </c>
      <c r="F148" s="134" t="str">
        <f>+IF('Qualitative Disclosures for AS'!F1253="","",'Qualitative Disclosures for AS'!F1253)</f>
        <v/>
      </c>
      <c r="T148" s="42"/>
    </row>
    <row r="149" spans="2:20" hidden="1" x14ac:dyDescent="0.25">
      <c r="C149" s="142" t="str">
        <f>+IF('Qualitative Disclosures for AS'!C1254="","",'Qualitative Disclosures for AS'!C1254)</f>
        <v>Capital goods</v>
      </c>
      <c r="D149" s="98" t="str">
        <f>+IF('Qualitative Disclosures for AS'!D1254="","",'Qualitative Disclosures for AS'!D1254)</f>
        <v/>
      </c>
      <c r="E149" s="169" t="str">
        <f>+IF('Qualitative Disclosures for AS'!E1254="","",'Qualitative Disclosures for AS'!E1254)</f>
        <v/>
      </c>
      <c r="F149" s="169" t="str">
        <f>+IF('Qualitative Disclosures for AS'!F1254="","",'Qualitative Disclosures for AS'!F1254)</f>
        <v/>
      </c>
      <c r="T149" s="42"/>
    </row>
    <row r="150" spans="2:20" hidden="1" x14ac:dyDescent="0.25">
      <c r="C150" s="41" t="str">
        <f>+IF('Qualitative Disclosures for AS'!C1255="","",'Qualitative Disclosures for AS'!C1255)</f>
        <v/>
      </c>
      <c r="D150" s="41" t="str">
        <f>+IF('Qualitative Disclosures for AS'!D1255="","",'Qualitative Disclosures for AS'!D1255)</f>
        <v/>
      </c>
      <c r="E150" s="41" t="str">
        <f>+IF('Qualitative Disclosures for AS'!E1255="","",'Qualitative Disclosures for AS'!E1255)</f>
        <v/>
      </c>
      <c r="F150" s="41" t="str">
        <f>+IF('Qualitative Disclosures for AS'!F1255="","",'Qualitative Disclosures for AS'!F1255)</f>
        <v/>
      </c>
      <c r="T150" s="42"/>
    </row>
    <row r="151" spans="2:20" hidden="1" x14ac:dyDescent="0.25">
      <c r="C151" s="1267" t="str">
        <f>+IF('Qualitative Disclosures for AS'!C1256="","",'Qualitative Disclosures for AS'!C1256)</f>
        <v/>
      </c>
      <c r="D151" s="1267" t="str">
        <f>+IF('Qualitative Disclosures for AS'!D1256="","",'Qualitative Disclosures for AS'!D1256)</f>
        <v/>
      </c>
      <c r="E151" s="1267" t="str">
        <f>+IF('Qualitative Disclosures for AS'!E1256="","",'Qualitative Disclosures for AS'!E1256)</f>
        <v/>
      </c>
      <c r="F151" s="1267" t="str">
        <f>+IF('Qualitative Disclosures for AS'!F1256="","",'Qualitative Disclosures for AS'!F1256)</f>
        <v/>
      </c>
      <c r="T151" s="42"/>
    </row>
    <row r="152" spans="2:20" hidden="1" x14ac:dyDescent="0.25">
      <c r="C152" s="1267" t="str">
        <f>+IF('Qualitative Disclosures for AS'!C1257="","",'Qualitative Disclosures for AS'!C1257)</f>
        <v/>
      </c>
      <c r="D152" s="1267" t="str">
        <f>+IF('Qualitative Disclosures for AS'!D1257="","",'Qualitative Disclosures for AS'!D1257)</f>
        <v/>
      </c>
      <c r="E152" s="1267" t="str">
        <f>+IF('Qualitative Disclosures for AS'!E1257="","",'Qualitative Disclosures for AS'!E1257)</f>
        <v/>
      </c>
      <c r="F152" s="1267" t="str">
        <f>+IF('Qualitative Disclosures for AS'!F1257="","",'Qualitative Disclosures for AS'!F1257)</f>
        <v/>
      </c>
      <c r="T152" s="42"/>
    </row>
    <row r="153" spans="2:20" hidden="1" x14ac:dyDescent="0.25">
      <c r="C153" s="1267" t="str">
        <f>+IF('Qualitative Disclosures for AS'!C1258="","",'Qualitative Disclosures for AS'!C1258)</f>
        <v/>
      </c>
      <c r="D153" s="1267" t="str">
        <f>+IF('Qualitative Disclosures for AS'!D1258="","",'Qualitative Disclosures for AS'!D1258)</f>
        <v/>
      </c>
      <c r="E153" s="1267" t="str">
        <f>+IF('Qualitative Disclosures for AS'!E1258="","",'Qualitative Disclosures for AS'!E1258)</f>
        <v/>
      </c>
      <c r="F153" s="1267" t="str">
        <f>+IF('Qualitative Disclosures for AS'!F1258="","",'Qualitative Disclosures for AS'!F1258)</f>
        <v/>
      </c>
      <c r="T153" s="42"/>
    </row>
    <row r="154" spans="2:20" hidden="1" x14ac:dyDescent="0.25">
      <c r="C154" s="1267" t="str">
        <f>+IF('Qualitative Disclosures for AS'!C1259="","",'Qualitative Disclosures for AS'!C1259)</f>
        <v/>
      </c>
      <c r="D154" s="1267" t="str">
        <f>+IF('Qualitative Disclosures for AS'!D1259="","",'Qualitative Disclosures for AS'!D1259)</f>
        <v/>
      </c>
      <c r="E154" s="1267" t="str">
        <f>+IF('Qualitative Disclosures for AS'!E1259="","",'Qualitative Disclosures for AS'!E1259)</f>
        <v/>
      </c>
      <c r="F154" s="1267" t="str">
        <f>+IF('Qualitative Disclosures for AS'!F1259="","",'Qualitative Disclosures for AS'!F1259)</f>
        <v/>
      </c>
      <c r="T154" s="42"/>
    </row>
    <row r="155" spans="2:20" hidden="1" x14ac:dyDescent="0.25">
      <c r="C155" s="1267" t="str">
        <f>+IF('Qualitative Disclosures for AS'!C1260="","",'Qualitative Disclosures for AS'!C1260)</f>
        <v/>
      </c>
      <c r="D155" s="1267" t="str">
        <f>+IF('Qualitative Disclosures for AS'!D1260="","",'Qualitative Disclosures for AS'!D1260)</f>
        <v/>
      </c>
      <c r="E155" s="1267" t="str">
        <f>+IF('Qualitative Disclosures for AS'!E1260="","",'Qualitative Disclosures for AS'!E1260)</f>
        <v/>
      </c>
      <c r="F155" s="1267" t="str">
        <f>+IF('Qualitative Disclosures for AS'!F1260="","",'Qualitative Disclosures for AS'!F1260)</f>
        <v/>
      </c>
      <c r="T155" s="42"/>
    </row>
    <row r="156" spans="2:20" hidden="1" x14ac:dyDescent="0.25">
      <c r="C156" s="1267" t="str">
        <f>+IF('Qualitative Disclosures for AS'!C1261="","",'Qualitative Disclosures for AS'!C1261)</f>
        <v/>
      </c>
      <c r="D156" s="1267" t="str">
        <f>+IF('Qualitative Disclosures for AS'!D1261="","",'Qualitative Disclosures for AS'!D1261)</f>
        <v/>
      </c>
      <c r="E156" s="1267" t="str">
        <f>+IF('Qualitative Disclosures for AS'!E1261="","",'Qualitative Disclosures for AS'!E1261)</f>
        <v/>
      </c>
      <c r="F156" s="1267" t="str">
        <f>+IF('Qualitative Disclosures for AS'!F1261="","",'Qualitative Disclosures for AS'!F1261)</f>
        <v/>
      </c>
      <c r="T156" s="42"/>
    </row>
    <row r="157" spans="2:20" x14ac:dyDescent="0.25">
      <c r="B157" s="42">
        <v>28</v>
      </c>
      <c r="C157" s="42" t="str">
        <f>+IF('Qualitative Disclosures for AS'!C1263="","",'Qualitative Disclosures for AS'!C1263)</f>
        <v>Expenditure in foreign currency :</v>
      </c>
      <c r="D157" s="41" t="str">
        <f>+IF('Qualitative Disclosures for AS'!D1263="","",'Qualitative Disclosures for AS'!D1263)</f>
        <v/>
      </c>
      <c r="E157" s="41" t="str">
        <f>+IF('Qualitative Disclosures for AS'!E1263="","",'Qualitative Disclosures for AS'!E1263)</f>
        <v/>
      </c>
      <c r="F157" s="41" t="str">
        <f>+IF('Qualitative Disclosures for AS'!F1263="","",'Qualitative Disclosures for AS'!F1263)</f>
        <v/>
      </c>
    </row>
    <row r="158" spans="2:20" x14ac:dyDescent="0.25">
      <c r="C158" s="41" t="str">
        <f>+IF('Qualitative Disclosures for AS'!C1264="","",'Qualitative Disclosures for AS'!C1264)</f>
        <v/>
      </c>
      <c r="D158" s="41" t="str">
        <f>+IF('Qualitative Disclosures for AS'!D1264="","",'Qualitative Disclosures for AS'!D1264)</f>
        <v/>
      </c>
      <c r="E158" s="41" t="str">
        <f>+IF('Qualitative Disclosures for AS'!E1264="","",'Qualitative Disclosures for AS'!E1264)</f>
        <v/>
      </c>
      <c r="F158" s="214" t="str">
        <f>+F79</f>
        <v>Amount in Rs '00.</v>
      </c>
    </row>
    <row r="159" spans="2:20" ht="30" x14ac:dyDescent="0.25">
      <c r="C159" s="2870" t="str">
        <f>+IF('Qualitative Disclosures for AS'!C1265="","",'Qualitative Disclosures for AS'!C1265)</f>
        <v>Particulars</v>
      </c>
      <c r="D159" s="2871" t="str">
        <f>+IF('Qualitative Disclosures for AS'!D1265="","",'Qualitative Disclosures for AS'!D1265)</f>
        <v/>
      </c>
      <c r="E159" s="1935" t="str">
        <f>+IF('Qualitative Disclosures for AS'!E1265="","",'Qualitative Disclosures for AS'!E1265)</f>
        <v>As At 31st March 2025</v>
      </c>
      <c r="F159" s="1935" t="str">
        <f>+IF('Qualitative Disclosures for AS'!F1265="","",'Qualitative Disclosures for AS'!F1265)</f>
        <v>As At 31st March 2024</v>
      </c>
    </row>
    <row r="160" spans="2:20" hidden="1" x14ac:dyDescent="0.25">
      <c r="C160" s="141" t="str">
        <f>+IF('Qualitative Disclosures for AS'!C1266="","",'Qualitative Disclosures for AS'!C1266)</f>
        <v>Royalty</v>
      </c>
      <c r="D160" s="50" t="str">
        <f>+IF('Qualitative Disclosures for AS'!D1266="","",'Qualitative Disclosures for AS'!D1266)</f>
        <v/>
      </c>
      <c r="E160" s="971">
        <f>+IF('Qualitative Disclosures for AS'!E1266="","",'Qualitative Disclosures for AS'!E1266)</f>
        <v>0</v>
      </c>
      <c r="F160" s="970">
        <f>+IF('Qualitative Disclosures for AS'!F1266="","",'Qualitative Disclosures for AS'!F1266)</f>
        <v>0</v>
      </c>
      <c r="T160" s="42"/>
    </row>
    <row r="161" spans="3:20" hidden="1" x14ac:dyDescent="0.25">
      <c r="C161" s="141" t="str">
        <f>+IF('Qualitative Disclosures for AS'!C1267="","",'Qualitative Disclosures for AS'!C1267)</f>
        <v>Know-how</v>
      </c>
      <c r="D161" s="50" t="str">
        <f>+IF('Qualitative Disclosures for AS'!D1267="","",'Qualitative Disclosures for AS'!D1267)</f>
        <v/>
      </c>
      <c r="E161" s="971">
        <f>+IF('Qualitative Disclosures for AS'!E1267="","",'Qualitative Disclosures for AS'!E1267)</f>
        <v>0</v>
      </c>
      <c r="F161" s="970">
        <f>+IF('Qualitative Disclosures for AS'!F1267="","",'Qualitative Disclosures for AS'!F1267)</f>
        <v>0</v>
      </c>
      <c r="T161" s="42"/>
    </row>
    <row r="162" spans="3:20" hidden="1" x14ac:dyDescent="0.25">
      <c r="C162" s="141" t="str">
        <f>+IF('Qualitative Disclosures for AS'!C1268="","",'Qualitative Disclosures for AS'!C1268)</f>
        <v>Professional and consultation fees</v>
      </c>
      <c r="D162" s="50" t="str">
        <f>+IF('Qualitative Disclosures for AS'!D1268="","",'Qualitative Disclosures for AS'!D1268)</f>
        <v/>
      </c>
      <c r="E162" s="971">
        <f>+IF('Qualitative Disclosures for AS'!E1268="","",'Qualitative Disclosures for AS'!E1268)</f>
        <v>0</v>
      </c>
      <c r="F162" s="970">
        <f>+IF('Qualitative Disclosures for AS'!F1268="","",'Qualitative Disclosures for AS'!F1268)</f>
        <v>0</v>
      </c>
      <c r="T162" s="42"/>
    </row>
    <row r="163" spans="3:20" hidden="1" x14ac:dyDescent="0.25">
      <c r="C163" s="141" t="str">
        <f>+IF('Qualitative Disclosures for AS'!C1269="","",'Qualitative Disclosures for AS'!C1269)</f>
        <v>Interest</v>
      </c>
      <c r="D163" s="50" t="str">
        <f>+IF('Qualitative Disclosures for AS'!D1269="","",'Qualitative Disclosures for AS'!D1269)</f>
        <v/>
      </c>
      <c r="E163" s="971">
        <f>+IF('Qualitative Disclosures for AS'!E1269="","",'Qualitative Disclosures for AS'!E1269)</f>
        <v>0</v>
      </c>
      <c r="F163" s="970">
        <f>+IF('Qualitative Disclosures for AS'!F1269="","",'Qualitative Disclosures for AS'!F1269)</f>
        <v>0</v>
      </c>
      <c r="T163" s="42"/>
    </row>
    <row r="164" spans="3:20" x14ac:dyDescent="0.25">
      <c r="C164" s="141"/>
      <c r="D164" s="50"/>
      <c r="E164" s="971"/>
      <c r="F164" s="970"/>
      <c r="T164" s="42"/>
    </row>
    <row r="165" spans="3:20" x14ac:dyDescent="0.25">
      <c r="C165" s="141" t="str">
        <f>+IF('Qualitative Disclosures for AS'!C1270="","",'Qualitative Disclosures for AS'!C1270)</f>
        <v>Purchase of Goods and Services</v>
      </c>
      <c r="D165" s="50" t="str">
        <f>+IF('Qualitative Disclosures for AS'!D1270="","",'Qualitative Disclosures for AS'!D1270)</f>
        <v/>
      </c>
      <c r="E165" s="846">
        <f>+IF('Qualitative Disclosures for AS'!E1270="","",'Qualitative Disclosures for AS'!E1270)</f>
        <v>484268.6936</v>
      </c>
      <c r="F165" s="942">
        <f>+IF('Qualitative Disclosures for AS'!F1270="","",'Qualitative Disclosures for AS'!F1270)</f>
        <v>762986</v>
      </c>
      <c r="T165" s="42"/>
    </row>
    <row r="166" spans="3:20" x14ac:dyDescent="0.25">
      <c r="C166" s="2934" t="str">
        <f>+IF('Qualitative Disclosures for AS'!C1271="","",'Qualitative Disclosures for AS'!C1271)</f>
        <v/>
      </c>
      <c r="D166" s="2935"/>
      <c r="E166" s="2569">
        <f>+SUM(E165)</f>
        <v>484268.6936</v>
      </c>
      <c r="F166" s="2569">
        <f>+SUM(F165)</f>
        <v>762986</v>
      </c>
      <c r="T166" s="42"/>
    </row>
    <row r="167" spans="3:20" x14ac:dyDescent="0.25">
      <c r="C167" s="41" t="str">
        <f>+IF('Qualitative Disclosures for AS'!C1272="","",'Qualitative Disclosures for AS'!C1272)</f>
        <v/>
      </c>
      <c r="D167" s="41" t="str">
        <f>+IF('Qualitative Disclosures for AS'!D1272="","",'Qualitative Disclosures for AS'!D1272)</f>
        <v/>
      </c>
      <c r="E167" s="41" t="str">
        <f>+IF('Qualitative Disclosures for AS'!E1272="","",'Qualitative Disclosures for AS'!E1272)</f>
        <v/>
      </c>
      <c r="F167" s="41" t="str">
        <f>+IF('Qualitative Disclosures for AS'!F1272="","",'Qualitative Disclosures for AS'!F1272)</f>
        <v/>
      </c>
      <c r="T167" s="42"/>
    </row>
    <row r="168" spans="3:20" hidden="1" x14ac:dyDescent="0.25">
      <c r="C168" s="1267" t="str">
        <f>+IF('Qualitative Disclosures for AS'!C1273="","",'Qualitative Disclosures for AS'!C1273)</f>
        <v/>
      </c>
      <c r="D168" s="1267" t="str">
        <f>+IF('Qualitative Disclosures for AS'!D1273="","",'Qualitative Disclosures for AS'!D1273)</f>
        <v/>
      </c>
      <c r="E168" s="1267" t="str">
        <f>+IF('Qualitative Disclosures for AS'!E1273="","",'Qualitative Disclosures for AS'!E1273)</f>
        <v/>
      </c>
      <c r="F168" s="1267" t="str">
        <f>+IF('Qualitative Disclosures for AS'!F1273="","",'Qualitative Disclosures for AS'!F1273)</f>
        <v/>
      </c>
      <c r="T168" s="42"/>
    </row>
    <row r="169" spans="3:20" hidden="1" x14ac:dyDescent="0.25">
      <c r="C169" s="1267" t="str">
        <f>+IF('Qualitative Disclosures for AS'!C1274="","",'Qualitative Disclosures for AS'!C1274)</f>
        <v/>
      </c>
      <c r="D169" s="1267" t="str">
        <f>+IF('Qualitative Disclosures for AS'!D1274="","",'Qualitative Disclosures for AS'!D1274)</f>
        <v/>
      </c>
      <c r="E169" s="1267" t="str">
        <f>+IF('Qualitative Disclosures for AS'!E1274="","",'Qualitative Disclosures for AS'!E1274)</f>
        <v/>
      </c>
      <c r="F169" s="1267" t="str">
        <f>+IF('Qualitative Disclosures for AS'!F1274="","",'Qualitative Disclosures for AS'!F1274)</f>
        <v/>
      </c>
      <c r="T169" s="42"/>
    </row>
    <row r="170" spans="3:20" hidden="1" x14ac:dyDescent="0.25">
      <c r="C170" s="1267" t="str">
        <f>+IF('Qualitative Disclosures for AS'!C1275="","",'Qualitative Disclosures for AS'!C1275)</f>
        <v/>
      </c>
      <c r="D170" s="1267" t="str">
        <f>+IF('Qualitative Disclosures for AS'!D1275="","",'Qualitative Disclosures for AS'!D1275)</f>
        <v/>
      </c>
      <c r="E170" s="1267" t="str">
        <f>+IF('Qualitative Disclosures for AS'!E1275="","",'Qualitative Disclosures for AS'!E1275)</f>
        <v/>
      </c>
      <c r="F170" s="1267" t="str">
        <f>+IF('Qualitative Disclosures for AS'!F1275="","",'Qualitative Disclosures for AS'!F1275)</f>
        <v/>
      </c>
      <c r="T170" s="42"/>
    </row>
    <row r="171" spans="3:20" hidden="1" x14ac:dyDescent="0.25">
      <c r="C171" s="1267" t="str">
        <f>+IF('Qualitative Disclosures for AS'!C1276="","",'Qualitative Disclosures for AS'!C1276)</f>
        <v/>
      </c>
      <c r="D171" s="1267" t="str">
        <f>+IF('Qualitative Disclosures for AS'!D1276="","",'Qualitative Disclosures for AS'!D1276)</f>
        <v/>
      </c>
      <c r="E171" s="1267" t="str">
        <f>+IF('Qualitative Disclosures for AS'!E1276="","",'Qualitative Disclosures for AS'!E1276)</f>
        <v/>
      </c>
      <c r="F171" s="1267" t="str">
        <f>+IF('Qualitative Disclosures for AS'!F1276="","",'Qualitative Disclosures for AS'!F1276)</f>
        <v/>
      </c>
      <c r="T171" s="42"/>
    </row>
    <row r="172" spans="3:20" hidden="1" x14ac:dyDescent="0.25">
      <c r="C172" s="1267" t="str">
        <f>+IF('Qualitative Disclosures for AS'!C1277="","",'Qualitative Disclosures for AS'!C1277)</f>
        <v/>
      </c>
      <c r="D172" s="1267" t="str">
        <f>+IF('Qualitative Disclosures for AS'!D1277="","",'Qualitative Disclosures for AS'!D1277)</f>
        <v/>
      </c>
      <c r="E172" s="1267" t="str">
        <f>+IF('Qualitative Disclosures for AS'!E1277="","",'Qualitative Disclosures for AS'!E1277)</f>
        <v/>
      </c>
      <c r="F172" s="1267" t="str">
        <f>+IF('Qualitative Disclosures for AS'!F1277="","",'Qualitative Disclosures for AS'!F1277)</f>
        <v/>
      </c>
      <c r="T172" s="42"/>
    </row>
    <row r="173" spans="3:20" hidden="1" x14ac:dyDescent="0.25">
      <c r="C173" s="1267" t="str">
        <f>+IF('Qualitative Disclosures for AS'!C1278="","",'Qualitative Disclosures for AS'!C1278)</f>
        <v/>
      </c>
      <c r="D173" s="1267" t="str">
        <f>+IF('Qualitative Disclosures for AS'!D1278="","",'Qualitative Disclosures for AS'!D1278)</f>
        <v/>
      </c>
      <c r="E173" s="1267" t="str">
        <f>+IF('Qualitative Disclosures for AS'!E1278="","",'Qualitative Disclosures for AS'!E1278)</f>
        <v/>
      </c>
      <c r="F173" s="1267" t="str">
        <f>+IF('Qualitative Disclosures for AS'!F1278="","",'Qualitative Disclosures for AS'!F1278)</f>
        <v/>
      </c>
      <c r="T173" s="42"/>
    </row>
    <row r="174" spans="3:20" hidden="1" x14ac:dyDescent="0.25">
      <c r="T174" s="42"/>
    </row>
    <row r="175" spans="3:20" hidden="1" x14ac:dyDescent="0.25">
      <c r="C175" s="306" t="str">
        <f>+IF('Qualitative Disclosures for AS'!C1280="","",'Qualitative Disclosures for AS'!C1280)</f>
        <v>Details of consumption of imported and indigenous items</v>
      </c>
    </row>
    <row r="176" spans="3:20" hidden="1" x14ac:dyDescent="0.25">
      <c r="C176" s="2830" t="str">
        <f>+IF('Qualitative Disclosures for AS'!C1281="","",'Qualitative Disclosures for AS'!C1281)</f>
        <v>Particulars</v>
      </c>
      <c r="D176" s="2831" t="str">
        <f>+IF('Qualitative Disclosures for AS'!D1281="","",'Qualitative Disclosures for AS'!D1281)</f>
        <v/>
      </c>
      <c r="E176" s="2936" t="str">
        <f>+IF('Qualitative Disclosures for AS'!E1281="","",'Qualitative Disclosures for AS'!E1281)</f>
        <v>As At 31st March 2025</v>
      </c>
      <c r="F176" s="2937" t="str">
        <f>+IF('Qualitative Disclosures for AS'!F1281="","",'Qualitative Disclosures for AS'!F1281)</f>
        <v/>
      </c>
    </row>
    <row r="177" spans="3:20" hidden="1" x14ac:dyDescent="0.25">
      <c r="C177" s="2932" t="str">
        <f>+IF('Qualitative Disclosures for AS'!C1282="","",'Qualitative Disclosures for AS'!C1282)</f>
        <v/>
      </c>
      <c r="D177" s="2933" t="str">
        <f>+IF('Qualitative Disclosures for AS'!D1282="","",'Qualitative Disclosures for AS'!D1282)</f>
        <v/>
      </c>
      <c r="E177" s="157" t="str">
        <f>+IF('Qualitative Disclosures for AS'!E1282="","",'Qualitative Disclosures for AS'!E1282)</f>
        <v>Amount</v>
      </c>
      <c r="F177" s="157" t="str">
        <f>+IF('Qualitative Disclosures for AS'!F1282="","",'Qualitative Disclosures for AS'!F1282)</f>
        <v>%</v>
      </c>
    </row>
    <row r="178" spans="3:20" hidden="1" x14ac:dyDescent="0.25">
      <c r="C178" s="211" t="str">
        <f>+IF('Qualitative Disclosures for AS'!C1283="","",'Qualitative Disclosures for AS'!C1283)</f>
        <v>Imported</v>
      </c>
      <c r="D178" s="209" t="str">
        <f>+IF('Qualitative Disclosures for AS'!D1283="","",'Qualitative Disclosures for AS'!D1283)</f>
        <v/>
      </c>
      <c r="E178" s="168" t="str">
        <f>+IF('Qualitative Disclosures for AS'!E1283="","",'Qualitative Disclosures for AS'!E1283)</f>
        <v/>
      </c>
      <c r="F178" s="168" t="str">
        <f>+IF('Qualitative Disclosures for AS'!F1283="","",'Qualitative Disclosures for AS'!F1283)</f>
        <v/>
      </c>
      <c r="T178" s="42"/>
    </row>
    <row r="179" spans="3:20" hidden="1" x14ac:dyDescent="0.25">
      <c r="C179" s="141" t="str">
        <f>+IF('Qualitative Disclosures for AS'!C1284="","",'Qualitative Disclosures for AS'!C1284)</f>
        <v>Raw materials</v>
      </c>
      <c r="D179" s="50" t="str">
        <f>+IF('Qualitative Disclosures for AS'!D1284="","",'Qualitative Disclosures for AS'!D1284)</f>
        <v/>
      </c>
      <c r="E179" s="48" t="str">
        <f>+IF('Qualitative Disclosures for AS'!E1284="","",'Qualitative Disclosures for AS'!E1284)</f>
        <v/>
      </c>
      <c r="F179" s="48" t="str">
        <f>+IF('Qualitative Disclosures for AS'!F1284="","",'Qualitative Disclosures for AS'!F1284)</f>
        <v/>
      </c>
      <c r="T179" s="42"/>
    </row>
    <row r="180" spans="3:20" hidden="1" x14ac:dyDescent="0.25">
      <c r="C180" s="141" t="str">
        <f>+IF('Qualitative Disclosures for AS'!C1285="","",'Qualitative Disclosures for AS'!C1285)</f>
        <v/>
      </c>
      <c r="D180" s="50" t="str">
        <f>+IF('Qualitative Disclosures for AS'!D1285="","",'Qualitative Disclosures for AS'!D1285)</f>
        <v/>
      </c>
      <c r="E180" s="48" t="str">
        <f>+IF('Qualitative Disclosures for AS'!E1285="","",'Qualitative Disclosures for AS'!E1285)</f>
        <v/>
      </c>
      <c r="F180" s="48" t="str">
        <f>+IF('Qualitative Disclosures for AS'!F1285="","",'Qualitative Disclosures for AS'!F1285)</f>
        <v/>
      </c>
      <c r="T180" s="42"/>
    </row>
    <row r="181" spans="3:20" hidden="1" x14ac:dyDescent="0.25">
      <c r="C181" s="127" t="str">
        <f>+IF('Qualitative Disclosures for AS'!C1286="","",'Qualitative Disclosures for AS'!C1286)</f>
        <v>Components</v>
      </c>
      <c r="D181" s="50" t="str">
        <f>+IF('Qualitative Disclosures for AS'!D1286="","",'Qualitative Disclosures for AS'!D1286)</f>
        <v/>
      </c>
      <c r="E181" s="48" t="str">
        <f>+IF('Qualitative Disclosures for AS'!E1286="","",'Qualitative Disclosures for AS'!E1286)</f>
        <v/>
      </c>
      <c r="F181" s="48" t="str">
        <f>+IF('Qualitative Disclosures for AS'!F1286="","",'Qualitative Disclosures for AS'!F1286)</f>
        <v/>
      </c>
      <c r="T181" s="42"/>
    </row>
    <row r="182" spans="3:20" hidden="1" x14ac:dyDescent="0.25">
      <c r="C182" s="127" t="str">
        <f>+IF('Qualitative Disclosures for AS'!C1287="","",'Qualitative Disclosures for AS'!C1287)</f>
        <v/>
      </c>
      <c r="D182" s="50" t="str">
        <f>+IF('Qualitative Disclosures for AS'!D1287="","",'Qualitative Disclosures for AS'!D1287)</f>
        <v/>
      </c>
      <c r="E182" s="48" t="str">
        <f>+IF('Qualitative Disclosures for AS'!E1287="","",'Qualitative Disclosures for AS'!E1287)</f>
        <v/>
      </c>
      <c r="F182" s="48" t="str">
        <f>+IF('Qualitative Disclosures for AS'!F1287="","",'Qualitative Disclosures for AS'!F1287)</f>
        <v/>
      </c>
      <c r="T182" s="42"/>
    </row>
    <row r="183" spans="3:20" hidden="1" x14ac:dyDescent="0.25">
      <c r="C183" s="141" t="str">
        <f>+IF('Qualitative Disclosures for AS'!C1288="","",'Qualitative Disclosures for AS'!C1288)</f>
        <v>Spare parts</v>
      </c>
      <c r="D183" s="50" t="str">
        <f>+IF('Qualitative Disclosures for AS'!D1288="","",'Qualitative Disclosures for AS'!D1288)</f>
        <v/>
      </c>
      <c r="E183" s="48" t="str">
        <f>+IF('Qualitative Disclosures for AS'!E1288="","",'Qualitative Disclosures for AS'!E1288)</f>
        <v/>
      </c>
      <c r="F183" s="48" t="str">
        <f>+IF('Qualitative Disclosures for AS'!F1288="","",'Qualitative Disclosures for AS'!F1288)</f>
        <v/>
      </c>
      <c r="T183" s="42"/>
    </row>
    <row r="184" spans="3:20" hidden="1" x14ac:dyDescent="0.25">
      <c r="C184" s="141" t="str">
        <f>+IF('Qualitative Disclosures for AS'!C1289="","",'Qualitative Disclosures for AS'!C1289)</f>
        <v/>
      </c>
      <c r="D184" s="50" t="str">
        <f>+IF('Qualitative Disclosures for AS'!D1289="","",'Qualitative Disclosures for AS'!D1289)</f>
        <v/>
      </c>
      <c r="E184" s="48" t="str">
        <f>+IF('Qualitative Disclosures for AS'!E1289="","",'Qualitative Disclosures for AS'!E1289)</f>
        <v/>
      </c>
      <c r="F184" s="48" t="str">
        <f>+IF('Qualitative Disclosures for AS'!F1289="","",'Qualitative Disclosures for AS'!F1289)</f>
        <v/>
      </c>
      <c r="T184" s="42"/>
    </row>
    <row r="185" spans="3:20" hidden="1" x14ac:dyDescent="0.25">
      <c r="C185" s="141" t="str">
        <f>+IF('Qualitative Disclosures for AS'!C1290="","",'Qualitative Disclosures for AS'!C1290)</f>
        <v/>
      </c>
      <c r="D185" s="208" t="str">
        <f>+IF('Qualitative Disclosures for AS'!D1290="","",'Qualitative Disclosures for AS'!D1290)</f>
        <v>Total</v>
      </c>
      <c r="E185" s="196">
        <f>+IF('Qualitative Disclosures for AS'!E1290="","",'Qualitative Disclosures for AS'!E1290)</f>
        <v>0</v>
      </c>
      <c r="F185" s="196">
        <f>+IF('Qualitative Disclosures for AS'!F1290="","",'Qualitative Disclosures for AS'!F1290)</f>
        <v>0</v>
      </c>
      <c r="T185" s="42"/>
    </row>
    <row r="186" spans="3:20" s="42" customFormat="1" ht="14.45" hidden="1" customHeight="1" x14ac:dyDescent="0.25">
      <c r="C186" s="141" t="str">
        <f>+IF('Qualitative Disclosures for AS'!C1291="","",'Qualitative Disclosures for AS'!C1291)</f>
        <v/>
      </c>
      <c r="D186" s="50" t="str">
        <f>+IF('Qualitative Disclosures for AS'!D1291="","",'Qualitative Disclosures for AS'!D1291)</f>
        <v/>
      </c>
      <c r="E186" s="96" t="str">
        <f>+IF('Qualitative Disclosures for AS'!E1291="","",'Qualitative Disclosures for AS'!E1291)</f>
        <v/>
      </c>
      <c r="F186" s="96" t="str">
        <f>+IF('Qualitative Disclosures for AS'!F1291="","",'Qualitative Disclosures for AS'!F1291)</f>
        <v/>
      </c>
      <c r="G186" s="146"/>
    </row>
    <row r="187" spans="3:20" hidden="1" x14ac:dyDescent="0.25">
      <c r="C187" s="212" t="str">
        <f>+IF('Qualitative Disclosures for AS'!C1292="","",'Qualitative Disclosures for AS'!C1292)</f>
        <v>Indigenous</v>
      </c>
      <c r="D187" s="50" t="str">
        <f>+IF('Qualitative Disclosures for AS'!D1292="","",'Qualitative Disclosures for AS'!D1292)</f>
        <v/>
      </c>
      <c r="E187" s="213" t="str">
        <f>+IF('Qualitative Disclosures for AS'!E1292="","",'Qualitative Disclosures for AS'!E1292)</f>
        <v/>
      </c>
      <c r="F187" s="89" t="str">
        <f>+IF('Qualitative Disclosures for AS'!F1292="","",'Qualitative Disclosures for AS'!F1292)</f>
        <v/>
      </c>
      <c r="T187" s="42"/>
    </row>
    <row r="188" spans="3:20" hidden="1" x14ac:dyDescent="0.25">
      <c r="C188" s="141" t="str">
        <f>+IF('Qualitative Disclosures for AS'!C1293="","",'Qualitative Disclosures for AS'!C1293)</f>
        <v>Raw materials</v>
      </c>
      <c r="D188" s="50" t="str">
        <f>+IF('Qualitative Disclosures for AS'!D1293="","",'Qualitative Disclosures for AS'!D1293)</f>
        <v/>
      </c>
      <c r="E188" s="48" t="str">
        <f>+IF('Qualitative Disclosures for AS'!E1293="","",'Qualitative Disclosures for AS'!E1293)</f>
        <v/>
      </c>
      <c r="F188" s="48" t="str">
        <f>+IF('Qualitative Disclosures for AS'!F1293="","",'Qualitative Disclosures for AS'!F1293)</f>
        <v/>
      </c>
      <c r="T188" s="42"/>
    </row>
    <row r="189" spans="3:20" hidden="1" x14ac:dyDescent="0.25">
      <c r="C189" s="141" t="str">
        <f>+IF('Qualitative Disclosures for AS'!C1294="","",'Qualitative Disclosures for AS'!C1294)</f>
        <v/>
      </c>
      <c r="D189" s="50" t="str">
        <f>+IF('Qualitative Disclosures for AS'!D1294="","",'Qualitative Disclosures for AS'!D1294)</f>
        <v/>
      </c>
      <c r="E189" s="48" t="str">
        <f>+IF('Qualitative Disclosures for AS'!E1294="","",'Qualitative Disclosures for AS'!E1294)</f>
        <v/>
      </c>
      <c r="F189" s="48" t="str">
        <f>+IF('Qualitative Disclosures for AS'!F1294="","",'Qualitative Disclosures for AS'!F1294)</f>
        <v/>
      </c>
      <c r="T189" s="42"/>
    </row>
    <row r="190" spans="3:20" hidden="1" x14ac:dyDescent="0.25">
      <c r="C190" s="127" t="str">
        <f>+IF('Qualitative Disclosures for AS'!C1295="","",'Qualitative Disclosures for AS'!C1295)</f>
        <v>Components</v>
      </c>
      <c r="D190" s="50" t="str">
        <f>+IF('Qualitative Disclosures for AS'!D1295="","",'Qualitative Disclosures for AS'!D1295)</f>
        <v/>
      </c>
      <c r="E190" s="48" t="str">
        <f>+IF('Qualitative Disclosures for AS'!E1295="","",'Qualitative Disclosures for AS'!E1295)</f>
        <v/>
      </c>
      <c r="F190" s="48" t="str">
        <f>+IF('Qualitative Disclosures for AS'!F1295="","",'Qualitative Disclosures for AS'!F1295)</f>
        <v/>
      </c>
      <c r="T190" s="42"/>
    </row>
    <row r="191" spans="3:20" hidden="1" x14ac:dyDescent="0.25">
      <c r="C191" s="127" t="str">
        <f>+IF('Qualitative Disclosures for AS'!C1296="","",'Qualitative Disclosures for AS'!C1296)</f>
        <v/>
      </c>
      <c r="D191" s="50" t="str">
        <f>+IF('Qualitative Disclosures for AS'!D1296="","",'Qualitative Disclosures for AS'!D1296)</f>
        <v/>
      </c>
      <c r="E191" s="48" t="str">
        <f>+IF('Qualitative Disclosures for AS'!E1296="","",'Qualitative Disclosures for AS'!E1296)</f>
        <v/>
      </c>
      <c r="F191" s="48" t="str">
        <f>+IF('Qualitative Disclosures for AS'!F1296="","",'Qualitative Disclosures for AS'!F1296)</f>
        <v/>
      </c>
      <c r="T191" s="42"/>
    </row>
    <row r="192" spans="3:20" hidden="1" x14ac:dyDescent="0.25">
      <c r="C192" s="141" t="str">
        <f>+IF('Qualitative Disclosures for AS'!C1297="","",'Qualitative Disclosures for AS'!C1297)</f>
        <v>Spare parts</v>
      </c>
      <c r="D192" s="50" t="str">
        <f>+IF('Qualitative Disclosures for AS'!D1297="","",'Qualitative Disclosures for AS'!D1297)</f>
        <v/>
      </c>
      <c r="E192" s="48" t="str">
        <f>+IF('Qualitative Disclosures for AS'!E1297="","",'Qualitative Disclosures for AS'!E1297)</f>
        <v/>
      </c>
      <c r="F192" s="48" t="str">
        <f>+IF('Qualitative Disclosures for AS'!F1297="","",'Qualitative Disclosures for AS'!F1297)</f>
        <v/>
      </c>
      <c r="T192" s="42"/>
    </row>
    <row r="193" spans="2:20" hidden="1" x14ac:dyDescent="0.25">
      <c r="C193" s="141" t="str">
        <f>+IF('Qualitative Disclosures for AS'!C1298="","",'Qualitative Disclosures for AS'!C1298)</f>
        <v/>
      </c>
      <c r="D193" s="50" t="str">
        <f>+IF('Qualitative Disclosures for AS'!D1298="","",'Qualitative Disclosures for AS'!D1298)</f>
        <v/>
      </c>
      <c r="E193" s="48" t="str">
        <f>+IF('Qualitative Disclosures for AS'!E1298="","",'Qualitative Disclosures for AS'!E1298)</f>
        <v/>
      </c>
      <c r="F193" s="48" t="str">
        <f>+IF('Qualitative Disclosures for AS'!F1298="","",'Qualitative Disclosures for AS'!F1298)</f>
        <v/>
      </c>
      <c r="T193" s="42"/>
    </row>
    <row r="194" spans="2:20" hidden="1" x14ac:dyDescent="0.25">
      <c r="C194" s="141" t="str">
        <f>+IF('Qualitative Disclosures for AS'!C1299="","",'Qualitative Disclosures for AS'!C1299)</f>
        <v/>
      </c>
      <c r="D194" s="214" t="str">
        <f>+IF('Qualitative Disclosures for AS'!D1299="","",'Qualitative Disclosures for AS'!D1299)</f>
        <v>Total</v>
      </c>
      <c r="E194" s="196">
        <f>+IF('Qualitative Disclosures for AS'!E1299="","",'Qualitative Disclosures for AS'!E1299)</f>
        <v>0</v>
      </c>
      <c r="F194" s="196">
        <f>+IF('Qualitative Disclosures for AS'!F1299="","",'Qualitative Disclosures for AS'!F1299)</f>
        <v>0</v>
      </c>
      <c r="T194" s="42"/>
    </row>
    <row r="195" spans="2:20" hidden="1" x14ac:dyDescent="0.25">
      <c r="C195" s="142" t="str">
        <f>+IF('Qualitative Disclosures for AS'!C1300="","",'Qualitative Disclosures for AS'!C1300)</f>
        <v/>
      </c>
      <c r="D195" s="98" t="str">
        <f>+IF('Qualitative Disclosures for AS'!D1300="","",'Qualitative Disclosures for AS'!D1300)</f>
        <v/>
      </c>
      <c r="E195" s="96" t="str">
        <f>+IF('Qualitative Disclosures for AS'!E1300="","",'Qualitative Disclosures for AS'!E1300)</f>
        <v/>
      </c>
      <c r="F195" s="96" t="str">
        <f>+IF('Qualitative Disclosures for AS'!F1300="","",'Qualitative Disclosures for AS'!F1300)</f>
        <v/>
      </c>
      <c r="T195" s="42"/>
    </row>
    <row r="196" spans="2:20" hidden="1" x14ac:dyDescent="0.25">
      <c r="C196" s="307" t="str">
        <f>+IF('Qualitative Disclosures for AS'!C1301="","",'Qualitative Disclosures for AS'!C1301)</f>
        <v>Note: Figures / percentages in brackets relate to the previous year</v>
      </c>
      <c r="D196" s="41" t="str">
        <f>+IF('Qualitative Disclosures for AS'!D1301="","",'Qualitative Disclosures for AS'!D1301)</f>
        <v/>
      </c>
      <c r="E196" s="81" t="str">
        <f>+IF('Qualitative Disclosures for AS'!E1301="","",'Qualitative Disclosures for AS'!E1301)</f>
        <v/>
      </c>
      <c r="F196" s="81" t="str">
        <f>+IF('Qualitative Disclosures for AS'!F1301="","",'Qualitative Disclosures for AS'!F1301)</f>
        <v/>
      </c>
      <c r="T196" s="42"/>
    </row>
    <row r="197" spans="2:20" hidden="1" x14ac:dyDescent="0.25">
      <c r="C197" s="41" t="str">
        <f>+IF('Qualitative Disclosures for AS'!C1302="","",'Qualitative Disclosures for AS'!C1302)</f>
        <v/>
      </c>
      <c r="D197" s="41" t="str">
        <f>+IF('Qualitative Disclosures for AS'!D1302="","",'Qualitative Disclosures for AS'!D1302)</f>
        <v/>
      </c>
      <c r="E197" s="81" t="str">
        <f>+IF('Qualitative Disclosures for AS'!E1302="","",'Qualitative Disclosures for AS'!E1302)</f>
        <v/>
      </c>
      <c r="F197" s="81" t="str">
        <f>+IF('Qualitative Disclosures for AS'!F1302="","",'Qualitative Disclosures for AS'!F1302)</f>
        <v/>
      </c>
    </row>
    <row r="198" spans="2:20" hidden="1" x14ac:dyDescent="0.25">
      <c r="C198" s="1267" t="str">
        <f>+IF('Qualitative Disclosures for AS'!C1303="","",'Qualitative Disclosures for AS'!C1303)</f>
        <v/>
      </c>
      <c r="D198" s="1267" t="str">
        <f>+IF('Qualitative Disclosures for AS'!D1303="","",'Qualitative Disclosures for AS'!D1303)</f>
        <v/>
      </c>
      <c r="E198" s="1493" t="str">
        <f>+IF('Qualitative Disclosures for AS'!E1303="","",'Qualitative Disclosures for AS'!E1303)</f>
        <v/>
      </c>
      <c r="F198" s="1493" t="str">
        <f>+IF('Qualitative Disclosures for AS'!F1303="","",'Qualitative Disclosures for AS'!F1303)</f>
        <v/>
      </c>
    </row>
    <row r="199" spans="2:20" hidden="1" x14ac:dyDescent="0.25">
      <c r="C199" s="1267" t="str">
        <f>+IF('Qualitative Disclosures for AS'!C1304="","",'Qualitative Disclosures for AS'!C1304)</f>
        <v/>
      </c>
      <c r="D199" s="1267" t="str">
        <f>+IF('Qualitative Disclosures for AS'!D1304="","",'Qualitative Disclosures for AS'!D1304)</f>
        <v/>
      </c>
      <c r="E199" s="1493" t="str">
        <f>+IF('Qualitative Disclosures for AS'!E1304="","",'Qualitative Disclosures for AS'!E1304)</f>
        <v/>
      </c>
      <c r="F199" s="1493" t="str">
        <f>+IF('Qualitative Disclosures for AS'!F1304="","",'Qualitative Disclosures for AS'!F1304)</f>
        <v/>
      </c>
    </row>
    <row r="200" spans="2:20" hidden="1" x14ac:dyDescent="0.25">
      <c r="C200" s="1267" t="str">
        <f>+IF('Qualitative Disclosures for AS'!C1305="","",'Qualitative Disclosures for AS'!C1305)</f>
        <v/>
      </c>
      <c r="D200" s="1267" t="str">
        <f>+IF('Qualitative Disclosures for AS'!D1305="","",'Qualitative Disclosures for AS'!D1305)</f>
        <v/>
      </c>
      <c r="E200" s="1493" t="str">
        <f>+IF('Qualitative Disclosures for AS'!E1305="","",'Qualitative Disclosures for AS'!E1305)</f>
        <v/>
      </c>
      <c r="F200" s="1493" t="str">
        <f>+IF('Qualitative Disclosures for AS'!F1305="","",'Qualitative Disclosures for AS'!F1305)</f>
        <v/>
      </c>
    </row>
    <row r="201" spans="2:20" hidden="1" x14ac:dyDescent="0.25">
      <c r="C201" s="1267" t="str">
        <f>+IF('Qualitative Disclosures for AS'!C1306="","",'Qualitative Disclosures for AS'!C1306)</f>
        <v/>
      </c>
      <c r="D201" s="1267" t="str">
        <f>+IF('Qualitative Disclosures for AS'!D1306="","",'Qualitative Disclosures for AS'!D1306)</f>
        <v/>
      </c>
      <c r="E201" s="1493" t="str">
        <f>+IF('Qualitative Disclosures for AS'!E1306="","",'Qualitative Disclosures for AS'!E1306)</f>
        <v/>
      </c>
      <c r="F201" s="1493" t="str">
        <f>+IF('Qualitative Disclosures for AS'!F1306="","",'Qualitative Disclosures for AS'!F1306)</f>
        <v/>
      </c>
    </row>
    <row r="202" spans="2:20" hidden="1" x14ac:dyDescent="0.25">
      <c r="C202" s="1267" t="str">
        <f>+IF('Qualitative Disclosures for AS'!C1307="","",'Qualitative Disclosures for AS'!C1307)</f>
        <v/>
      </c>
      <c r="D202" s="1267" t="str">
        <f>+IF('Qualitative Disclosures for AS'!D1307="","",'Qualitative Disclosures for AS'!D1307)</f>
        <v/>
      </c>
      <c r="E202" s="1493" t="str">
        <f>+IF('Qualitative Disclosures for AS'!E1307="","",'Qualitative Disclosures for AS'!E1307)</f>
        <v/>
      </c>
      <c r="F202" s="1493" t="str">
        <f>+IF('Qualitative Disclosures for AS'!F1307="","",'Qualitative Disclosures for AS'!F1307)</f>
        <v/>
      </c>
    </row>
    <row r="203" spans="2:20" hidden="1" x14ac:dyDescent="0.25">
      <c r="C203" s="1267" t="str">
        <f>+IF('Qualitative Disclosures for AS'!C1308="","",'Qualitative Disclosures for AS'!C1308)</f>
        <v/>
      </c>
      <c r="D203" s="1267" t="str">
        <f>+IF('Qualitative Disclosures for AS'!D1308="","",'Qualitative Disclosures for AS'!D1308)</f>
        <v/>
      </c>
      <c r="E203" s="1493" t="str">
        <f>+IF('Qualitative Disclosures for AS'!E1308="","",'Qualitative Disclosures for AS'!E1308)</f>
        <v/>
      </c>
      <c r="F203" s="1493" t="str">
        <f>+IF('Qualitative Disclosures for AS'!F1308="","",'Qualitative Disclosures for AS'!F1308)</f>
        <v/>
      </c>
    </row>
    <row r="204" spans="2:20" hidden="1" x14ac:dyDescent="0.25">
      <c r="E204" s="81"/>
      <c r="F204" s="81"/>
    </row>
    <row r="205" spans="2:20" x14ac:dyDescent="0.25">
      <c r="B205" s="42">
        <v>29</v>
      </c>
      <c r="C205" s="131" t="str">
        <f>+IF('Qualitative Disclosures for AS'!C1310="","",'Qualitative Disclosures for AS'!C1310)</f>
        <v>Earnings in foreign exchange :</v>
      </c>
      <c r="D205" s="41" t="str">
        <f>+IF('Qualitative Disclosures for AS'!D1310="","",'Qualitative Disclosures for AS'!D1310)</f>
        <v/>
      </c>
      <c r="E205" s="81" t="str">
        <f>+IF('Qualitative Disclosures for AS'!E1310="","",'Qualitative Disclosures for AS'!E1310)</f>
        <v/>
      </c>
      <c r="F205" s="81" t="str">
        <f>+IF('Qualitative Disclosures for AS'!F1310="","",'Qualitative Disclosures for AS'!F1310)</f>
        <v/>
      </c>
    </row>
    <row r="206" spans="2:20" x14ac:dyDescent="0.25">
      <c r="C206" s="41" t="str">
        <f>+IF('Qualitative Disclosures for AS'!C1311="","",'Qualitative Disclosures for AS'!C1311)</f>
        <v/>
      </c>
      <c r="D206" s="41" t="str">
        <f>+IF('Qualitative Disclosures for AS'!D1311="","",'Qualitative Disclosures for AS'!D1311)</f>
        <v/>
      </c>
      <c r="E206" s="81" t="str">
        <f>+IF('Qualitative Disclosures for AS'!E1311="","",'Qualitative Disclosures for AS'!E1311)</f>
        <v/>
      </c>
      <c r="F206" s="214" t="str">
        <f>+F158</f>
        <v>Amount in Rs '00.</v>
      </c>
    </row>
    <row r="207" spans="2:20" ht="30" x14ac:dyDescent="0.25">
      <c r="C207" s="2870" t="str">
        <f>+IF('Qualitative Disclosures for AS'!C1312="","",'Qualitative Disclosures for AS'!C1312)</f>
        <v>Particulars</v>
      </c>
      <c r="D207" s="2871" t="str">
        <f>+IF('Qualitative Disclosures for AS'!D1312="","",'Qualitative Disclosures for AS'!D1312)</f>
        <v/>
      </c>
      <c r="E207" s="1935" t="str">
        <f>+IF('Qualitative Disclosures for AS'!E1312="","",'Qualitative Disclosures for AS'!E1312)</f>
        <v>As At 31st March 2025</v>
      </c>
      <c r="F207" s="1935" t="str">
        <f>+IF('Qualitative Disclosures for AS'!F1312="","",'Qualitative Disclosures for AS'!F1312)</f>
        <v>As At 31st March 2024</v>
      </c>
    </row>
    <row r="208" spans="2:20" hidden="1" x14ac:dyDescent="0.25">
      <c r="C208" s="116" t="str">
        <f>+IF('Qualitative Disclosures for AS'!C1313="","",'Qualitative Disclosures for AS'!C1313)</f>
        <v>Export of goods calculated on FOB basis</v>
      </c>
      <c r="D208" s="50" t="str">
        <f>+IF('Qualitative Disclosures for AS'!D1313="","",'Qualitative Disclosures for AS'!D1313)</f>
        <v/>
      </c>
      <c r="E208" s="134" t="str">
        <f>+IF('Qualitative Disclosures for AS'!E1313="","",'Qualitative Disclosures for AS'!E1313)</f>
        <v/>
      </c>
      <c r="F208" s="134" t="str">
        <f>+IF('Qualitative Disclosures for AS'!F1313="","",'Qualitative Disclosures for AS'!F1313)</f>
        <v/>
      </c>
      <c r="T208" s="42"/>
    </row>
    <row r="209" spans="3:20" hidden="1" x14ac:dyDescent="0.25">
      <c r="C209" s="2929" t="str">
        <f>+IF('Qualitative Disclosures for AS'!C1314="","",'Qualitative Disclosures for AS'!C1314)</f>
        <v>Royalty, know-how, professional and consultation fees</v>
      </c>
      <c r="D209" s="2930" t="str">
        <f>+IF('Qualitative Disclosures for AS'!D1314="","",'Qualitative Disclosures for AS'!D1314)</f>
        <v/>
      </c>
      <c r="E209" s="970">
        <f>+IF('Qualitative Disclosures for AS'!E1314="","",'Qualitative Disclosures for AS'!E1314)</f>
        <v>0</v>
      </c>
      <c r="F209" s="970">
        <f>+IF('Qualitative Disclosures for AS'!F1314="","",'Qualitative Disclosures for AS'!F1314)</f>
        <v>0</v>
      </c>
      <c r="T209" s="42"/>
    </row>
    <row r="210" spans="3:20" hidden="1" x14ac:dyDescent="0.25">
      <c r="C210" s="116" t="str">
        <f>+IF('Qualitative Disclosures for AS'!C1315="","",'Qualitative Disclosures for AS'!C1315)</f>
        <v>Interest and dividend</v>
      </c>
      <c r="D210" s="50" t="str">
        <f>+IF('Qualitative Disclosures for AS'!D1315="","",'Qualitative Disclosures for AS'!D1315)</f>
        <v/>
      </c>
      <c r="E210" s="970">
        <f>+IF('Qualitative Disclosures for AS'!E1315="","",'Qualitative Disclosures for AS'!E1315)</f>
        <v>0</v>
      </c>
      <c r="F210" s="970">
        <f>+IF('Qualitative Disclosures for AS'!F1315="","",'Qualitative Disclosures for AS'!F1315)</f>
        <v>0</v>
      </c>
      <c r="T210" s="42"/>
    </row>
    <row r="211" spans="3:20" x14ac:dyDescent="0.25">
      <c r="C211" s="116" t="str">
        <f>+'Qualitative Disclosures for AS'!C1316</f>
        <v>Sale of  Goods &amp; Services</v>
      </c>
      <c r="D211" s="50"/>
      <c r="E211" s="845">
        <f>+'Qualitative Disclosures for AS'!E1316</f>
        <v>466002.33549999999</v>
      </c>
      <c r="F211" s="845">
        <f>+'Qualitative Disclosures for AS'!F1316</f>
        <v>476919</v>
      </c>
      <c r="T211" s="42"/>
    </row>
    <row r="212" spans="3:20" ht="21" customHeight="1" x14ac:dyDescent="0.25">
      <c r="C212" s="141" t="str">
        <f>+IF('Qualitative Disclosures for AS'!C1317="","",'Qualitative Disclosures for AS'!C1317)</f>
        <v>Global Recharge (Cost Plus Sales)</v>
      </c>
      <c r="D212" s="50" t="str">
        <f>+IF('Qualitative Disclosures for AS'!D1317="","",'Qualitative Disclosures for AS'!D1317)</f>
        <v/>
      </c>
      <c r="E212" s="1953">
        <f>+IF('Qualitative Disclosures for AS'!E1317="","",'Qualitative Disclosures for AS'!E1317)</f>
        <v>2061088.2929</v>
      </c>
      <c r="F212" s="1953">
        <f>+IF('Qualitative Disclosures for AS'!F1317="","",'Qualitative Disclosures for AS'!F1317)</f>
        <v>1761685</v>
      </c>
      <c r="T212" s="42"/>
    </row>
    <row r="213" spans="3:20" x14ac:dyDescent="0.25">
      <c r="C213" s="2646"/>
      <c r="D213" s="2647"/>
      <c r="E213" s="2584">
        <f>+SUM(E211:E212)</f>
        <v>2527090.6283999998</v>
      </c>
      <c r="F213" s="2584">
        <f>+SUM(F211:F212)</f>
        <v>2238604</v>
      </c>
      <c r="T213" s="42"/>
    </row>
    <row r="214" spans="3:20" x14ac:dyDescent="0.25">
      <c r="C214" s="41" t="str">
        <f>+IF('Qualitative Disclosures for AS'!C1319="","",'Qualitative Disclosures for AS'!C1319)</f>
        <v/>
      </c>
      <c r="D214" s="41" t="str">
        <f>+IF('Qualitative Disclosures for AS'!D1319="","",'Qualitative Disclosures for AS'!D1319)</f>
        <v/>
      </c>
      <c r="E214" s="41" t="str">
        <f>+IF('Qualitative Disclosures for AS'!E1319="","",'Qualitative Disclosures for AS'!E1319)</f>
        <v/>
      </c>
      <c r="F214" s="41" t="str">
        <f>+IF('Qualitative Disclosures for AS'!F1319="","",'Qualitative Disclosures for AS'!F1319)</f>
        <v/>
      </c>
      <c r="T214" s="42"/>
    </row>
    <row r="215" spans="3:20" hidden="1" x14ac:dyDescent="0.25">
      <c r="C215" s="1267" t="str">
        <f>+IF('Qualitative Disclosures for AS'!C1320="","",'Qualitative Disclosures for AS'!C1320)</f>
        <v/>
      </c>
      <c r="D215" s="1267" t="str">
        <f>+IF('Qualitative Disclosures for AS'!D1320="","",'Qualitative Disclosures for AS'!D1320)</f>
        <v/>
      </c>
      <c r="E215" s="1267" t="str">
        <f>+IF('Qualitative Disclosures for AS'!E1320="","",'Qualitative Disclosures for AS'!E1320)</f>
        <v/>
      </c>
      <c r="F215" s="1267" t="str">
        <f>+IF('Qualitative Disclosures for AS'!F1320="","",'Qualitative Disclosures for AS'!F1320)</f>
        <v/>
      </c>
      <c r="T215" s="42"/>
    </row>
    <row r="216" spans="3:20" hidden="1" x14ac:dyDescent="0.25">
      <c r="C216" s="1267" t="str">
        <f>+IF('Qualitative Disclosures for AS'!C1321="","",'Qualitative Disclosures for AS'!C1321)</f>
        <v/>
      </c>
      <c r="D216" s="1267" t="str">
        <f>+IF('Qualitative Disclosures for AS'!D1321="","",'Qualitative Disclosures for AS'!D1321)</f>
        <v/>
      </c>
      <c r="E216" s="1267" t="str">
        <f>+IF('Qualitative Disclosures for AS'!E1321="","",'Qualitative Disclosures for AS'!E1321)</f>
        <v/>
      </c>
      <c r="F216" s="1267" t="str">
        <f>+IF('Qualitative Disclosures for AS'!F1321="","",'Qualitative Disclosures for AS'!F1321)</f>
        <v/>
      </c>
      <c r="T216" s="42"/>
    </row>
    <row r="217" spans="3:20" hidden="1" x14ac:dyDescent="0.25">
      <c r="C217" s="1267" t="str">
        <f>+IF('Qualitative Disclosures for AS'!C1322="","",'Qualitative Disclosures for AS'!C1322)</f>
        <v/>
      </c>
      <c r="D217" s="1267" t="str">
        <f>+IF('Qualitative Disclosures for AS'!D1322="","",'Qualitative Disclosures for AS'!D1322)</f>
        <v/>
      </c>
      <c r="E217" s="1267" t="str">
        <f>+IF('Qualitative Disclosures for AS'!E1322="","",'Qualitative Disclosures for AS'!E1322)</f>
        <v/>
      </c>
      <c r="F217" s="1267" t="str">
        <f>+IF('Qualitative Disclosures for AS'!F1322="","",'Qualitative Disclosures for AS'!F1322)</f>
        <v/>
      </c>
      <c r="T217" s="42"/>
    </row>
    <row r="218" spans="3:20" hidden="1" x14ac:dyDescent="0.25">
      <c r="C218" s="1267" t="str">
        <f>+IF('Qualitative Disclosures for AS'!C1323="","",'Qualitative Disclosures for AS'!C1323)</f>
        <v/>
      </c>
      <c r="D218" s="1267" t="str">
        <f>+IF('Qualitative Disclosures for AS'!D1323="","",'Qualitative Disclosures for AS'!D1323)</f>
        <v/>
      </c>
      <c r="E218" s="1267" t="str">
        <f>+IF('Qualitative Disclosures for AS'!E1323="","",'Qualitative Disclosures for AS'!E1323)</f>
        <v/>
      </c>
      <c r="F218" s="1267" t="str">
        <f>+IF('Qualitative Disclosures for AS'!F1323="","",'Qualitative Disclosures for AS'!F1323)</f>
        <v/>
      </c>
      <c r="T218" s="42"/>
    </row>
    <row r="219" spans="3:20" hidden="1" x14ac:dyDescent="0.25">
      <c r="C219" s="1267" t="str">
        <f>+IF('Qualitative Disclosures for AS'!C1324="","",'Qualitative Disclosures for AS'!C1324)</f>
        <v/>
      </c>
      <c r="D219" s="1267" t="str">
        <f>+IF('Qualitative Disclosures for AS'!D1324="","",'Qualitative Disclosures for AS'!D1324)</f>
        <v/>
      </c>
      <c r="E219" s="1267" t="str">
        <f>+IF('Qualitative Disclosures for AS'!E1324="","",'Qualitative Disclosures for AS'!E1324)</f>
        <v/>
      </c>
      <c r="F219" s="1267" t="str">
        <f>+IF('Qualitative Disclosures for AS'!F1324="","",'Qualitative Disclosures for AS'!F1324)</f>
        <v/>
      </c>
      <c r="T219" s="42"/>
    </row>
    <row r="220" spans="3:20" hidden="1" x14ac:dyDescent="0.25">
      <c r="C220" s="1267" t="str">
        <f>+IF('Qualitative Disclosures for AS'!C1325="","",'Qualitative Disclosures for AS'!C1325)</f>
        <v/>
      </c>
      <c r="D220" s="1267" t="str">
        <f>+IF('Qualitative Disclosures for AS'!D1325="","",'Qualitative Disclosures for AS'!D1325)</f>
        <v/>
      </c>
      <c r="E220" s="1267" t="str">
        <f>+IF('Qualitative Disclosures for AS'!E1325="","",'Qualitative Disclosures for AS'!E1325)</f>
        <v/>
      </c>
      <c r="F220" s="1267" t="str">
        <f>+IF('Qualitative Disclosures for AS'!F1325="","",'Qualitative Disclosures for AS'!F1325)</f>
        <v/>
      </c>
      <c r="T220" s="42"/>
    </row>
    <row r="221" spans="3:20" hidden="1" x14ac:dyDescent="0.25">
      <c r="T221" s="42"/>
    </row>
    <row r="222" spans="3:20" hidden="1" x14ac:dyDescent="0.25">
      <c r="C222" s="17" t="str">
        <f>+IF('Qualitative Disclosures for AS'!C1327="","",'Qualitative Disclosures for AS'!C1327)</f>
        <v>Amounts remitted in foreign currency during the year on account of dividend</v>
      </c>
      <c r="D222" s="17" t="str">
        <f>+IF('Qualitative Disclosures for AS'!D1327="","",'Qualitative Disclosures for AS'!D1327)</f>
        <v/>
      </c>
      <c r="E222" t="str">
        <f>+IF('Qualitative Disclosures for AS'!E1327="","",'Qualitative Disclosures for AS'!E1327)</f>
        <v/>
      </c>
      <c r="F222" t="str">
        <f>+IF('Qualitative Disclosures for AS'!F1327="","",'Qualitative Disclosures for AS'!F1327)</f>
        <v/>
      </c>
    </row>
    <row r="223" spans="3:20" hidden="1" x14ac:dyDescent="0.25">
      <c r="C223" s="41" t="str">
        <f>+IF('Qualitative Disclosures for AS'!C1328="","",'Qualitative Disclosures for AS'!C1328)</f>
        <v/>
      </c>
      <c r="D223" s="41" t="str">
        <f>+IF('Qualitative Disclosures for AS'!D1328="","",'Qualitative Disclosures for AS'!D1328)</f>
        <v/>
      </c>
      <c r="E223" s="41" t="str">
        <f>+IF('Qualitative Disclosures for AS'!E1328="","",'Qualitative Disclosures for AS'!E1328)</f>
        <v/>
      </c>
      <c r="F223" s="41" t="str">
        <f>+IF('Qualitative Disclosures for AS'!F1328="","",'Qualitative Disclosures for AS'!F1328)</f>
        <v/>
      </c>
    </row>
    <row r="224" spans="3:20" ht="30" hidden="1" x14ac:dyDescent="0.25">
      <c r="C224" s="2874" t="str">
        <f>+IF('Qualitative Disclosures for AS'!C1329="","",'Qualitative Disclosures for AS'!C1329)</f>
        <v>Particulars</v>
      </c>
      <c r="D224" s="2875" t="str">
        <f>+IF('Qualitative Disclosures for AS'!D1329="","",'Qualitative Disclosures for AS'!D1329)</f>
        <v/>
      </c>
      <c r="E224" s="314" t="str">
        <f>+IF('Qualitative Disclosures for AS'!E1329="","",'Qualitative Disclosures for AS'!E1329)</f>
        <v>As At 31st March 2025</v>
      </c>
      <c r="F224" s="314" t="str">
        <f>+IF('Qualitative Disclosures for AS'!F1329="","",'Qualitative Disclosures for AS'!F1329)</f>
        <v>As At 31st March 2024</v>
      </c>
    </row>
    <row r="225" spans="3:20" ht="33" hidden="1" x14ac:dyDescent="0.25">
      <c r="C225" s="116" t="str">
        <f>+IF('Qualitative Disclosures for AS'!C1330="","",'Qualitative Disclosures for AS'!C1330)</f>
        <v>Amount of dividend remitted in foreign currency</v>
      </c>
      <c r="D225" s="50" t="str">
        <f>+IF('Qualitative Disclosures for AS'!D1330="","",'Qualitative Disclosures for AS'!D1330)</f>
        <v/>
      </c>
      <c r="E225" s="970">
        <v>0</v>
      </c>
      <c r="F225" s="970">
        <v>0</v>
      </c>
      <c r="T225" s="42"/>
    </row>
    <row r="226" spans="3:20" s="42" customFormat="1" hidden="1" x14ac:dyDescent="0.25">
      <c r="C226" s="2929" t="str">
        <f>+IF('Qualitative Disclosures for AS'!C1331="","",'Qualitative Disclosures for AS'!C1331)</f>
        <v>Total number of non-resident shareholders (to whom the dividends were remitted in foreign currency)</v>
      </c>
      <c r="D226" s="2930" t="str">
        <f>+IF('Qualitative Disclosures for AS'!D1331="","",'Qualitative Disclosures for AS'!D1331)</f>
        <v/>
      </c>
      <c r="E226" s="970">
        <v>0</v>
      </c>
      <c r="F226" s="970">
        <v>0</v>
      </c>
      <c r="G226" s="146"/>
    </row>
    <row r="227" spans="3:20" hidden="1" x14ac:dyDescent="0.25">
      <c r="C227" s="141" t="str">
        <f>+IF('Qualitative Disclosures for AS'!C1332="","",'Qualitative Disclosures for AS'!C1332)</f>
        <v>Total number of shares held by them on which dividend was due</v>
      </c>
      <c r="D227" s="50" t="str">
        <f>+IF('Qualitative Disclosures for AS'!D1332="","",'Qualitative Disclosures for AS'!D1332)</f>
        <v/>
      </c>
      <c r="E227" s="970">
        <v>0</v>
      </c>
      <c r="F227" s="970">
        <v>0</v>
      </c>
      <c r="T227" s="42"/>
    </row>
    <row r="228" spans="3:20" hidden="1" x14ac:dyDescent="0.25">
      <c r="C228" s="216" t="str">
        <f>+IF('Qualitative Disclosures for AS'!C1333="","",'Qualitative Disclosures for AS'!C1333)</f>
        <v>Year to which the dividend relates</v>
      </c>
      <c r="D228" s="98" t="str">
        <f>+IF('Qualitative Disclosures for AS'!D1333="","",'Qualitative Disclosures for AS'!D1333)</f>
        <v/>
      </c>
      <c r="E228" s="970">
        <v>0</v>
      </c>
      <c r="F228" s="970">
        <v>0</v>
      </c>
      <c r="T228" s="42"/>
    </row>
    <row r="229" spans="3:20" hidden="1" x14ac:dyDescent="0.25">
      <c r="C229" s="3" t="str">
        <f>+IF('Qualitative Disclosures for AS'!C1334="","",'Qualitative Disclosures for AS'!C1334)</f>
        <v/>
      </c>
      <c r="D229" s="41" t="str">
        <f>+IF('Qualitative Disclosures for AS'!D1334="","",'Qualitative Disclosures for AS'!D1334)</f>
        <v/>
      </c>
      <c r="E229" s="41" t="str">
        <f>+IF('Qualitative Disclosures for AS'!E1334="","",'Qualitative Disclosures for AS'!E1334)</f>
        <v/>
      </c>
      <c r="F229" s="41" t="str">
        <f>+IF('Qualitative Disclosures for AS'!F1334="","",'Qualitative Disclosures for AS'!F1334)</f>
        <v/>
      </c>
      <c r="T229" s="42"/>
    </row>
    <row r="230" spans="3:20" hidden="1" x14ac:dyDescent="0.25">
      <c r="C230" s="1267" t="str">
        <f>+IF('Qualitative Disclosures for AS'!C1335="","",'Qualitative Disclosures for AS'!C1335)</f>
        <v/>
      </c>
      <c r="D230" s="1267" t="str">
        <f>+IF('Qualitative Disclosures for AS'!D1335="","",'Qualitative Disclosures for AS'!D1335)</f>
        <v/>
      </c>
      <c r="E230" s="1267" t="str">
        <f>+IF('Qualitative Disclosures for AS'!E1335="","",'Qualitative Disclosures for AS'!E1335)</f>
        <v/>
      </c>
      <c r="F230" s="1267" t="str">
        <f>+IF('Qualitative Disclosures for AS'!F1335="","",'Qualitative Disclosures for AS'!F1335)</f>
        <v/>
      </c>
    </row>
    <row r="231" spans="3:20" hidden="1" x14ac:dyDescent="0.25">
      <c r="C231" s="1267" t="str">
        <f>+IF('Qualitative Disclosures for AS'!C1336="","",'Qualitative Disclosures for AS'!C1336)</f>
        <v/>
      </c>
      <c r="D231" s="1267" t="str">
        <f>+IF('Qualitative Disclosures for AS'!D1336="","",'Qualitative Disclosures for AS'!D1336)</f>
        <v/>
      </c>
      <c r="E231" s="1267" t="str">
        <f>+IF('Qualitative Disclosures for AS'!E1336="","",'Qualitative Disclosures for AS'!E1336)</f>
        <v/>
      </c>
      <c r="F231" s="1267" t="str">
        <f>+IF('Qualitative Disclosures for AS'!F1336="","",'Qualitative Disclosures for AS'!F1336)</f>
        <v/>
      </c>
    </row>
    <row r="232" spans="3:20" hidden="1" x14ac:dyDescent="0.25">
      <c r="C232" s="1267" t="str">
        <f>+IF('Qualitative Disclosures for AS'!C1337="","",'Qualitative Disclosures for AS'!C1337)</f>
        <v/>
      </c>
      <c r="D232" s="1267" t="str">
        <f>+IF('Qualitative Disclosures for AS'!D1337="","",'Qualitative Disclosures for AS'!D1337)</f>
        <v/>
      </c>
      <c r="E232" s="1267" t="str">
        <f>+IF('Qualitative Disclosures for AS'!E1337="","",'Qualitative Disclosures for AS'!E1337)</f>
        <v/>
      </c>
      <c r="F232" s="1267" t="str">
        <f>+IF('Qualitative Disclosures for AS'!F1337="","",'Qualitative Disclosures for AS'!F1337)</f>
        <v/>
      </c>
    </row>
    <row r="233" spans="3:20" hidden="1" x14ac:dyDescent="0.25">
      <c r="C233" s="1267" t="str">
        <f>+IF('Qualitative Disclosures for AS'!C1338="","",'Qualitative Disclosures for AS'!C1338)</f>
        <v/>
      </c>
      <c r="D233" s="1267" t="str">
        <f>+IF('Qualitative Disclosures for AS'!D1338="","",'Qualitative Disclosures for AS'!D1338)</f>
        <v/>
      </c>
      <c r="E233" s="1267" t="str">
        <f>+IF('Qualitative Disclosures for AS'!E1338="","",'Qualitative Disclosures for AS'!E1338)</f>
        <v/>
      </c>
      <c r="F233" s="1267" t="str">
        <f>+IF('Qualitative Disclosures for AS'!F1338="","",'Qualitative Disclosures for AS'!F1338)</f>
        <v/>
      </c>
    </row>
    <row r="234" spans="3:20" hidden="1" x14ac:dyDescent="0.25">
      <c r="C234" s="1267" t="str">
        <f>+IF('Qualitative Disclosures for AS'!C1339="","",'Qualitative Disclosures for AS'!C1339)</f>
        <v/>
      </c>
      <c r="D234" s="1267" t="str">
        <f>+IF('Qualitative Disclosures for AS'!D1339="","",'Qualitative Disclosures for AS'!D1339)</f>
        <v/>
      </c>
      <c r="E234" s="1267" t="str">
        <f>+IF('Qualitative Disclosures for AS'!E1339="","",'Qualitative Disclosures for AS'!E1339)</f>
        <v/>
      </c>
      <c r="F234" s="1267" t="str">
        <f>+IF('Qualitative Disclosures for AS'!F1339="","",'Qualitative Disclosures for AS'!F1339)</f>
        <v/>
      </c>
    </row>
    <row r="235" spans="3:20" hidden="1" x14ac:dyDescent="0.25">
      <c r="C235" s="1267" t="str">
        <f>+IF('Qualitative Disclosures for AS'!C1340="","",'Qualitative Disclosures for AS'!C1340)</f>
        <v/>
      </c>
      <c r="D235" s="1267" t="str">
        <f>+IF('Qualitative Disclosures for AS'!D1340="","",'Qualitative Disclosures for AS'!D1340)</f>
        <v/>
      </c>
      <c r="E235" s="1267" t="str">
        <f>+IF('Qualitative Disclosures for AS'!E1340="","",'Qualitative Disclosures for AS'!E1340)</f>
        <v/>
      </c>
      <c r="F235" s="1267" t="str">
        <f>+IF('Qualitative Disclosures for AS'!F1340="","",'Qualitative Disclosures for AS'!F1340)</f>
        <v/>
      </c>
    </row>
    <row r="236" spans="3:20" hidden="1" x14ac:dyDescent="0.25"/>
    <row r="237" spans="3:20" hidden="1" x14ac:dyDescent="0.25"/>
    <row r="238" spans="3:20" hidden="1" x14ac:dyDescent="0.25"/>
    <row r="239" spans="3:20" x14ac:dyDescent="0.25">
      <c r="E239" s="2378"/>
      <c r="F239" s="844"/>
    </row>
    <row r="242" spans="5:5" x14ac:dyDescent="0.25">
      <c r="E242" s="840"/>
    </row>
  </sheetData>
  <sheetProtection formatCells="0" formatColumns="0" formatRows="0"/>
  <mergeCells count="48">
    <mergeCell ref="C38:D38"/>
    <mergeCell ref="C14:F14"/>
    <mergeCell ref="C24:F24"/>
    <mergeCell ref="C35:D35"/>
    <mergeCell ref="C36:D36"/>
    <mergeCell ref="C37:D37"/>
    <mergeCell ref="E34:F34"/>
    <mergeCell ref="C50:D50"/>
    <mergeCell ref="C39:D39"/>
    <mergeCell ref="C40:D40"/>
    <mergeCell ref="C41:D41"/>
    <mergeCell ref="C42:D42"/>
    <mergeCell ref="C43:D43"/>
    <mergeCell ref="C44:D44"/>
    <mergeCell ref="C45:D45"/>
    <mergeCell ref="C46:D46"/>
    <mergeCell ref="C47:D47"/>
    <mergeCell ref="C48:D48"/>
    <mergeCell ref="C49:D49"/>
    <mergeCell ref="C99:F99"/>
    <mergeCell ref="C65:F65"/>
    <mergeCell ref="C67:F67"/>
    <mergeCell ref="C80:D80"/>
    <mergeCell ref="C81:D81"/>
    <mergeCell ref="C82:D82"/>
    <mergeCell ref="C83:D83"/>
    <mergeCell ref="C84:D84"/>
    <mergeCell ref="C85:D85"/>
    <mergeCell ref="C86:D86"/>
    <mergeCell ref="C89:F89"/>
    <mergeCell ref="C98:F98"/>
    <mergeCell ref="C76:F76"/>
    <mergeCell ref="E176:F176"/>
    <mergeCell ref="C100:F100"/>
    <mergeCell ref="C117:F117"/>
    <mergeCell ref="C118:F118"/>
    <mergeCell ref="C119:F119"/>
    <mergeCell ref="D121:E121"/>
    <mergeCell ref="C207:D207"/>
    <mergeCell ref="C209:D209"/>
    <mergeCell ref="C224:D224"/>
    <mergeCell ref="C226:D226"/>
    <mergeCell ref="C139:D139"/>
    <mergeCell ref="C140:D140"/>
    <mergeCell ref="C141:D141"/>
    <mergeCell ref="C159:D159"/>
    <mergeCell ref="C176:D177"/>
    <mergeCell ref="C166:D166"/>
  </mergeCells>
  <pageMargins left="0.5" right="0.5" top="0.5" bottom="0.5" header="0.5" footer="0.5"/>
  <pageSetup scale="71"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8:Q293"/>
  <sheetViews>
    <sheetView showGridLines="0" view="pageBreakPreview" zoomScale="80" zoomScaleNormal="80" zoomScaleSheetLayoutView="80" workbookViewId="0"/>
  </sheetViews>
  <sheetFormatPr defaultColWidth="8.85546875" defaultRowHeight="16.5" x14ac:dyDescent="0.25"/>
  <cols>
    <col min="1" max="2" width="3.7109375" style="18" customWidth="1"/>
    <col min="3" max="3" width="68.5703125" style="18" bestFit="1" customWidth="1"/>
    <col min="4" max="5" width="23.42578125" style="18" customWidth="1"/>
    <col min="6" max="6" width="3.7109375" style="18" customWidth="1"/>
    <col min="7" max="7" width="8.85546875" style="18"/>
    <col min="8" max="8" width="11.140625" style="18" bestFit="1" customWidth="1"/>
    <col min="10" max="10" width="3.7109375" style="18" customWidth="1"/>
    <col min="11" max="16" width="8.85546875" style="18"/>
    <col min="17" max="17" width="11.7109375" style="18" customWidth="1"/>
    <col min="18" max="16384" width="8.85546875" style="18"/>
  </cols>
  <sheetData>
    <row r="8" spans="3:17" x14ac:dyDescent="0.25">
      <c r="C8" s="17" t="str">
        <f>Company_Name</f>
        <v>Sample Company</v>
      </c>
      <c r="D8" s="41"/>
      <c r="E8" s="41"/>
    </row>
    <row r="9" spans="3:17" x14ac:dyDescent="0.25">
      <c r="C9" s="17" t="s">
        <v>90</v>
      </c>
      <c r="D9" s="41"/>
      <c r="E9" s="41"/>
    </row>
    <row r="10" spans="3:17" x14ac:dyDescent="0.25">
      <c r="D10" s="41"/>
      <c r="E10" s="41"/>
      <c r="Q10" s="101"/>
    </row>
    <row r="11" spans="3:17" hidden="1" x14ac:dyDescent="0.25">
      <c r="C11" s="178" t="str">
        <f>IF(Q11="Yes","Note " &amp; MID('Addl Info to the FS'!C11,6,2)+1 &amp; " Disclosures under Accounting Standards","Note " &amp; MID('Addl Info to the FS'!C11,6,2) &amp; " Disclosures under Accounting Standards")</f>
        <v>Note 23 Disclosures under Accounting Standards</v>
      </c>
      <c r="D11" s="41"/>
      <c r="E11" s="41"/>
      <c r="Q11" s="42" t="str">
        <f>+IF(COUNTIF('Master Data'!$J$10:$J$24,"Yes")&gt;0,"Yes","No")</f>
        <v>Yes</v>
      </c>
    </row>
    <row r="12" spans="3:17" hidden="1" x14ac:dyDescent="0.25">
      <c r="C12" s="815"/>
      <c r="D12" s="41"/>
      <c r="E12" s="41"/>
    </row>
    <row r="13" spans="3:17" hidden="1" x14ac:dyDescent="0.25">
      <c r="C13" s="815" t="s">
        <v>1738</v>
      </c>
      <c r="D13" s="41"/>
      <c r="E13" s="41"/>
    </row>
    <row r="14" spans="3:17" hidden="1" x14ac:dyDescent="0.25">
      <c r="C14" s="815"/>
      <c r="D14" s="41"/>
      <c r="E14" s="41"/>
    </row>
    <row r="15" spans="3:17" ht="30" hidden="1" x14ac:dyDescent="0.25">
      <c r="C15" s="314" t="s">
        <v>20</v>
      </c>
      <c r="D15" s="314" t="str">
        <f>BSCY</f>
        <v>As At 31st March 2025</v>
      </c>
      <c r="E15" s="314" t="str">
        <f>BSPY</f>
        <v>As At 31st March 2024</v>
      </c>
    </row>
    <row r="16" spans="3:17" hidden="1" x14ac:dyDescent="0.25">
      <c r="C16" s="813" t="s">
        <v>1738</v>
      </c>
      <c r="D16" s="104"/>
      <c r="E16" s="156"/>
      <c r="Q16" s="42"/>
    </row>
    <row r="17" spans="3:17" hidden="1" x14ac:dyDescent="0.25">
      <c r="C17" s="116" t="s">
        <v>287</v>
      </c>
      <c r="D17" s="970">
        <f>+'Qualitative Disclosures for AS'!D10</f>
        <v>0</v>
      </c>
      <c r="E17" s="970">
        <f>+'Qualitative Disclosures for AS'!E10</f>
        <v>0</v>
      </c>
      <c r="Q17" s="42"/>
    </row>
    <row r="18" spans="3:17" ht="33" hidden="1" x14ac:dyDescent="0.25">
      <c r="C18" s="116" t="s">
        <v>553</v>
      </c>
      <c r="D18" s="970">
        <f>+'Qualitative Disclosures for AS'!D11</f>
        <v>0</v>
      </c>
      <c r="E18" s="970">
        <f>+'Qualitative Disclosures for AS'!E11</f>
        <v>0</v>
      </c>
      <c r="Q18" s="42"/>
    </row>
    <row r="19" spans="3:17" hidden="1" x14ac:dyDescent="0.25">
      <c r="C19" s="116" t="s">
        <v>288</v>
      </c>
      <c r="D19" s="970">
        <f>+'Qualitative Disclosures for AS'!D12</f>
        <v>0</v>
      </c>
      <c r="E19" s="970">
        <f>+'Qualitative Disclosures for AS'!E12</f>
        <v>0</v>
      </c>
      <c r="Q19" s="42"/>
    </row>
    <row r="20" spans="3:17" hidden="1" x14ac:dyDescent="0.25">
      <c r="C20" s="116" t="s">
        <v>289</v>
      </c>
      <c r="D20" s="970">
        <f>+'Qualitative Disclosures for AS'!D13</f>
        <v>0</v>
      </c>
      <c r="E20" s="970">
        <f>+'Qualitative Disclosures for AS'!E13</f>
        <v>0</v>
      </c>
      <c r="Q20" s="42"/>
    </row>
    <row r="21" spans="3:17" hidden="1" x14ac:dyDescent="0.25">
      <c r="C21" s="116" t="s">
        <v>448</v>
      </c>
      <c r="D21" s="970">
        <f>+'Qualitative Disclosures for AS'!D14</f>
        <v>0</v>
      </c>
      <c r="E21" s="970">
        <f>+'Qualitative Disclosures for AS'!E14</f>
        <v>0</v>
      </c>
      <c r="Q21" s="42"/>
    </row>
    <row r="22" spans="3:17" hidden="1" x14ac:dyDescent="0.25">
      <c r="C22" s="116" t="s">
        <v>449</v>
      </c>
      <c r="D22" s="970">
        <f>+'Qualitative Disclosures for AS'!D15</f>
        <v>0</v>
      </c>
      <c r="E22" s="970">
        <f>+'Qualitative Disclosures for AS'!E15</f>
        <v>0</v>
      </c>
      <c r="Q22" s="42"/>
    </row>
    <row r="23" spans="3:17" hidden="1" x14ac:dyDescent="0.25">
      <c r="C23" s="124"/>
      <c r="D23" s="108"/>
      <c r="E23" s="143"/>
      <c r="Q23" s="42"/>
    </row>
    <row r="24" spans="3:17" hidden="1" x14ac:dyDescent="0.25">
      <c r="Q24" s="42"/>
    </row>
    <row r="25" spans="3:17" hidden="1" x14ac:dyDescent="0.25">
      <c r="C25" s="1715" t="str">
        <f>+IF('Qualitative Disclosures for AS'!C18="","",'Qualitative Disclosures for AS'!C18)</f>
        <v/>
      </c>
      <c r="D25" s="1715" t="str">
        <f>+IF('Qualitative Disclosures for AS'!D18="","",'Qualitative Disclosures for AS'!D18)</f>
        <v/>
      </c>
      <c r="E25" s="1715" t="str">
        <f>+IF('Qualitative Disclosures for AS'!E18="","",'Qualitative Disclosures for AS'!E18)</f>
        <v/>
      </c>
      <c r="F25" s="1715" t="str">
        <f>+IF('Qualitative Disclosures for AS'!F18="","",'Qualitative Disclosures for AS'!F18)</f>
        <v/>
      </c>
      <c r="G25" s="1715" t="str">
        <f>+IF('Qualitative Disclosures for AS'!G18="","",'Qualitative Disclosures for AS'!G18)</f>
        <v/>
      </c>
      <c r="H25" s="1715" t="str">
        <f>+IF('Qualitative Disclosures for AS'!H18="","",'Qualitative Disclosures for AS'!H18)</f>
        <v/>
      </c>
      <c r="I25" s="1716" t="str">
        <f>+IF('Qualitative Disclosures for AS'!I18="","",'Qualitative Disclosures for AS'!I18)</f>
        <v/>
      </c>
      <c r="Q25" s="42"/>
    </row>
    <row r="26" spans="3:17" hidden="1" x14ac:dyDescent="0.25">
      <c r="C26" s="1715" t="str">
        <f>+IF('Qualitative Disclosures for AS'!C19="","",'Qualitative Disclosures for AS'!C19)</f>
        <v/>
      </c>
      <c r="D26" s="1715" t="str">
        <f>+IF('Qualitative Disclosures for AS'!D19="","",'Qualitative Disclosures for AS'!D19)</f>
        <v/>
      </c>
      <c r="E26" s="1715" t="str">
        <f>+IF('Qualitative Disclosures for AS'!E19="","",'Qualitative Disclosures for AS'!E19)</f>
        <v/>
      </c>
      <c r="F26" s="1715" t="str">
        <f>+IF('Qualitative Disclosures for AS'!F19="","",'Qualitative Disclosures for AS'!F19)</f>
        <v/>
      </c>
      <c r="G26" s="1715" t="str">
        <f>+IF('Qualitative Disclosures for AS'!G19="","",'Qualitative Disclosures for AS'!G19)</f>
        <v/>
      </c>
      <c r="H26" s="1715" t="str">
        <f>+IF('Qualitative Disclosures for AS'!H19="","",'Qualitative Disclosures for AS'!H19)</f>
        <v/>
      </c>
      <c r="I26" s="1716" t="str">
        <f>+IF('Qualitative Disclosures for AS'!I19="","",'Qualitative Disclosures for AS'!I19)</f>
        <v/>
      </c>
      <c r="Q26" s="42"/>
    </row>
    <row r="27" spans="3:17" hidden="1" x14ac:dyDescent="0.25">
      <c r="C27" s="1715" t="str">
        <f>+IF('Qualitative Disclosures for AS'!C20="","",'Qualitative Disclosures for AS'!C20)</f>
        <v/>
      </c>
      <c r="D27" s="1715" t="str">
        <f>+IF('Qualitative Disclosures for AS'!D20="","",'Qualitative Disclosures for AS'!D20)</f>
        <v/>
      </c>
      <c r="E27" s="1715" t="str">
        <f>+IF('Qualitative Disclosures for AS'!E20="","",'Qualitative Disclosures for AS'!E20)</f>
        <v/>
      </c>
      <c r="F27" s="1715" t="str">
        <f>+IF('Qualitative Disclosures for AS'!F20="","",'Qualitative Disclosures for AS'!F20)</f>
        <v/>
      </c>
      <c r="G27" s="1715" t="str">
        <f>+IF('Qualitative Disclosures for AS'!G20="","",'Qualitative Disclosures for AS'!G20)</f>
        <v/>
      </c>
      <c r="H27" s="1715" t="str">
        <f>+IF('Qualitative Disclosures for AS'!H20="","",'Qualitative Disclosures for AS'!H20)</f>
        <v/>
      </c>
      <c r="I27" s="1716" t="str">
        <f>+IF('Qualitative Disclosures for AS'!I20="","",'Qualitative Disclosures for AS'!I20)</f>
        <v/>
      </c>
      <c r="Q27" s="42"/>
    </row>
    <row r="28" spans="3:17" hidden="1" x14ac:dyDescent="0.25">
      <c r="C28" s="1715" t="str">
        <f>+IF('Qualitative Disclosures for AS'!C21="","",'Qualitative Disclosures for AS'!C21)</f>
        <v/>
      </c>
      <c r="D28" s="1715" t="str">
        <f>+IF('Qualitative Disclosures for AS'!D21="","",'Qualitative Disclosures for AS'!D21)</f>
        <v/>
      </c>
      <c r="E28" s="1715" t="str">
        <f>+IF('Qualitative Disclosures for AS'!E21="","",'Qualitative Disclosures for AS'!E21)</f>
        <v/>
      </c>
      <c r="F28" s="1715" t="str">
        <f>+IF('Qualitative Disclosures for AS'!F21="","",'Qualitative Disclosures for AS'!F21)</f>
        <v/>
      </c>
      <c r="G28" s="1715" t="str">
        <f>+IF('Qualitative Disclosures for AS'!G21="","",'Qualitative Disclosures for AS'!G21)</f>
        <v/>
      </c>
      <c r="H28" s="1715" t="str">
        <f>+IF('Qualitative Disclosures for AS'!H21="","",'Qualitative Disclosures for AS'!H21)</f>
        <v/>
      </c>
      <c r="I28" s="1716" t="str">
        <f>+IF('Qualitative Disclosures for AS'!I21="","",'Qualitative Disclosures for AS'!I21)</f>
        <v/>
      </c>
      <c r="Q28" s="42"/>
    </row>
    <row r="29" spans="3:17" hidden="1" x14ac:dyDescent="0.25">
      <c r="C29" s="1715" t="str">
        <f>+IF('Qualitative Disclosures for AS'!C22="","",'Qualitative Disclosures for AS'!C22)</f>
        <v/>
      </c>
      <c r="D29" s="1715" t="str">
        <f>+IF('Qualitative Disclosures for AS'!D22="","",'Qualitative Disclosures for AS'!D22)</f>
        <v/>
      </c>
      <c r="E29" s="1715" t="str">
        <f>+IF('Qualitative Disclosures for AS'!E22="","",'Qualitative Disclosures for AS'!E22)</f>
        <v/>
      </c>
      <c r="F29" s="1715" t="str">
        <f>+IF('Qualitative Disclosures for AS'!F22="","",'Qualitative Disclosures for AS'!F22)</f>
        <v/>
      </c>
      <c r="G29" s="1715" t="str">
        <f>+IF('Qualitative Disclosures for AS'!G22="","",'Qualitative Disclosures for AS'!G22)</f>
        <v/>
      </c>
      <c r="H29" s="1715" t="str">
        <f>+IF('Qualitative Disclosures for AS'!H22="","",'Qualitative Disclosures for AS'!H22)</f>
        <v/>
      </c>
      <c r="I29" s="1716" t="str">
        <f>+IF('Qualitative Disclosures for AS'!I22="","",'Qualitative Disclosures for AS'!I22)</f>
        <v/>
      </c>
      <c r="Q29" s="42"/>
    </row>
    <row r="30" spans="3:17" hidden="1" x14ac:dyDescent="0.25">
      <c r="C30" s="1715" t="str">
        <f>+IF('Qualitative Disclosures for AS'!C23="","",'Qualitative Disclosures for AS'!C23)</f>
        <v/>
      </c>
      <c r="D30" s="1715" t="str">
        <f>+IF('Qualitative Disclosures for AS'!D23="","",'Qualitative Disclosures for AS'!D23)</f>
        <v/>
      </c>
      <c r="E30" s="1715" t="str">
        <f>+IF('Qualitative Disclosures for AS'!E23="","",'Qualitative Disclosures for AS'!E23)</f>
        <v/>
      </c>
      <c r="F30" s="1715" t="str">
        <f>+IF('Qualitative Disclosures for AS'!F23="","",'Qualitative Disclosures for AS'!F23)</f>
        <v/>
      </c>
      <c r="G30" s="1715" t="str">
        <f>+IF('Qualitative Disclosures for AS'!G23="","",'Qualitative Disclosures for AS'!G23)</f>
        <v/>
      </c>
      <c r="H30" s="1715" t="str">
        <f>+IF('Qualitative Disclosures for AS'!H23="","",'Qualitative Disclosures for AS'!H23)</f>
        <v/>
      </c>
      <c r="I30" s="1716" t="str">
        <f>+IF('Qualitative Disclosures for AS'!I23="","",'Qualitative Disclosures for AS'!I23)</f>
        <v/>
      </c>
      <c r="Q30" s="42"/>
    </row>
    <row r="31" spans="3:17" hidden="1" x14ac:dyDescent="0.25">
      <c r="C31" s="1715" t="str">
        <f>+IF('Qualitative Disclosures for AS'!C24="","",'Qualitative Disclosures for AS'!C24)</f>
        <v/>
      </c>
      <c r="D31" s="1715" t="str">
        <f>+IF('Qualitative Disclosures for AS'!D24="","",'Qualitative Disclosures for AS'!D24)</f>
        <v/>
      </c>
      <c r="E31" s="1715" t="str">
        <f>+IF('Qualitative Disclosures for AS'!E24="","",'Qualitative Disclosures for AS'!E24)</f>
        <v/>
      </c>
      <c r="F31" s="1715" t="str">
        <f>+IF('Qualitative Disclosures for AS'!F24="","",'Qualitative Disclosures for AS'!F24)</f>
        <v/>
      </c>
      <c r="G31" s="1715" t="str">
        <f>+IF('Qualitative Disclosures for AS'!G24="","",'Qualitative Disclosures for AS'!G24)</f>
        <v/>
      </c>
      <c r="H31" s="1715" t="str">
        <f>+IF('Qualitative Disclosures for AS'!H24="","",'Qualitative Disclosures for AS'!H24)</f>
        <v/>
      </c>
      <c r="I31" s="1716" t="str">
        <f>+IF('Qualitative Disclosures for AS'!I24="","",'Qualitative Disclosures for AS'!I24)</f>
        <v/>
      </c>
      <c r="Q31" s="42"/>
    </row>
    <row r="32" spans="3:17" hidden="1" x14ac:dyDescent="0.25">
      <c r="C32" s="1715" t="str">
        <f>+IF('Qualitative Disclosures for AS'!C25="","",'Qualitative Disclosures for AS'!C25)</f>
        <v/>
      </c>
      <c r="D32" s="1715" t="str">
        <f>+IF('Qualitative Disclosures for AS'!D25="","",'Qualitative Disclosures for AS'!D25)</f>
        <v/>
      </c>
      <c r="E32" s="1715" t="str">
        <f>+IF('Qualitative Disclosures for AS'!E25="","",'Qualitative Disclosures for AS'!E25)</f>
        <v/>
      </c>
      <c r="F32" s="1715" t="str">
        <f>+IF('Qualitative Disclosures for AS'!F25="","",'Qualitative Disclosures for AS'!F25)</f>
        <v/>
      </c>
      <c r="G32" s="1715" t="str">
        <f>+IF('Qualitative Disclosures for AS'!G25="","",'Qualitative Disclosures for AS'!G25)</f>
        <v/>
      </c>
      <c r="H32" s="1715" t="str">
        <f>+IF('Qualitative Disclosures for AS'!H25="","",'Qualitative Disclosures for AS'!H25)</f>
        <v/>
      </c>
      <c r="I32" s="1716" t="str">
        <f>+IF('Qualitative Disclosures for AS'!I25="","",'Qualitative Disclosures for AS'!I25)</f>
        <v/>
      </c>
      <c r="Q32" s="42"/>
    </row>
    <row r="33" spans="3:17" hidden="1" x14ac:dyDescent="0.25">
      <c r="C33" s="1715" t="str">
        <f>+IF('Qualitative Disclosures for AS'!C26="","",'Qualitative Disclosures for AS'!C26)</f>
        <v/>
      </c>
      <c r="D33" s="1715" t="str">
        <f>+IF('Qualitative Disclosures for AS'!D26="","",'Qualitative Disclosures for AS'!D26)</f>
        <v/>
      </c>
      <c r="E33" s="1715" t="str">
        <f>+IF('Qualitative Disclosures for AS'!E26="","",'Qualitative Disclosures for AS'!E26)</f>
        <v/>
      </c>
      <c r="F33" s="1715" t="str">
        <f>+IF('Qualitative Disclosures for AS'!F26="","",'Qualitative Disclosures for AS'!F26)</f>
        <v/>
      </c>
      <c r="G33" s="1715" t="str">
        <f>+IF('Qualitative Disclosures for AS'!G26="","",'Qualitative Disclosures for AS'!G26)</f>
        <v/>
      </c>
      <c r="H33" s="1715" t="str">
        <f>+IF('Qualitative Disclosures for AS'!H26="","",'Qualitative Disclosures for AS'!H26)</f>
        <v/>
      </c>
      <c r="I33" s="1716" t="str">
        <f>+IF('Qualitative Disclosures for AS'!I26="","",'Qualitative Disclosures for AS'!I26)</f>
        <v/>
      </c>
      <c r="Q33" s="42"/>
    </row>
    <row r="34" spans="3:17" hidden="1" x14ac:dyDescent="0.25">
      <c r="C34" s="1715" t="str">
        <f>+IF('Qualitative Disclosures for AS'!C27="","",'Qualitative Disclosures for AS'!C27)</f>
        <v/>
      </c>
      <c r="D34" s="1715" t="str">
        <f>+IF('Qualitative Disclosures for AS'!D27="","",'Qualitative Disclosures for AS'!D27)</f>
        <v/>
      </c>
      <c r="E34" s="1715" t="str">
        <f>+IF('Qualitative Disclosures for AS'!E27="","",'Qualitative Disclosures for AS'!E27)</f>
        <v/>
      </c>
      <c r="F34" s="1715" t="str">
        <f>+IF('Qualitative Disclosures for AS'!F27="","",'Qualitative Disclosures for AS'!F27)</f>
        <v/>
      </c>
      <c r="G34" s="1715" t="str">
        <f>+IF('Qualitative Disclosures for AS'!G27="","",'Qualitative Disclosures for AS'!G27)</f>
        <v/>
      </c>
      <c r="H34" s="1715" t="str">
        <f>+IF('Qualitative Disclosures for AS'!H27="","",'Qualitative Disclosures for AS'!H27)</f>
        <v/>
      </c>
      <c r="I34" s="1716" t="str">
        <f>+IF('Qualitative Disclosures for AS'!I27="","",'Qualitative Disclosures for AS'!I27)</f>
        <v/>
      </c>
      <c r="Q34" s="42"/>
    </row>
    <row r="35" spans="3:17" hidden="1" x14ac:dyDescent="0.25">
      <c r="C35" s="1715" t="str">
        <f>+IF('Qualitative Disclosures for AS'!C28="","",'Qualitative Disclosures for AS'!C28)</f>
        <v/>
      </c>
      <c r="D35" s="1715" t="str">
        <f>+IF('Qualitative Disclosures for AS'!D28="","",'Qualitative Disclosures for AS'!D28)</f>
        <v/>
      </c>
      <c r="E35" s="1715" t="str">
        <f>+IF('Qualitative Disclosures for AS'!E28="","",'Qualitative Disclosures for AS'!E28)</f>
        <v/>
      </c>
      <c r="F35" s="1715" t="str">
        <f>+IF('Qualitative Disclosures for AS'!F28="","",'Qualitative Disclosures for AS'!F28)</f>
        <v/>
      </c>
      <c r="G35" s="1715" t="str">
        <f>+IF('Qualitative Disclosures for AS'!G28="","",'Qualitative Disclosures for AS'!G28)</f>
        <v/>
      </c>
      <c r="H35" s="1715" t="str">
        <f>+IF('Qualitative Disclosures for AS'!H28="","",'Qualitative Disclosures for AS'!H28)</f>
        <v/>
      </c>
      <c r="I35" s="1716" t="str">
        <f>+IF('Qualitative Disclosures for AS'!I28="","",'Qualitative Disclosures for AS'!I28)</f>
        <v/>
      </c>
      <c r="Q35" s="42"/>
    </row>
    <row r="36" spans="3:17" hidden="1" x14ac:dyDescent="0.25">
      <c r="C36" s="1715" t="str">
        <f>+IF('Qualitative Disclosures for AS'!C29="","",'Qualitative Disclosures for AS'!C29)</f>
        <v/>
      </c>
      <c r="D36" s="1715" t="str">
        <f>+IF('Qualitative Disclosures for AS'!D29="","",'Qualitative Disclosures for AS'!D29)</f>
        <v/>
      </c>
      <c r="E36" s="1715" t="str">
        <f>+IF('Qualitative Disclosures for AS'!E29="","",'Qualitative Disclosures for AS'!E29)</f>
        <v/>
      </c>
      <c r="F36" s="1715" t="str">
        <f>+IF('Qualitative Disclosures for AS'!F29="","",'Qualitative Disclosures for AS'!F29)</f>
        <v/>
      </c>
      <c r="G36" s="1715" t="str">
        <f>+IF('Qualitative Disclosures for AS'!G29="","",'Qualitative Disclosures for AS'!G29)</f>
        <v/>
      </c>
      <c r="H36" s="1715" t="str">
        <f>+IF('Qualitative Disclosures for AS'!H29="","",'Qualitative Disclosures for AS'!H29)</f>
        <v/>
      </c>
      <c r="I36" s="1716" t="str">
        <f>+IF('Qualitative Disclosures for AS'!I29="","",'Qualitative Disclosures for AS'!I29)</f>
        <v/>
      </c>
      <c r="Q36" s="42"/>
    </row>
    <row r="37" spans="3:17" hidden="1" x14ac:dyDescent="0.25">
      <c r="Q37" s="42"/>
    </row>
    <row r="38" spans="3:17" hidden="1" x14ac:dyDescent="0.25">
      <c r="C38" s="145" t="s">
        <v>1739</v>
      </c>
    </row>
    <row r="39" spans="3:17" hidden="1" x14ac:dyDescent="0.25">
      <c r="C39" s="145"/>
    </row>
    <row r="40" spans="3:17" ht="30" hidden="1" x14ac:dyDescent="0.25">
      <c r="C40" s="851" t="s">
        <v>20</v>
      </c>
      <c r="D40" s="314" t="str">
        <f>BSCY</f>
        <v>As At 31st March 2025</v>
      </c>
      <c r="E40" s="823" t="str">
        <f>BSPY</f>
        <v>As At 31st March 2024</v>
      </c>
    </row>
    <row r="41" spans="3:17" ht="33" hidden="1" x14ac:dyDescent="0.25">
      <c r="C41" s="120" t="s">
        <v>483</v>
      </c>
      <c r="D41" s="106"/>
      <c r="E41" s="139"/>
      <c r="Q41" s="42"/>
    </row>
    <row r="42" spans="3:17" hidden="1" x14ac:dyDescent="0.25">
      <c r="C42" s="288" t="s">
        <v>484</v>
      </c>
      <c r="D42" s="970">
        <f>+'Qualitative Disclosures for AS'!D35</f>
        <v>0</v>
      </c>
      <c r="E42" s="971">
        <f>+'Qualitative Disclosures for AS'!E35</f>
        <v>0</v>
      </c>
      <c r="Q42" s="42"/>
    </row>
    <row r="43" spans="3:17" hidden="1" x14ac:dyDescent="0.25">
      <c r="C43" s="288" t="s">
        <v>485</v>
      </c>
      <c r="D43" s="970">
        <f>+'Qualitative Disclosures for AS'!D36</f>
        <v>0</v>
      </c>
      <c r="E43" s="971">
        <f>+'Qualitative Disclosures for AS'!E36</f>
        <v>0</v>
      </c>
      <c r="Q43" s="42"/>
    </row>
    <row r="44" spans="3:17" hidden="1" x14ac:dyDescent="0.25">
      <c r="C44" s="288" t="s">
        <v>486</v>
      </c>
      <c r="D44" s="972">
        <f>+'Qualitative Disclosures for AS'!D37</f>
        <v>0</v>
      </c>
      <c r="E44" s="973">
        <f>+'Qualitative Disclosures for AS'!E37</f>
        <v>0</v>
      </c>
      <c r="Q44" s="42"/>
    </row>
    <row r="45" spans="3:17" hidden="1" x14ac:dyDescent="0.25">
      <c r="C45" s="120"/>
      <c r="D45" s="970">
        <f>+'Qualitative Disclosures for AS'!D38</f>
        <v>0</v>
      </c>
      <c r="E45" s="971">
        <f>+'Qualitative Disclosures for AS'!E38</f>
        <v>0</v>
      </c>
      <c r="Q45" s="42"/>
    </row>
    <row r="46" spans="3:17" ht="66" hidden="1" x14ac:dyDescent="0.25">
      <c r="C46" s="814" t="s">
        <v>650</v>
      </c>
      <c r="D46" s="108"/>
      <c r="E46" s="143"/>
      <c r="Q46" s="42"/>
    </row>
    <row r="47" spans="3:17" hidden="1" x14ac:dyDescent="0.25">
      <c r="C47" s="147"/>
      <c r="Q47" s="42"/>
    </row>
    <row r="48" spans="3:17" hidden="1" x14ac:dyDescent="0.25">
      <c r="C48" s="1717" t="str">
        <f>+IF('Qualitative Disclosures for AS'!C41="","",'Qualitative Disclosures for AS'!C41)</f>
        <v/>
      </c>
      <c r="D48" s="1715" t="str">
        <f>+IF('Qualitative Disclosures for AS'!D41="","",'Qualitative Disclosures for AS'!D41)</f>
        <v/>
      </c>
      <c r="E48" s="1715" t="str">
        <f>+IF('Qualitative Disclosures for AS'!E41="","",'Qualitative Disclosures for AS'!E41)</f>
        <v/>
      </c>
      <c r="F48" s="1715" t="str">
        <f>+IF('Qualitative Disclosures for AS'!F41="","",'Qualitative Disclosures for AS'!F41)</f>
        <v/>
      </c>
      <c r="G48" s="1715" t="str">
        <f>+IF('Qualitative Disclosures for AS'!G41="","",'Qualitative Disclosures for AS'!G41)</f>
        <v/>
      </c>
      <c r="H48" s="1715" t="str">
        <f>+IF('Qualitative Disclosures for AS'!H41="","",'Qualitative Disclosures for AS'!H41)</f>
        <v/>
      </c>
      <c r="I48" s="1716" t="str">
        <f>+IF('Qualitative Disclosures for AS'!I41="","",'Qualitative Disclosures for AS'!I41)</f>
        <v/>
      </c>
      <c r="Q48" s="42"/>
    </row>
    <row r="49" spans="3:17" hidden="1" x14ac:dyDescent="0.25">
      <c r="C49" s="1717" t="str">
        <f>+IF('Qualitative Disclosures for AS'!C42="","",'Qualitative Disclosures for AS'!C42)</f>
        <v/>
      </c>
      <c r="D49" s="1715" t="str">
        <f>+IF('Qualitative Disclosures for AS'!D42="","",'Qualitative Disclosures for AS'!D42)</f>
        <v/>
      </c>
      <c r="E49" s="1715" t="str">
        <f>+IF('Qualitative Disclosures for AS'!E42="","",'Qualitative Disclosures for AS'!E42)</f>
        <v/>
      </c>
      <c r="F49" s="1715" t="str">
        <f>+IF('Qualitative Disclosures for AS'!F42="","",'Qualitative Disclosures for AS'!F42)</f>
        <v/>
      </c>
      <c r="G49" s="1715" t="str">
        <f>+IF('Qualitative Disclosures for AS'!G42="","",'Qualitative Disclosures for AS'!G42)</f>
        <v/>
      </c>
      <c r="H49" s="1715" t="str">
        <f>+IF('Qualitative Disclosures for AS'!H42="","",'Qualitative Disclosures for AS'!H42)</f>
        <v/>
      </c>
      <c r="I49" s="1716" t="str">
        <f>+IF('Qualitative Disclosures for AS'!I42="","",'Qualitative Disclosures for AS'!I42)</f>
        <v/>
      </c>
      <c r="Q49" s="42"/>
    </row>
    <row r="50" spans="3:17" hidden="1" x14ac:dyDescent="0.25">
      <c r="C50" s="1717" t="str">
        <f>+IF('Qualitative Disclosures for AS'!C43="","",'Qualitative Disclosures for AS'!C43)</f>
        <v/>
      </c>
      <c r="D50" s="1715" t="str">
        <f>+IF('Qualitative Disclosures for AS'!D43="","",'Qualitative Disclosures for AS'!D43)</f>
        <v/>
      </c>
      <c r="E50" s="1715" t="str">
        <f>+IF('Qualitative Disclosures for AS'!E43="","",'Qualitative Disclosures for AS'!E43)</f>
        <v/>
      </c>
      <c r="F50" s="1715" t="str">
        <f>+IF('Qualitative Disclosures for AS'!F43="","",'Qualitative Disclosures for AS'!F43)</f>
        <v/>
      </c>
      <c r="G50" s="1715" t="str">
        <f>+IF('Qualitative Disclosures for AS'!G43="","",'Qualitative Disclosures for AS'!G43)</f>
        <v/>
      </c>
      <c r="H50" s="1715" t="str">
        <f>+IF('Qualitative Disclosures for AS'!H43="","",'Qualitative Disclosures for AS'!H43)</f>
        <v/>
      </c>
      <c r="I50" s="1716" t="str">
        <f>+IF('Qualitative Disclosures for AS'!I43="","",'Qualitative Disclosures for AS'!I43)</f>
        <v/>
      </c>
      <c r="Q50" s="42"/>
    </row>
    <row r="51" spans="3:17" hidden="1" x14ac:dyDescent="0.25">
      <c r="C51" s="1717" t="str">
        <f>+IF('Qualitative Disclosures for AS'!C44="","",'Qualitative Disclosures for AS'!C44)</f>
        <v/>
      </c>
      <c r="D51" s="1715" t="str">
        <f>+IF('Qualitative Disclosures for AS'!D44="","",'Qualitative Disclosures for AS'!D44)</f>
        <v/>
      </c>
      <c r="E51" s="1715" t="str">
        <f>+IF('Qualitative Disclosures for AS'!E44="","",'Qualitative Disclosures for AS'!E44)</f>
        <v/>
      </c>
      <c r="F51" s="1715" t="str">
        <f>+IF('Qualitative Disclosures for AS'!F44="","",'Qualitative Disclosures for AS'!F44)</f>
        <v/>
      </c>
      <c r="G51" s="1715" t="str">
        <f>+IF('Qualitative Disclosures for AS'!G44="","",'Qualitative Disclosures for AS'!G44)</f>
        <v/>
      </c>
      <c r="H51" s="1715" t="str">
        <f>+IF('Qualitative Disclosures for AS'!H44="","",'Qualitative Disclosures for AS'!H44)</f>
        <v/>
      </c>
      <c r="I51" s="1716" t="str">
        <f>+IF('Qualitative Disclosures for AS'!I44="","",'Qualitative Disclosures for AS'!I44)</f>
        <v/>
      </c>
      <c r="Q51" s="42"/>
    </row>
    <row r="52" spans="3:17" hidden="1" x14ac:dyDescent="0.25">
      <c r="C52" s="1717" t="str">
        <f>+IF('Qualitative Disclosures for AS'!C45="","",'Qualitative Disclosures for AS'!C45)</f>
        <v/>
      </c>
      <c r="D52" s="1715" t="str">
        <f>+IF('Qualitative Disclosures for AS'!D45="","",'Qualitative Disclosures for AS'!D45)</f>
        <v/>
      </c>
      <c r="E52" s="1715" t="str">
        <f>+IF('Qualitative Disclosures for AS'!E45="","",'Qualitative Disclosures for AS'!E45)</f>
        <v/>
      </c>
      <c r="F52" s="1715" t="str">
        <f>+IF('Qualitative Disclosures for AS'!F45="","",'Qualitative Disclosures for AS'!F45)</f>
        <v/>
      </c>
      <c r="G52" s="1715" t="str">
        <f>+IF('Qualitative Disclosures for AS'!G45="","",'Qualitative Disclosures for AS'!G45)</f>
        <v/>
      </c>
      <c r="H52" s="1715" t="str">
        <f>+IF('Qualitative Disclosures for AS'!H45="","",'Qualitative Disclosures for AS'!H45)</f>
        <v/>
      </c>
      <c r="I52" s="1716" t="str">
        <f>+IF('Qualitative Disclosures for AS'!I45="","",'Qualitative Disclosures for AS'!I45)</f>
        <v/>
      </c>
      <c r="Q52" s="42"/>
    </row>
    <row r="53" spans="3:17" hidden="1" x14ac:dyDescent="0.25">
      <c r="C53" s="1717" t="str">
        <f>+IF('Qualitative Disclosures for AS'!C46="","",'Qualitative Disclosures for AS'!C46)</f>
        <v/>
      </c>
      <c r="D53" s="1715" t="str">
        <f>+IF('Qualitative Disclosures for AS'!D46="","",'Qualitative Disclosures for AS'!D46)</f>
        <v/>
      </c>
      <c r="E53" s="1715" t="str">
        <f>+IF('Qualitative Disclosures for AS'!E46="","",'Qualitative Disclosures for AS'!E46)</f>
        <v/>
      </c>
      <c r="F53" s="1715" t="str">
        <f>+IF('Qualitative Disclosures for AS'!F46="","",'Qualitative Disclosures for AS'!F46)</f>
        <v/>
      </c>
      <c r="G53" s="1715" t="str">
        <f>+IF('Qualitative Disclosures for AS'!G46="","",'Qualitative Disclosures for AS'!G46)</f>
        <v/>
      </c>
      <c r="H53" s="1715" t="str">
        <f>+IF('Qualitative Disclosures for AS'!H46="","",'Qualitative Disclosures for AS'!H46)</f>
        <v/>
      </c>
      <c r="I53" s="1716" t="str">
        <f>+IF('Qualitative Disclosures for AS'!I46="","",'Qualitative Disclosures for AS'!I46)</f>
        <v/>
      </c>
      <c r="Q53" s="42"/>
    </row>
    <row r="54" spans="3:17" hidden="1" x14ac:dyDescent="0.25">
      <c r="C54" s="1717" t="str">
        <f>+IF('Qualitative Disclosures for AS'!C47="","",'Qualitative Disclosures for AS'!C47)</f>
        <v/>
      </c>
      <c r="D54" s="1715" t="str">
        <f>+IF('Qualitative Disclosures for AS'!D47="","",'Qualitative Disclosures for AS'!D47)</f>
        <v/>
      </c>
      <c r="E54" s="1715" t="str">
        <f>+IF('Qualitative Disclosures for AS'!E47="","",'Qualitative Disclosures for AS'!E47)</f>
        <v/>
      </c>
      <c r="F54" s="1715" t="str">
        <f>+IF('Qualitative Disclosures for AS'!F47="","",'Qualitative Disclosures for AS'!F47)</f>
        <v/>
      </c>
      <c r="G54" s="1715" t="str">
        <f>+IF('Qualitative Disclosures for AS'!G47="","",'Qualitative Disclosures for AS'!G47)</f>
        <v/>
      </c>
      <c r="H54" s="1715" t="str">
        <f>+IF('Qualitative Disclosures for AS'!H47="","",'Qualitative Disclosures for AS'!H47)</f>
        <v/>
      </c>
      <c r="I54" s="1716" t="str">
        <f>+IF('Qualitative Disclosures for AS'!I47="","",'Qualitative Disclosures for AS'!I47)</f>
        <v/>
      </c>
      <c r="Q54" s="42"/>
    </row>
    <row r="55" spans="3:17" hidden="1" x14ac:dyDescent="0.25">
      <c r="C55" s="1717" t="str">
        <f>+IF('Qualitative Disclosures for AS'!C48="","",'Qualitative Disclosures for AS'!C48)</f>
        <v/>
      </c>
      <c r="D55" s="1715" t="str">
        <f>+IF('Qualitative Disclosures for AS'!D48="","",'Qualitative Disclosures for AS'!D48)</f>
        <v/>
      </c>
      <c r="E55" s="1715" t="str">
        <f>+IF('Qualitative Disclosures for AS'!E48="","",'Qualitative Disclosures for AS'!E48)</f>
        <v/>
      </c>
      <c r="F55" s="1715" t="str">
        <f>+IF('Qualitative Disclosures for AS'!F48="","",'Qualitative Disclosures for AS'!F48)</f>
        <v/>
      </c>
      <c r="G55" s="1715" t="str">
        <f>+IF('Qualitative Disclosures for AS'!G48="","",'Qualitative Disclosures for AS'!G48)</f>
        <v/>
      </c>
      <c r="H55" s="1715" t="str">
        <f>+IF('Qualitative Disclosures for AS'!H48="","",'Qualitative Disclosures for AS'!H48)</f>
        <v/>
      </c>
      <c r="I55" s="1716" t="str">
        <f>+IF('Qualitative Disclosures for AS'!I48="","",'Qualitative Disclosures for AS'!I48)</f>
        <v/>
      </c>
      <c r="Q55" s="42"/>
    </row>
    <row r="56" spans="3:17" hidden="1" x14ac:dyDescent="0.25">
      <c r="C56" s="1717" t="str">
        <f>+IF('Qualitative Disclosures for AS'!C49="","",'Qualitative Disclosures for AS'!C49)</f>
        <v/>
      </c>
      <c r="D56" s="1715" t="str">
        <f>+IF('Qualitative Disclosures for AS'!D49="","",'Qualitative Disclosures for AS'!D49)</f>
        <v/>
      </c>
      <c r="E56" s="1715" t="str">
        <f>+IF('Qualitative Disclosures for AS'!E49="","",'Qualitative Disclosures for AS'!E49)</f>
        <v/>
      </c>
      <c r="F56" s="1715" t="str">
        <f>+IF('Qualitative Disclosures for AS'!F49="","",'Qualitative Disclosures for AS'!F49)</f>
        <v/>
      </c>
      <c r="G56" s="1715" t="str">
        <f>+IF('Qualitative Disclosures for AS'!G49="","",'Qualitative Disclosures for AS'!G49)</f>
        <v/>
      </c>
      <c r="H56" s="1715" t="str">
        <f>+IF('Qualitative Disclosures for AS'!H49="","",'Qualitative Disclosures for AS'!H49)</f>
        <v/>
      </c>
      <c r="I56" s="1716" t="str">
        <f>+IF('Qualitative Disclosures for AS'!I49="","",'Qualitative Disclosures for AS'!I49)</f>
        <v/>
      </c>
      <c r="Q56" s="42"/>
    </row>
    <row r="57" spans="3:17" hidden="1" x14ac:dyDescent="0.25">
      <c r="C57" s="1717" t="str">
        <f>+IF('Qualitative Disclosures for AS'!C50="","",'Qualitative Disclosures for AS'!C50)</f>
        <v/>
      </c>
      <c r="D57" s="1715" t="str">
        <f>+IF('Qualitative Disclosures for AS'!D50="","",'Qualitative Disclosures for AS'!D50)</f>
        <v/>
      </c>
      <c r="E57" s="1715" t="str">
        <f>+IF('Qualitative Disclosures for AS'!E50="","",'Qualitative Disclosures for AS'!E50)</f>
        <v/>
      </c>
      <c r="F57" s="1715" t="str">
        <f>+IF('Qualitative Disclosures for AS'!F50="","",'Qualitative Disclosures for AS'!F50)</f>
        <v/>
      </c>
      <c r="G57" s="1715" t="str">
        <f>+IF('Qualitative Disclosures for AS'!G50="","",'Qualitative Disclosures for AS'!G50)</f>
        <v/>
      </c>
      <c r="H57" s="1715" t="str">
        <f>+IF('Qualitative Disclosures for AS'!H50="","",'Qualitative Disclosures for AS'!H50)</f>
        <v/>
      </c>
      <c r="I57" s="1716" t="str">
        <f>+IF('Qualitative Disclosures for AS'!I50="","",'Qualitative Disclosures for AS'!I50)</f>
        <v/>
      </c>
      <c r="Q57" s="42"/>
    </row>
    <row r="58" spans="3:17" hidden="1" x14ac:dyDescent="0.25">
      <c r="C58" s="1717" t="str">
        <f>+IF('Qualitative Disclosures for AS'!C51="","",'Qualitative Disclosures for AS'!C51)</f>
        <v/>
      </c>
      <c r="D58" s="1715" t="str">
        <f>+IF('Qualitative Disclosures for AS'!D51="","",'Qualitative Disclosures for AS'!D51)</f>
        <v/>
      </c>
      <c r="E58" s="1715" t="str">
        <f>+IF('Qualitative Disclosures for AS'!E51="","",'Qualitative Disclosures for AS'!E51)</f>
        <v/>
      </c>
      <c r="F58" s="1715" t="str">
        <f>+IF('Qualitative Disclosures for AS'!F51="","",'Qualitative Disclosures for AS'!F51)</f>
        <v/>
      </c>
      <c r="G58" s="1715" t="str">
        <f>+IF('Qualitative Disclosures for AS'!G51="","",'Qualitative Disclosures for AS'!G51)</f>
        <v/>
      </c>
      <c r="H58" s="1715" t="str">
        <f>+IF('Qualitative Disclosures for AS'!H51="","",'Qualitative Disclosures for AS'!H51)</f>
        <v/>
      </c>
      <c r="I58" s="1716" t="str">
        <f>+IF('Qualitative Disclosures for AS'!I51="","",'Qualitative Disclosures for AS'!I51)</f>
        <v/>
      </c>
      <c r="Q58" s="42"/>
    </row>
    <row r="59" spans="3:17" hidden="1" x14ac:dyDescent="0.25">
      <c r="C59" s="1717" t="str">
        <f>+IF('Qualitative Disclosures for AS'!C52="","",'Qualitative Disclosures for AS'!C52)</f>
        <v/>
      </c>
      <c r="D59" s="1715" t="str">
        <f>+IF('Qualitative Disclosures for AS'!D52="","",'Qualitative Disclosures for AS'!D52)</f>
        <v/>
      </c>
      <c r="E59" s="1715" t="str">
        <f>+IF('Qualitative Disclosures for AS'!E52="","",'Qualitative Disclosures for AS'!E52)</f>
        <v/>
      </c>
      <c r="F59" s="1715" t="str">
        <f>+IF('Qualitative Disclosures for AS'!F52="","",'Qualitative Disclosures for AS'!F52)</f>
        <v/>
      </c>
      <c r="G59" s="1715" t="str">
        <f>+IF('Qualitative Disclosures for AS'!G52="","",'Qualitative Disclosures for AS'!G52)</f>
        <v/>
      </c>
      <c r="H59" s="1715" t="str">
        <f>+IF('Qualitative Disclosures for AS'!H52="","",'Qualitative Disclosures for AS'!H52)</f>
        <v/>
      </c>
      <c r="I59" s="1716" t="str">
        <f>+IF('Qualitative Disclosures for AS'!I52="","",'Qualitative Disclosures for AS'!I52)</f>
        <v/>
      </c>
      <c r="Q59" s="42"/>
    </row>
    <row r="60" spans="3:17" hidden="1" x14ac:dyDescent="0.25">
      <c r="Q60" s="42"/>
    </row>
    <row r="61" spans="3:17" hidden="1" x14ac:dyDescent="0.25">
      <c r="C61" s="145" t="str">
        <f>+IF('Qualitative Disclosures for AS'!C54="","",'Qualitative Disclosures for AS'!C54)</f>
        <v>Details of amalgamations (AS 14)</v>
      </c>
    </row>
    <row r="62" spans="3:17" hidden="1" x14ac:dyDescent="0.25"/>
    <row r="63" spans="3:17" hidden="1" x14ac:dyDescent="0.25">
      <c r="C63" s="2955" t="str">
        <f>+IF('Qualitative Disclosures for AS'!C56="","",'Qualitative Disclosures for AS'!C56)</f>
        <v>In terms of the Scheme of Arrangement (the Scheme), __________ and __________________, both subsidiaries of the Company (referred to as ‘Transferor Companies’), have been merged with the Company (Transferee Company), upon which the undertaking and the entire business, including all assets and liabilities of the Transferor Companies stand transferred to and vested in the Transferee Company. The amalgamation has been accounted under the purchase method and the assets and liabilities transferred have been recorded at their fair value as determined by the Board of Directors of the Transferee Company (or alternatively at their book values). ____ and ______ were engaged in the manufacture of _________________ and were predominantly acting as a captive manufacturer for the Company.
The Scheme filed by the Company has been approved by the Honourable High Courts of Judicature at Mumbai, Chennai and Bangalore with an appointed date of 1 January, 200X and an effective date of 31 December, 200X (‘the Effective Date’), being the date on which all the requirements under the Companies Act, 1956 have been completed.</v>
      </c>
      <c r="D63" s="2956" t="str">
        <f>+IF('Qualitative Disclosures for AS'!D56="","",'Qualitative Disclosures for AS'!D56)</f>
        <v/>
      </c>
      <c r="E63" s="2957" t="str">
        <f>+IF('Qualitative Disclosures for AS'!E56="","",'Qualitative Disclosures for AS'!E56)</f>
        <v/>
      </c>
    </row>
    <row r="64" spans="3:17" hidden="1" x14ac:dyDescent="0.25">
      <c r="C64" s="2958" t="str">
        <f>+IF('Qualitative Disclosures for AS'!C57="","",'Qualitative Disclosures for AS'!C57)</f>
        <v>Pursuant to the Scheme, the Company allotted ____ equity shares of ` __/- each (__% of shares in the Transferor Company and ___% of shares in the Transferee Company) to the minority shareholders in the Transferor Companies.</v>
      </c>
      <c r="D64" s="2959" t="str">
        <f>+IF('Qualitative Disclosures for AS'!D57="","",'Qualitative Disclosures for AS'!D57)</f>
        <v/>
      </c>
      <c r="E64" s="2960" t="str">
        <f>+IF('Qualitative Disclosures for AS'!E57="","",'Qualitative Disclosures for AS'!E57)</f>
        <v/>
      </c>
    </row>
    <row r="65" spans="3:17" hidden="1" x14ac:dyDescent="0.25">
      <c r="C65" s="2958" t="str">
        <f>+IF('Qualitative Disclosures for AS'!C58="","",'Qualitative Disclosures for AS'!C58)</f>
        <v>Details of assets and liabilities acquired on amalgamation and treatment of the difference between the net assets acquired and cost of investment by the Transferee Company in the Transferor Companies together with the shares issued to the minority shareholders:</v>
      </c>
      <c r="D65" s="2959" t="str">
        <f>+IF('Qualitative Disclosures for AS'!D58="","",'Qualitative Disclosures for AS'!D58)</f>
        <v/>
      </c>
      <c r="E65" s="2960" t="str">
        <f>+IF('Qualitative Disclosures for AS'!E58="","",'Qualitative Disclosures for AS'!E58)</f>
        <v/>
      </c>
    </row>
    <row r="66" spans="3:17" hidden="1" x14ac:dyDescent="0.25">
      <c r="C66" s="974" t="str">
        <f>+IF('Qualitative Disclosures for AS'!C59="","",'Qualitative Disclosures for AS'!C59)</f>
        <v/>
      </c>
      <c r="D66" s="2961" t="str">
        <f>+IF('Qualitative Disclosures for AS'!D59="","",'Qualitative Disclosures for AS'!D59)</f>
        <v>As At 31st March 2025</v>
      </c>
      <c r="E66" s="2961" t="str">
        <f>+IF('Qualitative Disclosures for AS'!E59="","",'Qualitative Disclosures for AS'!E59)</f>
        <v/>
      </c>
    </row>
    <row r="67" spans="3:17" hidden="1" x14ac:dyDescent="0.25">
      <c r="C67" s="130" t="str">
        <f>+IF('Qualitative Disclosures for AS'!C60="","",'Qualitative Disclosures for AS'!C60)</f>
        <v>Value of assets and liabilities acquired:</v>
      </c>
      <c r="D67" s="607" t="str">
        <f>+IF('Qualitative Disclosures for AS'!D60="","",'Qualitative Disclosures for AS'!D60)</f>
        <v/>
      </c>
      <c r="E67" s="975" t="str">
        <f>+IF('Qualitative Disclosures for AS'!E60="","",'Qualitative Disclosures for AS'!E60)</f>
        <v/>
      </c>
    </row>
    <row r="68" spans="3:17" hidden="1" x14ac:dyDescent="0.3">
      <c r="C68" s="130" t="str">
        <f>+IF('Qualitative Disclosures for AS'!C61="","",'Qualitative Disclosures for AS'!C61)</f>
        <v>Fixed assets</v>
      </c>
      <c r="D68" s="979" t="str">
        <f>+IF('Qualitative Disclosures for AS'!D61="","",'Qualitative Disclosures for AS'!D61)</f>
        <v/>
      </c>
      <c r="E68" s="981" t="str">
        <f>+IF('Qualitative Disclosures for AS'!E61="","",'Qualitative Disclosures for AS'!E61)</f>
        <v/>
      </c>
      <c r="Q68" s="42"/>
    </row>
    <row r="69" spans="3:17" hidden="1" x14ac:dyDescent="0.3">
      <c r="C69" s="130" t="str">
        <f>+IF('Qualitative Disclosures for AS'!C62="","",'Qualitative Disclosures for AS'!C62)</f>
        <v>Net current assets (give details)</v>
      </c>
      <c r="D69" s="978" t="str">
        <f>+IF('Qualitative Disclosures for AS'!D62="","",'Qualitative Disclosures for AS'!D62)</f>
        <v/>
      </c>
      <c r="E69" s="979" t="str">
        <f>+IF('Qualitative Disclosures for AS'!E62="","",'Qualitative Disclosures for AS'!E62)</f>
        <v/>
      </c>
      <c r="Q69" s="42"/>
    </row>
    <row r="70" spans="3:17" hidden="1" x14ac:dyDescent="0.3">
      <c r="C70" s="130" t="str">
        <f>+IF('Qualitative Disclosures for AS'!C63="","",'Qualitative Disclosures for AS'!C63)</f>
        <v>Secured loans</v>
      </c>
      <c r="D70" s="978" t="str">
        <f>+IF('Qualitative Disclosures for AS'!D63="","",'Qualitative Disclosures for AS'!D63)</f>
        <v/>
      </c>
      <c r="E70" s="979" t="str">
        <f>+IF('Qualitative Disclosures for AS'!E63="","",'Qualitative Disclosures for AS'!E63)</f>
        <v/>
      </c>
      <c r="Q70" s="42"/>
    </row>
    <row r="71" spans="3:17" hidden="1" x14ac:dyDescent="0.3">
      <c r="C71" s="130" t="str">
        <f>+IF('Qualitative Disclosures for AS'!C64="","",'Qualitative Disclosures for AS'!C64)</f>
        <v>Unsecured loans</v>
      </c>
      <c r="D71" s="976" t="str">
        <f>+IF('Qualitative Disclosures for AS'!D64="","",'Qualitative Disclosures for AS'!D64)</f>
        <v/>
      </c>
      <c r="E71" s="977" t="str">
        <f>+IF('Qualitative Disclosures for AS'!E64="","",'Qualitative Disclosures for AS'!E64)</f>
        <v/>
      </c>
      <c r="Q71" s="42"/>
    </row>
    <row r="72" spans="3:17" hidden="1" x14ac:dyDescent="0.3">
      <c r="C72" s="130" t="str">
        <f>+IF('Qualitative Disclosures for AS'!C65="","",'Qualitative Disclosures for AS'!C65)</f>
        <v/>
      </c>
      <c r="D72" s="978" t="str">
        <f>+IF('Qualitative Disclosures for AS'!D65="","",'Qualitative Disclosures for AS'!D65)</f>
        <v/>
      </c>
      <c r="E72" s="979" t="str">
        <f>+IF('Qualitative Disclosures for AS'!E65="","",'Qualitative Disclosures for AS'!E65)</f>
        <v/>
      </c>
      <c r="Q72" s="42"/>
    </row>
    <row r="73" spans="3:17" hidden="1" x14ac:dyDescent="0.3">
      <c r="C73" s="130" t="str">
        <f>+IF('Qualitative Disclosures for AS'!C66="","",'Qualitative Disclosures for AS'!C66)</f>
        <v xml:space="preserve">Less: </v>
      </c>
      <c r="D73" s="978" t="str">
        <f>+IF('Qualitative Disclosures for AS'!D66="","",'Qualitative Disclosures for AS'!D66)</f>
        <v/>
      </c>
      <c r="E73" s="979" t="str">
        <f>+IF('Qualitative Disclosures for AS'!E66="","",'Qualitative Disclosures for AS'!E66)</f>
        <v/>
      </c>
      <c r="Q73" s="42"/>
    </row>
    <row r="74" spans="3:17" hidden="1" x14ac:dyDescent="0.3">
      <c r="C74" s="130" t="str">
        <f>+IF('Qualitative Disclosures for AS'!C67="","",'Qualitative Disclosures for AS'!C67)</f>
        <v>Carrying value of investments in the Transferor Companies</v>
      </c>
      <c r="D74" s="979" t="str">
        <f>+IF('Qualitative Disclosures for AS'!D67="","",'Qualitative Disclosures for AS'!D67)</f>
        <v/>
      </c>
      <c r="E74" s="979" t="str">
        <f>+IF('Qualitative Disclosures for AS'!E67="","",'Qualitative Disclosures for AS'!E67)</f>
        <v/>
      </c>
      <c r="Q74" s="42"/>
    </row>
    <row r="75" spans="3:17" hidden="1" x14ac:dyDescent="0.3">
      <c r="C75" s="130" t="str">
        <f>+IF('Qualitative Disclosures for AS'!C68="","",'Qualitative Disclosures for AS'!C68)</f>
        <v>Value of shares of the Company issued to the minority shareholders</v>
      </c>
      <c r="D75" s="979" t="str">
        <f>+IF('Qualitative Disclosures for AS'!D68="","",'Qualitative Disclosures for AS'!D68)</f>
        <v/>
      </c>
      <c r="E75" s="979" t="str">
        <f>+IF('Qualitative Disclosures for AS'!E68="","",'Qualitative Disclosures for AS'!E68)</f>
        <v/>
      </c>
      <c r="Q75" s="42"/>
    </row>
    <row r="76" spans="3:17" hidden="1" x14ac:dyDescent="0.3">
      <c r="C76" s="130" t="str">
        <f>+IF('Qualitative Disclosures for AS'!C69="","",'Qualitative Disclosures for AS'!C69)</f>
        <v/>
      </c>
      <c r="D76" s="979" t="str">
        <f>+IF('Qualitative Disclosures for AS'!D69="","",'Qualitative Disclosures for AS'!D69)</f>
        <v/>
      </c>
      <c r="E76" s="977" t="str">
        <f>+IF('Qualitative Disclosures for AS'!E69="","",'Qualitative Disclosures for AS'!E69)</f>
        <v/>
      </c>
      <c r="Q76" s="42"/>
    </row>
    <row r="77" spans="3:17" hidden="1" x14ac:dyDescent="0.3">
      <c r="C77" s="814" t="str">
        <f>+IF('Qualitative Disclosures for AS'!C70="","",'Qualitative Disclosures for AS'!C70)</f>
        <v>Difference considered as goodwill / capital reserve</v>
      </c>
      <c r="D77" s="980" t="str">
        <f>+IF('Qualitative Disclosures for AS'!D70="","",'Qualitative Disclosures for AS'!D70)</f>
        <v/>
      </c>
      <c r="E77" s="980" t="str">
        <f>+IF('Qualitative Disclosures for AS'!E70="","",'Qualitative Disclosures for AS'!E70)</f>
        <v/>
      </c>
      <c r="Q77" s="42"/>
    </row>
    <row r="78" spans="3:17" hidden="1" x14ac:dyDescent="0.25">
      <c r="C78" s="18" t="str">
        <f>+IF('Qualitative Disclosures for AS'!C71="","",'Qualitative Disclosures for AS'!C71)</f>
        <v/>
      </c>
      <c r="D78" s="18" t="str">
        <f>+IF('Qualitative Disclosures for AS'!D71="","",'Qualitative Disclosures for AS'!D71)</f>
        <v/>
      </c>
      <c r="E78" s="18" t="str">
        <f>+IF('Qualitative Disclosures for AS'!E71="","",'Qualitative Disclosures for AS'!E71)</f>
        <v/>
      </c>
      <c r="Q78" s="42"/>
    </row>
    <row r="79" spans="3:17" hidden="1" x14ac:dyDescent="0.25">
      <c r="C79" s="1715" t="str">
        <f>+IF('Qualitative Disclosures for AS'!C72="","",'Qualitative Disclosures for AS'!C72)</f>
        <v/>
      </c>
      <c r="D79" s="1715" t="str">
        <f>+IF('Qualitative Disclosures for AS'!D72="","",'Qualitative Disclosures for AS'!D72)</f>
        <v/>
      </c>
      <c r="E79" s="1715" t="str">
        <f>+IF('Qualitative Disclosures for AS'!E72="","",'Qualitative Disclosures for AS'!E72)</f>
        <v/>
      </c>
      <c r="F79" s="1715"/>
      <c r="G79" s="1715"/>
      <c r="H79" s="1715"/>
      <c r="I79" s="1716"/>
      <c r="Q79" s="42"/>
    </row>
    <row r="80" spans="3:17" hidden="1" x14ac:dyDescent="0.25">
      <c r="C80" s="1715" t="str">
        <f>+IF('Qualitative Disclosures for AS'!C73="","",'Qualitative Disclosures for AS'!C73)</f>
        <v/>
      </c>
      <c r="D80" s="1715" t="str">
        <f>+IF('Qualitative Disclosures for AS'!D73="","",'Qualitative Disclosures for AS'!D73)</f>
        <v/>
      </c>
      <c r="E80" s="1715" t="str">
        <f>+IF('Qualitative Disclosures for AS'!E73="","",'Qualitative Disclosures for AS'!E73)</f>
        <v/>
      </c>
      <c r="F80" s="1715"/>
      <c r="G80" s="1715"/>
      <c r="H80" s="1715"/>
      <c r="I80" s="1716"/>
      <c r="Q80" s="42"/>
    </row>
    <row r="81" spans="3:17" hidden="1" x14ac:dyDescent="0.25">
      <c r="C81" s="1715" t="str">
        <f>+IF('Qualitative Disclosures for AS'!C74="","",'Qualitative Disclosures for AS'!C74)</f>
        <v/>
      </c>
      <c r="D81" s="1715" t="str">
        <f>+IF('Qualitative Disclosures for AS'!D74="","",'Qualitative Disclosures for AS'!D74)</f>
        <v/>
      </c>
      <c r="E81" s="1715" t="str">
        <f>+IF('Qualitative Disclosures for AS'!E74="","",'Qualitative Disclosures for AS'!E74)</f>
        <v/>
      </c>
      <c r="F81" s="1715"/>
      <c r="G81" s="1715"/>
      <c r="H81" s="1715"/>
      <c r="I81" s="1716"/>
      <c r="Q81" s="42"/>
    </row>
    <row r="82" spans="3:17" hidden="1" x14ac:dyDescent="0.25">
      <c r="C82" s="1715" t="str">
        <f>+IF('Qualitative Disclosures for AS'!C75="","",'Qualitative Disclosures for AS'!C75)</f>
        <v/>
      </c>
      <c r="D82" s="1715" t="str">
        <f>+IF('Qualitative Disclosures for AS'!D75="","",'Qualitative Disclosures for AS'!D75)</f>
        <v/>
      </c>
      <c r="E82" s="1715" t="str">
        <f>+IF('Qualitative Disclosures for AS'!E75="","",'Qualitative Disclosures for AS'!E75)</f>
        <v/>
      </c>
      <c r="F82" s="1715"/>
      <c r="G82" s="1715"/>
      <c r="H82" s="1715"/>
      <c r="I82" s="1716"/>
      <c r="Q82" s="42"/>
    </row>
    <row r="83" spans="3:17" hidden="1" x14ac:dyDescent="0.25">
      <c r="C83" s="1715" t="str">
        <f>+IF('Qualitative Disclosures for AS'!C76="","",'Qualitative Disclosures for AS'!C76)</f>
        <v/>
      </c>
      <c r="D83" s="1715" t="str">
        <f>+IF('Qualitative Disclosures for AS'!D76="","",'Qualitative Disclosures for AS'!D76)</f>
        <v/>
      </c>
      <c r="E83" s="1715" t="str">
        <f>+IF('Qualitative Disclosures for AS'!E76="","",'Qualitative Disclosures for AS'!E76)</f>
        <v/>
      </c>
      <c r="F83" s="1715"/>
      <c r="G83" s="1715"/>
      <c r="H83" s="1715"/>
      <c r="I83" s="1716"/>
      <c r="Q83" s="42"/>
    </row>
    <row r="84" spans="3:17" hidden="1" x14ac:dyDescent="0.25">
      <c r="C84" s="1715" t="str">
        <f>+IF('Qualitative Disclosures for AS'!C77="","",'Qualitative Disclosures for AS'!C77)</f>
        <v/>
      </c>
      <c r="D84" s="1715" t="str">
        <f>+IF('Qualitative Disclosures for AS'!D77="","",'Qualitative Disclosures for AS'!D77)</f>
        <v/>
      </c>
      <c r="E84" s="1715" t="str">
        <f>+IF('Qualitative Disclosures for AS'!E77="","",'Qualitative Disclosures for AS'!E77)</f>
        <v/>
      </c>
      <c r="F84" s="1715"/>
      <c r="G84" s="1715"/>
      <c r="H84" s="1715"/>
      <c r="I84" s="1716"/>
      <c r="Q84" s="42"/>
    </row>
    <row r="85" spans="3:17" hidden="1" x14ac:dyDescent="0.25">
      <c r="C85" s="1715" t="str">
        <f>+IF('Qualitative Disclosures for AS'!C78="","",'Qualitative Disclosures for AS'!C78)</f>
        <v/>
      </c>
      <c r="D85" s="1715" t="str">
        <f>+IF('Qualitative Disclosures for AS'!D78="","",'Qualitative Disclosures for AS'!D78)</f>
        <v/>
      </c>
      <c r="E85" s="1715" t="str">
        <f>+IF('Qualitative Disclosures for AS'!E78="","",'Qualitative Disclosures for AS'!E78)</f>
        <v/>
      </c>
      <c r="F85" s="1715"/>
      <c r="G85" s="1715"/>
      <c r="H85" s="1715"/>
      <c r="I85" s="1716"/>
      <c r="Q85" s="42"/>
    </row>
    <row r="86" spans="3:17" hidden="1" x14ac:dyDescent="0.25">
      <c r="C86" s="1715" t="str">
        <f>+IF('Qualitative Disclosures for AS'!C79="","",'Qualitative Disclosures for AS'!C79)</f>
        <v/>
      </c>
      <c r="D86" s="1715" t="str">
        <f>+IF('Qualitative Disclosures for AS'!D79="","",'Qualitative Disclosures for AS'!D79)</f>
        <v/>
      </c>
      <c r="E86" s="1715" t="str">
        <f>+IF('Qualitative Disclosures for AS'!E79="","",'Qualitative Disclosures for AS'!E79)</f>
        <v/>
      </c>
      <c r="F86" s="1715"/>
      <c r="G86" s="1715"/>
      <c r="H86" s="1715"/>
      <c r="I86" s="1716"/>
      <c r="Q86" s="42"/>
    </row>
    <row r="87" spans="3:17" hidden="1" x14ac:dyDescent="0.25">
      <c r="C87" s="1715" t="str">
        <f>+IF('Qualitative Disclosures for AS'!C80="","",'Qualitative Disclosures for AS'!C80)</f>
        <v/>
      </c>
      <c r="D87" s="1715" t="str">
        <f>+IF('Qualitative Disclosures for AS'!D80="","",'Qualitative Disclosures for AS'!D80)</f>
        <v/>
      </c>
      <c r="E87" s="1715" t="str">
        <f>+IF('Qualitative Disclosures for AS'!E80="","",'Qualitative Disclosures for AS'!E80)</f>
        <v/>
      </c>
      <c r="F87" s="1715"/>
      <c r="G87" s="1715"/>
      <c r="H87" s="1715"/>
      <c r="I87" s="1716"/>
      <c r="Q87" s="42"/>
    </row>
    <row r="88" spans="3:17" hidden="1" x14ac:dyDescent="0.25">
      <c r="C88" s="1715" t="str">
        <f>+IF('Qualitative Disclosures for AS'!C81="","",'Qualitative Disclosures for AS'!C81)</f>
        <v/>
      </c>
      <c r="D88" s="1715" t="str">
        <f>+IF('Qualitative Disclosures for AS'!D81="","",'Qualitative Disclosures for AS'!D81)</f>
        <v/>
      </c>
      <c r="E88" s="1715" t="str">
        <f>+IF('Qualitative Disclosures for AS'!E81="","",'Qualitative Disclosures for AS'!E81)</f>
        <v/>
      </c>
      <c r="F88" s="1715"/>
      <c r="G88" s="1715"/>
      <c r="H88" s="1715"/>
      <c r="I88" s="1716"/>
      <c r="Q88" s="42"/>
    </row>
    <row r="89" spans="3:17" hidden="1" x14ac:dyDescent="0.25">
      <c r="C89" s="1715" t="str">
        <f>+IF('Qualitative Disclosures for AS'!C82="","",'Qualitative Disclosures for AS'!C82)</f>
        <v/>
      </c>
      <c r="D89" s="1715" t="str">
        <f>+IF('Qualitative Disclosures for AS'!D82="","",'Qualitative Disclosures for AS'!D82)</f>
        <v/>
      </c>
      <c r="E89" s="1715" t="str">
        <f>+IF('Qualitative Disclosures for AS'!E82="","",'Qualitative Disclosures for AS'!E82)</f>
        <v/>
      </c>
      <c r="F89" s="1715"/>
      <c r="G89" s="1715"/>
      <c r="H89" s="1715"/>
      <c r="I89" s="1716"/>
      <c r="Q89" s="42"/>
    </row>
    <row r="90" spans="3:17" hidden="1" x14ac:dyDescent="0.25">
      <c r="C90" s="1715" t="str">
        <f>+IF('Qualitative Disclosures for AS'!C83="","",'Qualitative Disclosures for AS'!C83)</f>
        <v/>
      </c>
      <c r="D90" s="1715" t="str">
        <f>+IF('Qualitative Disclosures for AS'!D83="","",'Qualitative Disclosures for AS'!D83)</f>
        <v/>
      </c>
      <c r="E90" s="1715" t="str">
        <f>+IF('Qualitative Disclosures for AS'!E83="","",'Qualitative Disclosures for AS'!E83)</f>
        <v/>
      </c>
      <c r="F90" s="1715"/>
      <c r="G90" s="1715"/>
      <c r="H90" s="1715"/>
      <c r="I90" s="1716"/>
      <c r="Q90" s="42"/>
    </row>
    <row r="91" spans="3:17" hidden="1" x14ac:dyDescent="0.25"/>
    <row r="92" spans="3:17" hidden="1" x14ac:dyDescent="0.25">
      <c r="C92" s="145" t="str">
        <f>+IF('Qualitative Disclosures for AS'!C228="","",'Qualitative Disclosures for AS'!C228)</f>
        <v>Details of borrowing costs capitalised (AS 16)</v>
      </c>
    </row>
    <row r="93" spans="3:17" hidden="1" x14ac:dyDescent="0.25"/>
    <row r="94" spans="3:17" ht="30" hidden="1" x14ac:dyDescent="0.25">
      <c r="C94" s="851" t="str">
        <f>+IF('Qualitative Disclosures for AS'!C230="","",'Qualitative Disclosures for AS'!C230)</f>
        <v>Particulars</v>
      </c>
      <c r="D94" s="314" t="str">
        <f>+IF('Qualitative Disclosures for AS'!D230="","",'Qualitative Disclosures for AS'!D230)</f>
        <v>As At 31st March 2025</v>
      </c>
      <c r="E94" s="823" t="str">
        <f>+IF('Qualitative Disclosures for AS'!E230="","",'Qualitative Disclosures for AS'!E230)</f>
        <v>As At 31st March 2024</v>
      </c>
    </row>
    <row r="95" spans="3:17" hidden="1" x14ac:dyDescent="0.25">
      <c r="C95" s="107" t="str">
        <f>+IF('Qualitative Disclosures for AS'!C231="","",'Qualitative Disclosures for AS'!C231)</f>
        <v>Borrowing costs capitalised during the year</v>
      </c>
      <c r="D95" s="970" t="str">
        <f>+IF('Qualitative Disclosures for AS'!D231="","",'Qualitative Disclosures for AS'!D231)</f>
        <v/>
      </c>
      <c r="E95" s="971" t="str">
        <f>+IF('Qualitative Disclosures for AS'!E231="","",'Qualitative Disclosures for AS'!E231)</f>
        <v/>
      </c>
      <c r="Q95" s="42"/>
    </row>
    <row r="96" spans="3:17" ht="33" hidden="1" x14ac:dyDescent="0.25">
      <c r="C96" s="816" t="str">
        <f>+IF('Qualitative Disclosures for AS'!C232="","",'Qualitative Disclosures for AS'!C232)</f>
        <v>- as fixed assets / intangible assets / capital 
work-in-progress</v>
      </c>
      <c r="D96" s="970" t="str">
        <f>+IF('Qualitative Disclosures for AS'!D232="","",'Qualitative Disclosures for AS'!D232)</f>
        <v/>
      </c>
      <c r="E96" s="971" t="str">
        <f>+IF('Qualitative Disclosures for AS'!E232="","",'Qualitative Disclosures for AS'!E232)</f>
        <v/>
      </c>
      <c r="Q96" s="42"/>
    </row>
    <row r="97" spans="3:17" hidden="1" x14ac:dyDescent="0.25">
      <c r="C97" s="817" t="str">
        <f>+IF('Qualitative Disclosures for AS'!C233="","",'Qualitative Disclosures for AS'!C233)</f>
        <v xml:space="preserve">- as inventory </v>
      </c>
      <c r="D97" s="972" t="str">
        <f>+IF('Qualitative Disclosures for AS'!D233="","",'Qualitative Disclosures for AS'!D233)</f>
        <v/>
      </c>
      <c r="E97" s="973" t="str">
        <f>+IF('Qualitative Disclosures for AS'!E233="","",'Qualitative Disclosures for AS'!E233)</f>
        <v/>
      </c>
      <c r="Q97" s="42"/>
    </row>
    <row r="98" spans="3:17" hidden="1" x14ac:dyDescent="0.25">
      <c r="Q98" s="42"/>
    </row>
    <row r="99" spans="3:17" hidden="1" x14ac:dyDescent="0.25">
      <c r="C99" s="1715" t="str">
        <f>+IF('Qualitative Disclosures for AS'!C235="","",'Qualitative Disclosures for AS'!C235)</f>
        <v/>
      </c>
      <c r="D99" s="1715" t="str">
        <f>+IF('Qualitative Disclosures for AS'!D235="","",'Qualitative Disclosures for AS'!D235)</f>
        <v/>
      </c>
      <c r="E99" s="1715" t="str">
        <f>+IF('Qualitative Disclosures for AS'!E235="","",'Qualitative Disclosures for AS'!E235)</f>
        <v/>
      </c>
      <c r="F99" s="1715" t="str">
        <f>+IF('Qualitative Disclosures for AS'!F235="","",'Qualitative Disclosures for AS'!F235)</f>
        <v/>
      </c>
      <c r="G99" s="1715" t="str">
        <f>+IF('Qualitative Disclosures for AS'!G235="","",'Qualitative Disclosures for AS'!G235)</f>
        <v/>
      </c>
      <c r="H99" s="1715" t="str">
        <f>+IF('Qualitative Disclosures for AS'!H235="","",'Qualitative Disclosures for AS'!H235)</f>
        <v/>
      </c>
      <c r="I99" s="1716" t="str">
        <f>+IF('Qualitative Disclosures for AS'!I235="","",'Qualitative Disclosures for AS'!I235)</f>
        <v/>
      </c>
      <c r="Q99" s="42"/>
    </row>
    <row r="100" spans="3:17" hidden="1" x14ac:dyDescent="0.25">
      <c r="C100" s="1715" t="str">
        <f>+IF('Qualitative Disclosures for AS'!C236="","",'Qualitative Disclosures for AS'!C236)</f>
        <v/>
      </c>
      <c r="D100" s="1715" t="str">
        <f>+IF('Qualitative Disclosures for AS'!D236="","",'Qualitative Disclosures for AS'!D236)</f>
        <v/>
      </c>
      <c r="E100" s="1715" t="str">
        <f>+IF('Qualitative Disclosures for AS'!E236="","",'Qualitative Disclosures for AS'!E236)</f>
        <v/>
      </c>
      <c r="F100" s="1715" t="str">
        <f>+IF('Qualitative Disclosures for AS'!F236="","",'Qualitative Disclosures for AS'!F236)</f>
        <v/>
      </c>
      <c r="G100" s="1715" t="str">
        <f>+IF('Qualitative Disclosures for AS'!G236="","",'Qualitative Disclosures for AS'!G236)</f>
        <v/>
      </c>
      <c r="H100" s="1715" t="str">
        <f>+IF('Qualitative Disclosures for AS'!H236="","",'Qualitative Disclosures for AS'!H236)</f>
        <v/>
      </c>
      <c r="I100" s="1716" t="str">
        <f>+IF('Qualitative Disclosures for AS'!I236="","",'Qualitative Disclosures for AS'!I236)</f>
        <v/>
      </c>
      <c r="Q100" s="42"/>
    </row>
    <row r="101" spans="3:17" hidden="1" x14ac:dyDescent="0.25">
      <c r="C101" s="1715" t="str">
        <f>+IF('Qualitative Disclosures for AS'!C237="","",'Qualitative Disclosures for AS'!C237)</f>
        <v/>
      </c>
      <c r="D101" s="1715" t="str">
        <f>+IF('Qualitative Disclosures for AS'!D237="","",'Qualitative Disclosures for AS'!D237)</f>
        <v/>
      </c>
      <c r="E101" s="1715" t="str">
        <f>+IF('Qualitative Disclosures for AS'!E237="","",'Qualitative Disclosures for AS'!E237)</f>
        <v/>
      </c>
      <c r="F101" s="1715" t="str">
        <f>+IF('Qualitative Disclosures for AS'!F237="","",'Qualitative Disclosures for AS'!F237)</f>
        <v/>
      </c>
      <c r="G101" s="1715" t="str">
        <f>+IF('Qualitative Disclosures for AS'!G237="","",'Qualitative Disclosures for AS'!G237)</f>
        <v/>
      </c>
      <c r="H101" s="1715" t="str">
        <f>+IF('Qualitative Disclosures for AS'!H237="","",'Qualitative Disclosures for AS'!H237)</f>
        <v/>
      </c>
      <c r="I101" s="1716" t="str">
        <f>+IF('Qualitative Disclosures for AS'!I237="","",'Qualitative Disclosures for AS'!I237)</f>
        <v/>
      </c>
      <c r="Q101" s="42"/>
    </row>
    <row r="102" spans="3:17" hidden="1" x14ac:dyDescent="0.25">
      <c r="C102" s="1715" t="str">
        <f>+IF('Qualitative Disclosures for AS'!C238="","",'Qualitative Disclosures for AS'!C238)</f>
        <v/>
      </c>
      <c r="D102" s="1715" t="str">
        <f>+IF('Qualitative Disclosures for AS'!D238="","",'Qualitative Disclosures for AS'!D238)</f>
        <v/>
      </c>
      <c r="E102" s="1715" t="str">
        <f>+IF('Qualitative Disclosures for AS'!E238="","",'Qualitative Disclosures for AS'!E238)</f>
        <v/>
      </c>
      <c r="F102" s="1715" t="str">
        <f>+IF('Qualitative Disclosures for AS'!F238="","",'Qualitative Disclosures for AS'!F238)</f>
        <v/>
      </c>
      <c r="G102" s="1715" t="str">
        <f>+IF('Qualitative Disclosures for AS'!G238="","",'Qualitative Disclosures for AS'!G238)</f>
        <v/>
      </c>
      <c r="H102" s="1715" t="str">
        <f>+IF('Qualitative Disclosures for AS'!H238="","",'Qualitative Disclosures for AS'!H238)</f>
        <v/>
      </c>
      <c r="I102" s="1716" t="str">
        <f>+IF('Qualitative Disclosures for AS'!I238="","",'Qualitative Disclosures for AS'!I238)</f>
        <v/>
      </c>
      <c r="Q102" s="42"/>
    </row>
    <row r="103" spans="3:17" hidden="1" x14ac:dyDescent="0.25">
      <c r="C103" s="1715" t="str">
        <f>+IF('Qualitative Disclosures for AS'!C239="","",'Qualitative Disclosures for AS'!C239)</f>
        <v/>
      </c>
      <c r="D103" s="1715" t="str">
        <f>+IF('Qualitative Disclosures for AS'!D239="","",'Qualitative Disclosures for AS'!D239)</f>
        <v/>
      </c>
      <c r="E103" s="1715" t="str">
        <f>+IF('Qualitative Disclosures for AS'!E239="","",'Qualitative Disclosures for AS'!E239)</f>
        <v/>
      </c>
      <c r="F103" s="1715" t="str">
        <f>+IF('Qualitative Disclosures for AS'!F239="","",'Qualitative Disclosures for AS'!F239)</f>
        <v/>
      </c>
      <c r="G103" s="1715" t="str">
        <f>+IF('Qualitative Disclosures for AS'!G239="","",'Qualitative Disclosures for AS'!G239)</f>
        <v/>
      </c>
      <c r="H103" s="1715" t="str">
        <f>+IF('Qualitative Disclosures for AS'!H239="","",'Qualitative Disclosures for AS'!H239)</f>
        <v/>
      </c>
      <c r="I103" s="1716" t="str">
        <f>+IF('Qualitative Disclosures for AS'!I239="","",'Qualitative Disclosures for AS'!I239)</f>
        <v/>
      </c>
      <c r="Q103" s="42"/>
    </row>
    <row r="104" spans="3:17" hidden="1" x14ac:dyDescent="0.25">
      <c r="C104" s="1715" t="str">
        <f>+IF('Qualitative Disclosures for AS'!C240="","",'Qualitative Disclosures for AS'!C240)</f>
        <v/>
      </c>
      <c r="D104" s="1715" t="str">
        <f>+IF('Qualitative Disclosures for AS'!D240="","",'Qualitative Disclosures for AS'!D240)</f>
        <v/>
      </c>
      <c r="E104" s="1715" t="str">
        <f>+IF('Qualitative Disclosures for AS'!E240="","",'Qualitative Disclosures for AS'!E240)</f>
        <v/>
      </c>
      <c r="F104" s="1715" t="str">
        <f>+IF('Qualitative Disclosures for AS'!F240="","",'Qualitative Disclosures for AS'!F240)</f>
        <v/>
      </c>
      <c r="G104" s="1715" t="str">
        <f>+IF('Qualitative Disclosures for AS'!G240="","",'Qualitative Disclosures for AS'!G240)</f>
        <v/>
      </c>
      <c r="H104" s="1715" t="str">
        <f>+IF('Qualitative Disclosures for AS'!H240="","",'Qualitative Disclosures for AS'!H240)</f>
        <v/>
      </c>
      <c r="I104" s="1716" t="str">
        <f>+IF('Qualitative Disclosures for AS'!I240="","",'Qualitative Disclosures for AS'!I240)</f>
        <v/>
      </c>
      <c r="Q104" s="42"/>
    </row>
    <row r="105" spans="3:17" hidden="1" x14ac:dyDescent="0.25">
      <c r="C105" s="1715" t="str">
        <f>+IF('Qualitative Disclosures for AS'!C241="","",'Qualitative Disclosures for AS'!C241)</f>
        <v/>
      </c>
      <c r="D105" s="1715" t="str">
        <f>+IF('Qualitative Disclosures for AS'!D241="","",'Qualitative Disclosures for AS'!D241)</f>
        <v/>
      </c>
      <c r="E105" s="1715" t="str">
        <f>+IF('Qualitative Disclosures for AS'!E241="","",'Qualitative Disclosures for AS'!E241)</f>
        <v/>
      </c>
      <c r="F105" s="1715" t="str">
        <f>+IF('Qualitative Disclosures for AS'!F241="","",'Qualitative Disclosures for AS'!F241)</f>
        <v/>
      </c>
      <c r="G105" s="1715" t="str">
        <f>+IF('Qualitative Disclosures for AS'!G241="","",'Qualitative Disclosures for AS'!G241)</f>
        <v/>
      </c>
      <c r="H105" s="1715" t="str">
        <f>+IF('Qualitative Disclosures for AS'!H241="","",'Qualitative Disclosures for AS'!H241)</f>
        <v/>
      </c>
      <c r="I105" s="1716" t="str">
        <f>+IF('Qualitative Disclosures for AS'!I241="","",'Qualitative Disclosures for AS'!I241)</f>
        <v/>
      </c>
      <c r="Q105" s="42"/>
    </row>
    <row r="106" spans="3:17" hidden="1" x14ac:dyDescent="0.25">
      <c r="C106" s="1715" t="str">
        <f>+IF('Qualitative Disclosures for AS'!C242="","",'Qualitative Disclosures for AS'!C242)</f>
        <v/>
      </c>
      <c r="D106" s="1715" t="str">
        <f>+IF('Qualitative Disclosures for AS'!D242="","",'Qualitative Disclosures for AS'!D242)</f>
        <v/>
      </c>
      <c r="E106" s="1715" t="str">
        <f>+IF('Qualitative Disclosures for AS'!E242="","",'Qualitative Disclosures for AS'!E242)</f>
        <v/>
      </c>
      <c r="F106" s="1715" t="str">
        <f>+IF('Qualitative Disclosures for AS'!F242="","",'Qualitative Disclosures for AS'!F242)</f>
        <v/>
      </c>
      <c r="G106" s="1715" t="str">
        <f>+IF('Qualitative Disclosures for AS'!G242="","",'Qualitative Disclosures for AS'!G242)</f>
        <v/>
      </c>
      <c r="H106" s="1715" t="str">
        <f>+IF('Qualitative Disclosures for AS'!H242="","",'Qualitative Disclosures for AS'!H242)</f>
        <v/>
      </c>
      <c r="I106" s="1716" t="str">
        <f>+IF('Qualitative Disclosures for AS'!I242="","",'Qualitative Disclosures for AS'!I242)</f>
        <v/>
      </c>
      <c r="Q106" s="42"/>
    </row>
    <row r="107" spans="3:17" hidden="1" x14ac:dyDescent="0.25">
      <c r="C107" s="1715" t="str">
        <f>+IF('Qualitative Disclosures for AS'!C243="","",'Qualitative Disclosures for AS'!C243)</f>
        <v/>
      </c>
      <c r="D107" s="1715" t="str">
        <f>+IF('Qualitative Disclosures for AS'!D243="","",'Qualitative Disclosures for AS'!D243)</f>
        <v/>
      </c>
      <c r="E107" s="1715" t="str">
        <f>+IF('Qualitative Disclosures for AS'!E243="","",'Qualitative Disclosures for AS'!E243)</f>
        <v/>
      </c>
      <c r="F107" s="1715" t="str">
        <f>+IF('Qualitative Disclosures for AS'!F243="","",'Qualitative Disclosures for AS'!F243)</f>
        <v/>
      </c>
      <c r="G107" s="1715" t="str">
        <f>+IF('Qualitative Disclosures for AS'!G243="","",'Qualitative Disclosures for AS'!G243)</f>
        <v/>
      </c>
      <c r="H107" s="1715" t="str">
        <f>+IF('Qualitative Disclosures for AS'!H243="","",'Qualitative Disclosures for AS'!H243)</f>
        <v/>
      </c>
      <c r="I107" s="1716" t="str">
        <f>+IF('Qualitative Disclosures for AS'!I243="","",'Qualitative Disclosures for AS'!I243)</f>
        <v/>
      </c>
      <c r="Q107" s="42"/>
    </row>
    <row r="108" spans="3:17" hidden="1" x14ac:dyDescent="0.25">
      <c r="C108" s="1715" t="str">
        <f>+IF('Qualitative Disclosures for AS'!C244="","",'Qualitative Disclosures for AS'!C244)</f>
        <v/>
      </c>
      <c r="D108" s="1715" t="str">
        <f>+IF('Qualitative Disclosures for AS'!D244="","",'Qualitative Disclosures for AS'!D244)</f>
        <v/>
      </c>
      <c r="E108" s="1715" t="str">
        <f>+IF('Qualitative Disclosures for AS'!E244="","",'Qualitative Disclosures for AS'!E244)</f>
        <v/>
      </c>
      <c r="F108" s="1715" t="str">
        <f>+IF('Qualitative Disclosures for AS'!F244="","",'Qualitative Disclosures for AS'!F244)</f>
        <v/>
      </c>
      <c r="G108" s="1715" t="str">
        <f>+IF('Qualitative Disclosures for AS'!G244="","",'Qualitative Disclosures for AS'!G244)</f>
        <v/>
      </c>
      <c r="H108" s="1715" t="str">
        <f>+IF('Qualitative Disclosures for AS'!H244="","",'Qualitative Disclosures for AS'!H244)</f>
        <v/>
      </c>
      <c r="I108" s="1716" t="str">
        <f>+IF('Qualitative Disclosures for AS'!I244="","",'Qualitative Disclosures for AS'!I244)</f>
        <v/>
      </c>
      <c r="Q108" s="42"/>
    </row>
    <row r="109" spans="3:17" hidden="1" x14ac:dyDescent="0.25">
      <c r="C109" s="1715" t="str">
        <f>+IF('Qualitative Disclosures for AS'!C245="","",'Qualitative Disclosures for AS'!C245)</f>
        <v/>
      </c>
      <c r="D109" s="1715" t="str">
        <f>+IF('Qualitative Disclosures for AS'!D245="","",'Qualitative Disclosures for AS'!D245)</f>
        <v/>
      </c>
      <c r="E109" s="1715" t="str">
        <f>+IF('Qualitative Disclosures for AS'!E245="","",'Qualitative Disclosures for AS'!E245)</f>
        <v/>
      </c>
      <c r="F109" s="1715" t="str">
        <f>+IF('Qualitative Disclosures for AS'!F245="","",'Qualitative Disclosures for AS'!F245)</f>
        <v/>
      </c>
      <c r="G109" s="1715" t="str">
        <f>+IF('Qualitative Disclosures for AS'!G245="","",'Qualitative Disclosures for AS'!G245)</f>
        <v/>
      </c>
      <c r="H109" s="1715" t="str">
        <f>+IF('Qualitative Disclosures for AS'!H245="","",'Qualitative Disclosures for AS'!H245)</f>
        <v/>
      </c>
      <c r="I109" s="1716" t="str">
        <f>+IF('Qualitative Disclosures for AS'!I245="","",'Qualitative Disclosures for AS'!I245)</f>
        <v/>
      </c>
      <c r="Q109" s="42"/>
    </row>
    <row r="110" spans="3:17" hidden="1" x14ac:dyDescent="0.25">
      <c r="C110" s="1715" t="str">
        <f>+IF('Qualitative Disclosures for AS'!C246="","",'Qualitative Disclosures for AS'!C246)</f>
        <v/>
      </c>
      <c r="D110" s="1715" t="str">
        <f>+IF('Qualitative Disclosures for AS'!D246="","",'Qualitative Disclosures for AS'!D246)</f>
        <v/>
      </c>
      <c r="E110" s="1715" t="str">
        <f>+IF('Qualitative Disclosures for AS'!E246="","",'Qualitative Disclosures for AS'!E246)</f>
        <v/>
      </c>
      <c r="F110" s="1715" t="str">
        <f>+IF('Qualitative Disclosures for AS'!F246="","",'Qualitative Disclosures for AS'!F246)</f>
        <v/>
      </c>
      <c r="G110" s="1715" t="str">
        <f>+IF('Qualitative Disclosures for AS'!G246="","",'Qualitative Disclosures for AS'!G246)</f>
        <v/>
      </c>
      <c r="H110" s="1715" t="str">
        <f>+IF('Qualitative Disclosures for AS'!H246="","",'Qualitative Disclosures for AS'!H246)</f>
        <v/>
      </c>
      <c r="I110" s="1716" t="str">
        <f>+IF('Qualitative Disclosures for AS'!I246="","",'Qualitative Disclosures for AS'!I246)</f>
        <v/>
      </c>
    </row>
    <row r="111" spans="3:17" hidden="1" x14ac:dyDescent="0.25"/>
    <row r="112" spans="3:17" hidden="1" x14ac:dyDescent="0.25">
      <c r="C112" s="101" t="str">
        <f>+IF('Qualitative Disclosures for AS'!C456="","",'Qualitative Disclosures for AS'!C456)</f>
        <v>Details of leasing arrangements (AS 19)</v>
      </c>
    </row>
    <row r="113" spans="3:17" hidden="1" x14ac:dyDescent="0.25"/>
    <row r="114" spans="3:17" ht="30" hidden="1" x14ac:dyDescent="0.25">
      <c r="C114" s="851" t="str">
        <f>+IF('Qualitative Disclosures for AS'!C458="","",'Qualitative Disclosures for AS'!C458)</f>
        <v>Particulars</v>
      </c>
      <c r="D114" s="314" t="str">
        <f>+IF('Qualitative Disclosures for AS'!D458="","",'Qualitative Disclosures for AS'!D458)</f>
        <v>As At 31st March 2025</v>
      </c>
      <c r="E114" s="823" t="str">
        <f>+IF('Qualitative Disclosures for AS'!E458="","",'Qualitative Disclosures for AS'!E458)</f>
        <v>As At 31st March 2024</v>
      </c>
    </row>
    <row r="115" spans="3:17" hidden="1" x14ac:dyDescent="0.25">
      <c r="C115" s="818" t="str">
        <f>+IF('Qualitative Disclosures for AS'!C459="","",'Qualitative Disclosures for AS'!C459)</f>
        <v>As Lessor</v>
      </c>
      <c r="D115" s="982" t="str">
        <f>+IF('Qualitative Disclosures for AS'!D459="","",'Qualitative Disclosures for AS'!D459)</f>
        <v/>
      </c>
      <c r="E115" s="983" t="str">
        <f>+IF('Qualitative Disclosures for AS'!E459="","",'Qualitative Disclosures for AS'!E459)</f>
        <v/>
      </c>
      <c r="Q115" s="42"/>
    </row>
    <row r="116" spans="3:17" ht="66" hidden="1" x14ac:dyDescent="0.25">
      <c r="C116" s="130" t="str">
        <f>+IF('Qualitative Disclosures for AS'!C460="","",'Qualitative Disclosures for AS'!C460)</f>
        <v>A. The Company has entered into operating lease arrangements for certain surplus facilities. The lease is non-cancellable for a period of ____ years from ____ and may be renewed for a further period of ___ years based on mutual agreement of the parties.</v>
      </c>
      <c r="D116" s="970" t="str">
        <f>+IF('Qualitative Disclosures for AS'!D460="","",'Qualitative Disclosures for AS'!D460)</f>
        <v/>
      </c>
      <c r="E116" s="971" t="str">
        <f>+IF('Qualitative Disclosures for AS'!E460="","",'Qualitative Disclosures for AS'!E460)</f>
        <v/>
      </c>
      <c r="Q116" s="42"/>
    </row>
    <row r="117" spans="3:17" hidden="1" x14ac:dyDescent="0.25">
      <c r="C117" s="107" t="str">
        <f>+IF('Qualitative Disclosures for AS'!C461="","",'Qualitative Disclosures for AS'!C461)</f>
        <v xml:space="preserve">Future minimum lease payments </v>
      </c>
      <c r="D117" s="970" t="str">
        <f>+IF('Qualitative Disclosures for AS'!D461="","",'Qualitative Disclosures for AS'!D461)</f>
        <v/>
      </c>
      <c r="E117" s="971" t="str">
        <f>+IF('Qualitative Disclosures for AS'!E461="","",'Qualitative Disclosures for AS'!E461)</f>
        <v/>
      </c>
      <c r="Q117" s="42"/>
    </row>
    <row r="118" spans="3:17" hidden="1" x14ac:dyDescent="0.25">
      <c r="C118" s="107" t="str">
        <f>+IF('Qualitative Disclosures for AS'!C462="","",'Qualitative Disclosures for AS'!C462)</f>
        <v>not later than one year</v>
      </c>
      <c r="D118" s="970" t="str">
        <f>+IF('Qualitative Disclosures for AS'!D462="","",'Qualitative Disclosures for AS'!D462)</f>
        <v/>
      </c>
      <c r="E118" s="971" t="str">
        <f>+IF('Qualitative Disclosures for AS'!E462="","",'Qualitative Disclosures for AS'!E462)</f>
        <v/>
      </c>
      <c r="Q118" s="42"/>
    </row>
    <row r="119" spans="3:17" hidden="1" x14ac:dyDescent="0.25">
      <c r="C119" s="107" t="str">
        <f>+IF('Qualitative Disclosures for AS'!C463="","",'Qualitative Disclosures for AS'!C463)</f>
        <v>later than one year and not later than five years</v>
      </c>
      <c r="D119" s="970" t="str">
        <f>+IF('Qualitative Disclosures for AS'!D463="","",'Qualitative Disclosures for AS'!D463)</f>
        <v/>
      </c>
      <c r="E119" s="971" t="str">
        <f>+IF('Qualitative Disclosures for AS'!E463="","",'Qualitative Disclosures for AS'!E463)</f>
        <v/>
      </c>
      <c r="Q119" s="42"/>
    </row>
    <row r="120" spans="3:17" hidden="1" x14ac:dyDescent="0.25">
      <c r="C120" s="107" t="str">
        <f>+IF('Qualitative Disclosures for AS'!C464="","",'Qualitative Disclosures for AS'!C464)</f>
        <v>later than five years</v>
      </c>
      <c r="D120" s="970" t="str">
        <f>+IF('Qualitative Disclosures for AS'!D464="","",'Qualitative Disclosures for AS'!D464)</f>
        <v/>
      </c>
      <c r="E120" s="971" t="str">
        <f>+IF('Qualitative Disclosures for AS'!E464="","",'Qualitative Disclosures for AS'!E464)</f>
        <v/>
      </c>
      <c r="Q120" s="42"/>
    </row>
    <row r="121" spans="3:17" hidden="1" x14ac:dyDescent="0.25">
      <c r="C121" s="107" t="str">
        <f>+IF('Qualitative Disclosures for AS'!C465="","",'Qualitative Disclosures for AS'!C465)</f>
        <v/>
      </c>
      <c r="D121" s="970" t="str">
        <f>+IF('Qualitative Disclosures for AS'!D465="","",'Qualitative Disclosures for AS'!D465)</f>
        <v/>
      </c>
      <c r="E121" s="971" t="str">
        <f>+IF('Qualitative Disclosures for AS'!E465="","",'Qualitative Disclosures for AS'!E465)</f>
        <v/>
      </c>
      <c r="Q121" s="42"/>
    </row>
    <row r="122" spans="3:17" hidden="1" x14ac:dyDescent="0.25">
      <c r="C122" s="107" t="str">
        <f>+IF('Qualitative Disclosures for AS'!C466="","",'Qualitative Disclosures for AS'!C466)</f>
        <v>Contingent rents recognised as income during the year (state basis)</v>
      </c>
      <c r="D122" s="970" t="str">
        <f>+IF('Qualitative Disclosures for AS'!D466="","",'Qualitative Disclosures for AS'!D466)</f>
        <v/>
      </c>
      <c r="E122" s="971" t="str">
        <f>+IF('Qualitative Disclosures for AS'!E466="","",'Qualitative Disclosures for AS'!E466)</f>
        <v/>
      </c>
      <c r="Q122" s="42"/>
    </row>
    <row r="123" spans="3:17" hidden="1" x14ac:dyDescent="0.25">
      <c r="C123" s="107" t="str">
        <f>+IF('Qualitative Disclosures for AS'!C467="","",'Qualitative Disclosures for AS'!C467)</f>
        <v/>
      </c>
      <c r="D123" s="970" t="str">
        <f>+IF('Qualitative Disclosures for AS'!D467="","",'Qualitative Disclosures for AS'!D467)</f>
        <v/>
      </c>
      <c r="E123" s="971" t="str">
        <f>+IF('Qualitative Disclosures for AS'!E467="","",'Qualitative Disclosures for AS'!E467)</f>
        <v/>
      </c>
      <c r="Q123" s="42"/>
    </row>
    <row r="124" spans="3:17" hidden="1" x14ac:dyDescent="0.25">
      <c r="C124" s="107" t="str">
        <f>+IF('Qualitative Disclosures for AS'!C468="","",'Qualitative Disclosures for AS'!C468)</f>
        <v>Depreciation recognised on the leased assets</v>
      </c>
      <c r="D124" s="970" t="str">
        <f>+IF('Qualitative Disclosures for AS'!D468="","",'Qualitative Disclosures for AS'!D468)</f>
        <v/>
      </c>
      <c r="E124" s="971" t="str">
        <f>+IF('Qualitative Disclosures for AS'!E468="","",'Qualitative Disclosures for AS'!E468)</f>
        <v/>
      </c>
      <c r="Q124" s="42"/>
    </row>
    <row r="125" spans="3:17" hidden="1" x14ac:dyDescent="0.25">
      <c r="C125" s="107" t="str">
        <f>+IF('Qualitative Disclosures for AS'!C469="","",'Qualitative Disclosures for AS'!C469)</f>
        <v>Impairment losses recognised on the leased assets</v>
      </c>
      <c r="D125" s="970" t="str">
        <f>+IF('Qualitative Disclosures for AS'!D469="","",'Qualitative Disclosures for AS'!D469)</f>
        <v/>
      </c>
      <c r="E125" s="971" t="str">
        <f>+IF('Qualitative Disclosures for AS'!E469="","",'Qualitative Disclosures for AS'!E469)</f>
        <v/>
      </c>
      <c r="Q125" s="42"/>
    </row>
    <row r="126" spans="3:17" hidden="1" x14ac:dyDescent="0.25">
      <c r="C126" s="107" t="str">
        <f>+IF('Qualitative Disclosures for AS'!C470="","",'Qualitative Disclosures for AS'!C470)</f>
        <v>Impairment losses reversed on the leased assets</v>
      </c>
      <c r="D126" s="970" t="str">
        <f>+IF('Qualitative Disclosures for AS'!D470="","",'Qualitative Disclosures for AS'!D470)</f>
        <v/>
      </c>
      <c r="E126" s="971" t="str">
        <f>+IF('Qualitative Disclosures for AS'!E470="","",'Qualitative Disclosures for AS'!E470)</f>
        <v/>
      </c>
      <c r="Q126" s="42"/>
    </row>
    <row r="127" spans="3:17" hidden="1" x14ac:dyDescent="0.25">
      <c r="C127" s="107" t="str">
        <f>+IF('Qualitative Disclosures for AS'!C471="","",'Qualitative Disclosures for AS'!C471)</f>
        <v>Accumulated depreciation on the leased assets</v>
      </c>
      <c r="D127" s="970" t="str">
        <f>+IF('Qualitative Disclosures for AS'!D471="","",'Qualitative Disclosures for AS'!D471)</f>
        <v/>
      </c>
      <c r="E127" s="971" t="str">
        <f>+IF('Qualitative Disclosures for AS'!E471="","",'Qualitative Disclosures for AS'!E471)</f>
        <v/>
      </c>
      <c r="Q127" s="42"/>
    </row>
    <row r="128" spans="3:17" hidden="1" x14ac:dyDescent="0.25">
      <c r="C128" s="107" t="str">
        <f>+IF('Qualitative Disclosures for AS'!C472="","",'Qualitative Disclosures for AS'!C472)</f>
        <v>Accumulated impairment losses on the leased assets</v>
      </c>
      <c r="D128" s="970" t="str">
        <f>+IF('Qualitative Disclosures for AS'!D472="","",'Qualitative Disclosures for AS'!D472)</f>
        <v/>
      </c>
      <c r="E128" s="971" t="str">
        <f>+IF('Qualitative Disclosures for AS'!E472="","",'Qualitative Disclosures for AS'!E472)</f>
        <v/>
      </c>
      <c r="Q128" s="42"/>
    </row>
    <row r="129" spans="3:17" hidden="1" x14ac:dyDescent="0.25">
      <c r="C129" s="107" t="str">
        <f>+IF('Qualitative Disclosures for AS'!C473="","",'Qualitative Disclosures for AS'!C473)</f>
        <v/>
      </c>
      <c r="D129" s="970" t="str">
        <f>+IF('Qualitative Disclosures for AS'!D473="","",'Qualitative Disclosures for AS'!D473)</f>
        <v/>
      </c>
      <c r="E129" s="971" t="str">
        <f>+IF('Qualitative Disclosures for AS'!E473="","",'Qualitative Disclosures for AS'!E473)</f>
        <v/>
      </c>
      <c r="Q129" s="42"/>
    </row>
    <row r="130" spans="3:17" ht="33" hidden="1" x14ac:dyDescent="0.25">
      <c r="C130" s="130" t="str">
        <f>+IF('Qualitative Disclosures for AS'!C474="","",'Qualitative Disclosures for AS'!C474)</f>
        <v xml:space="preserve">B. The Company has entered into finance lease arrangements for certain equipment and vehicles. </v>
      </c>
      <c r="D130" s="970" t="str">
        <f>+IF('Qualitative Disclosures for AS'!D474="","",'Qualitative Disclosures for AS'!D474)</f>
        <v/>
      </c>
      <c r="E130" s="971" t="str">
        <f>+IF('Qualitative Disclosures for AS'!E474="","",'Qualitative Disclosures for AS'!E474)</f>
        <v/>
      </c>
      <c r="Q130" s="42"/>
    </row>
    <row r="131" spans="3:17" ht="49.5" hidden="1" x14ac:dyDescent="0.25">
      <c r="C131" s="130" t="str">
        <f>+IF('Qualitative Disclosures for AS'!C475="","",'Qualitative Disclosures for AS'!C475)</f>
        <v>Future minimum lease payments and reconciliation of gross investment in the lease and present value of minimum lease payments</v>
      </c>
      <c r="D131" s="970" t="str">
        <f>+IF('Qualitative Disclosures for AS'!D475="","",'Qualitative Disclosures for AS'!D475)</f>
        <v/>
      </c>
      <c r="E131" s="971" t="str">
        <f>+IF('Qualitative Disclosures for AS'!E475="","",'Qualitative Disclosures for AS'!E475)</f>
        <v/>
      </c>
      <c r="Q131" s="42"/>
    </row>
    <row r="132" spans="3:17" hidden="1" x14ac:dyDescent="0.25">
      <c r="C132" s="107" t="str">
        <f>+IF('Qualitative Disclosures for AS'!C476="","",'Qualitative Disclosures for AS'!C476)</f>
        <v xml:space="preserve">Future minimum lease payments </v>
      </c>
      <c r="D132" s="970" t="str">
        <f>+IF('Qualitative Disclosures for AS'!D476="","",'Qualitative Disclosures for AS'!D476)</f>
        <v/>
      </c>
      <c r="E132" s="971" t="str">
        <f>+IF('Qualitative Disclosures for AS'!E476="","",'Qualitative Disclosures for AS'!E476)</f>
        <v/>
      </c>
      <c r="Q132" s="42"/>
    </row>
    <row r="133" spans="3:17" hidden="1" x14ac:dyDescent="0.25">
      <c r="C133" s="107" t="str">
        <f>+IF('Qualitative Disclosures for AS'!C477="","",'Qualitative Disclosures for AS'!C477)</f>
        <v>not later than one year</v>
      </c>
      <c r="D133" s="970" t="str">
        <f>+IF('Qualitative Disclosures for AS'!D477="","",'Qualitative Disclosures for AS'!D477)</f>
        <v/>
      </c>
      <c r="E133" s="971" t="str">
        <f>+IF('Qualitative Disclosures for AS'!E477="","",'Qualitative Disclosures for AS'!E477)</f>
        <v/>
      </c>
      <c r="Q133" s="42"/>
    </row>
    <row r="134" spans="3:17" hidden="1" x14ac:dyDescent="0.25">
      <c r="C134" s="107" t="str">
        <f>+IF('Qualitative Disclosures for AS'!C478="","",'Qualitative Disclosures for AS'!C478)</f>
        <v>later than one year and not later than five years</v>
      </c>
      <c r="D134" s="970" t="str">
        <f>+IF('Qualitative Disclosures for AS'!D478="","",'Qualitative Disclosures for AS'!D478)</f>
        <v/>
      </c>
      <c r="E134" s="971" t="str">
        <f>+IF('Qualitative Disclosures for AS'!E478="","",'Qualitative Disclosures for AS'!E478)</f>
        <v/>
      </c>
      <c r="Q134" s="42"/>
    </row>
    <row r="135" spans="3:17" hidden="1" x14ac:dyDescent="0.25">
      <c r="C135" s="107" t="str">
        <f>+IF('Qualitative Disclosures for AS'!C479="","",'Qualitative Disclosures for AS'!C479)</f>
        <v>later than five years</v>
      </c>
      <c r="D135" s="970" t="str">
        <f>+IF('Qualitative Disclosures for AS'!D479="","",'Qualitative Disclosures for AS'!D479)</f>
        <v/>
      </c>
      <c r="E135" s="971" t="str">
        <f>+IF('Qualitative Disclosures for AS'!E479="","",'Qualitative Disclosures for AS'!E479)</f>
        <v/>
      </c>
      <c r="Q135" s="42"/>
    </row>
    <row r="136" spans="3:17" hidden="1" x14ac:dyDescent="0.25">
      <c r="C136" s="107" t="str">
        <f>+IF('Qualitative Disclosures for AS'!C480="","",'Qualitative Disclosures for AS'!C480)</f>
        <v/>
      </c>
      <c r="D136" s="970" t="str">
        <f>+IF('Qualitative Disclosures for AS'!D480="","",'Qualitative Disclosures for AS'!D480)</f>
        <v/>
      </c>
      <c r="E136" s="971" t="str">
        <f>+IF('Qualitative Disclosures for AS'!E480="","",'Qualitative Disclosures for AS'!E480)</f>
        <v/>
      </c>
      <c r="Q136" s="42"/>
    </row>
    <row r="137" spans="3:17" hidden="1" x14ac:dyDescent="0.25">
      <c r="C137" s="107" t="str">
        <f>+IF('Qualitative Disclosures for AS'!C481="","",'Qualitative Disclosures for AS'!C481)</f>
        <v>Less: Unearned finance income</v>
      </c>
      <c r="D137" s="970" t="str">
        <f>+IF('Qualitative Disclosures for AS'!D481="","",'Qualitative Disclosures for AS'!D481)</f>
        <v/>
      </c>
      <c r="E137" s="971" t="str">
        <f>+IF('Qualitative Disclosures for AS'!E481="","",'Qualitative Disclosures for AS'!E481)</f>
        <v/>
      </c>
      <c r="Q137" s="42"/>
    </row>
    <row r="138" spans="3:17" hidden="1" x14ac:dyDescent="0.25">
      <c r="C138" s="107" t="str">
        <f>+IF('Qualitative Disclosures for AS'!C482="","",'Qualitative Disclosures for AS'!C482)</f>
        <v>Present value of minimum lease payments receivable</v>
      </c>
      <c r="D138" s="970" t="str">
        <f>+IF('Qualitative Disclosures for AS'!D482="","",'Qualitative Disclosures for AS'!D482)</f>
        <v/>
      </c>
      <c r="E138" s="971" t="str">
        <f>+IF('Qualitative Disclosures for AS'!E482="","",'Qualitative Disclosures for AS'!E482)</f>
        <v/>
      </c>
      <c r="Q138" s="42"/>
    </row>
    <row r="139" spans="3:17" hidden="1" x14ac:dyDescent="0.25">
      <c r="C139" s="107" t="str">
        <f>+IF('Qualitative Disclosures for AS'!C483="","",'Qualitative Disclosures for AS'!C483)</f>
        <v>not later than one year</v>
      </c>
      <c r="D139" s="970" t="str">
        <f>+IF('Qualitative Disclosures for AS'!D483="","",'Qualitative Disclosures for AS'!D483)</f>
        <v/>
      </c>
      <c r="E139" s="971" t="str">
        <f>+IF('Qualitative Disclosures for AS'!E483="","",'Qualitative Disclosures for AS'!E483)</f>
        <v/>
      </c>
      <c r="Q139" s="42"/>
    </row>
    <row r="140" spans="3:17" hidden="1" x14ac:dyDescent="0.25">
      <c r="C140" s="107" t="str">
        <f>+IF('Qualitative Disclosures for AS'!C484="","",'Qualitative Disclosures for AS'!C484)</f>
        <v>later than one year and not later than five years</v>
      </c>
      <c r="D140" s="970" t="str">
        <f>+IF('Qualitative Disclosures for AS'!D484="","",'Qualitative Disclosures for AS'!D484)</f>
        <v/>
      </c>
      <c r="E140" s="971" t="str">
        <f>+IF('Qualitative Disclosures for AS'!E484="","",'Qualitative Disclosures for AS'!E484)</f>
        <v/>
      </c>
      <c r="Q140" s="42"/>
    </row>
    <row r="141" spans="3:17" hidden="1" x14ac:dyDescent="0.25">
      <c r="C141" s="107" t="str">
        <f>+IF('Qualitative Disclosures for AS'!C485="","",'Qualitative Disclosures for AS'!C485)</f>
        <v>later than five years</v>
      </c>
      <c r="D141" s="970" t="str">
        <f>+IF('Qualitative Disclosures for AS'!D485="","",'Qualitative Disclosures for AS'!D485)</f>
        <v/>
      </c>
      <c r="E141" s="971" t="str">
        <f>+IF('Qualitative Disclosures for AS'!E485="","",'Qualitative Disclosures for AS'!E485)</f>
        <v/>
      </c>
      <c r="Q141" s="42"/>
    </row>
    <row r="142" spans="3:17" hidden="1" x14ac:dyDescent="0.25">
      <c r="C142" s="107" t="str">
        <f>+IF('Qualitative Disclosures for AS'!C486="","",'Qualitative Disclosures for AS'!C486)</f>
        <v/>
      </c>
      <c r="D142" s="970" t="str">
        <f>+IF('Qualitative Disclosures for AS'!D486="","",'Qualitative Disclosures for AS'!D486)</f>
        <v/>
      </c>
      <c r="E142" s="971" t="str">
        <f>+IF('Qualitative Disclosures for AS'!E486="","",'Qualitative Disclosures for AS'!E486)</f>
        <v/>
      </c>
      <c r="Q142" s="42"/>
    </row>
    <row r="143" spans="3:17" hidden="1" x14ac:dyDescent="0.25">
      <c r="C143" s="130" t="str">
        <f>+IF('Qualitative Disclosures for AS'!C487="","",'Qualitative Disclosures for AS'!C487)</f>
        <v>Unguaranteed residual values accruing to the Company as the lessor</v>
      </c>
      <c r="D143" s="970" t="str">
        <f>+IF('Qualitative Disclosures for AS'!D487="","",'Qualitative Disclosures for AS'!D487)</f>
        <v/>
      </c>
      <c r="E143" s="971" t="str">
        <f>+IF('Qualitative Disclosures for AS'!E487="","",'Qualitative Disclosures for AS'!E487)</f>
        <v/>
      </c>
      <c r="Q143" s="42"/>
    </row>
    <row r="144" spans="3:17" hidden="1" x14ac:dyDescent="0.25">
      <c r="C144" s="107" t="str">
        <f>+IF('Qualitative Disclosures for AS'!C488="","",'Qualitative Disclosures for AS'!C488)</f>
        <v>Accumulated provision for doubtful minimum lease payments</v>
      </c>
      <c r="D144" s="970" t="str">
        <f>+IF('Qualitative Disclosures for AS'!D488="","",'Qualitative Disclosures for AS'!D488)</f>
        <v/>
      </c>
      <c r="E144" s="971" t="str">
        <f>+IF('Qualitative Disclosures for AS'!E488="","",'Qualitative Disclosures for AS'!E488)</f>
        <v/>
      </c>
      <c r="Q144" s="42"/>
    </row>
    <row r="145" spans="3:17" hidden="1" x14ac:dyDescent="0.25">
      <c r="C145" s="107" t="str">
        <f>+IF('Qualitative Disclosures for AS'!C489="","",'Qualitative Disclosures for AS'!C489)</f>
        <v>Contingent rents recognised as income during the year (state basis)</v>
      </c>
      <c r="D145" s="970" t="str">
        <f>+IF('Qualitative Disclosures for AS'!D489="","",'Qualitative Disclosures for AS'!D489)</f>
        <v/>
      </c>
      <c r="E145" s="971" t="str">
        <f>+IF('Qualitative Disclosures for AS'!E489="","",'Qualitative Disclosures for AS'!E489)</f>
        <v/>
      </c>
      <c r="Q145" s="42"/>
    </row>
    <row r="146" spans="3:17" hidden="1" x14ac:dyDescent="0.25">
      <c r="C146" s="107" t="str">
        <f>+IF('Qualitative Disclosures for AS'!C490="","",'Qualitative Disclosures for AS'!C490)</f>
        <v/>
      </c>
      <c r="D146" s="970" t="str">
        <f>+IF('Qualitative Disclosures for AS'!D490="","",'Qualitative Disclosures for AS'!D490)</f>
        <v/>
      </c>
      <c r="E146" s="971" t="str">
        <f>+IF('Qualitative Disclosures for AS'!E490="","",'Qualitative Disclosures for AS'!E490)</f>
        <v/>
      </c>
      <c r="Q146" s="42"/>
    </row>
    <row r="147" spans="3:17" hidden="1" x14ac:dyDescent="0.25">
      <c r="C147" s="107" t="str">
        <f>+IF('Qualitative Disclosures for AS'!C491="","",'Qualitative Disclosures for AS'!C491)</f>
        <v>As Lessee</v>
      </c>
      <c r="D147" s="970" t="str">
        <f>+IF('Qualitative Disclosures for AS'!D491="","",'Qualitative Disclosures for AS'!D491)</f>
        <v/>
      </c>
      <c r="E147" s="971" t="str">
        <f>+IF('Qualitative Disclosures for AS'!E491="","",'Qualitative Disclosures for AS'!E491)</f>
        <v/>
      </c>
      <c r="Q147" s="42"/>
    </row>
    <row r="148" spans="3:17" ht="49.5" hidden="1" x14ac:dyDescent="0.25">
      <c r="C148" s="130" t="str">
        <f>+IF('Qualitative Disclosures for AS'!C492="","",'Qualitative Disclosures for AS'!C492)</f>
        <v xml:space="preserve">C. The Company has entered into finance lease arrangements for certain equipment and vehicles, which provide the Company an option to purchase the assets at the end of the lease period. </v>
      </c>
      <c r="D148" s="970" t="str">
        <f>+IF('Qualitative Disclosures for AS'!D492="","",'Qualitative Disclosures for AS'!D492)</f>
        <v/>
      </c>
      <c r="E148" s="971" t="str">
        <f>+IF('Qualitative Disclosures for AS'!E492="","",'Qualitative Disclosures for AS'!E492)</f>
        <v/>
      </c>
      <c r="Q148" s="42"/>
    </row>
    <row r="149" spans="3:17" hidden="1" x14ac:dyDescent="0.25">
      <c r="C149" s="107" t="str">
        <f>+IF('Qualitative Disclosures for AS'!C493="","",'Qualitative Disclosures for AS'!C493)</f>
        <v xml:space="preserve">Reconciliation of minimum lease payments </v>
      </c>
      <c r="D149" s="970" t="str">
        <f>+IF('Qualitative Disclosures for AS'!D493="","",'Qualitative Disclosures for AS'!D493)</f>
        <v/>
      </c>
      <c r="E149" s="971" t="str">
        <f>+IF('Qualitative Disclosures for AS'!E493="","",'Qualitative Disclosures for AS'!E493)</f>
        <v/>
      </c>
      <c r="Q149" s="42"/>
    </row>
    <row r="150" spans="3:17" hidden="1" x14ac:dyDescent="0.25">
      <c r="C150" s="107" t="str">
        <f>+IF('Qualitative Disclosures for AS'!C494="","",'Qualitative Disclosures for AS'!C494)</f>
        <v xml:space="preserve">Future minimum lease payments </v>
      </c>
      <c r="D150" s="970" t="str">
        <f>+IF('Qualitative Disclosures for AS'!D494="","",'Qualitative Disclosures for AS'!D494)</f>
        <v/>
      </c>
      <c r="E150" s="971" t="str">
        <f>+IF('Qualitative Disclosures for AS'!E494="","",'Qualitative Disclosures for AS'!E494)</f>
        <v/>
      </c>
      <c r="Q150" s="42"/>
    </row>
    <row r="151" spans="3:17" hidden="1" x14ac:dyDescent="0.25">
      <c r="C151" s="107" t="str">
        <f>+IF('Qualitative Disclosures for AS'!C495="","",'Qualitative Disclosures for AS'!C495)</f>
        <v>not later than one year</v>
      </c>
      <c r="D151" s="970" t="str">
        <f>+IF('Qualitative Disclosures for AS'!D495="","",'Qualitative Disclosures for AS'!D495)</f>
        <v/>
      </c>
      <c r="E151" s="971" t="str">
        <f>+IF('Qualitative Disclosures for AS'!E495="","",'Qualitative Disclosures for AS'!E495)</f>
        <v/>
      </c>
      <c r="Q151" s="42"/>
    </row>
    <row r="152" spans="3:17" hidden="1" x14ac:dyDescent="0.25">
      <c r="C152" s="107" t="str">
        <f>+IF('Qualitative Disclosures for AS'!C496="","",'Qualitative Disclosures for AS'!C496)</f>
        <v>later than one year and not later than five years</v>
      </c>
      <c r="D152" s="970" t="str">
        <f>+IF('Qualitative Disclosures for AS'!D496="","",'Qualitative Disclosures for AS'!D496)</f>
        <v/>
      </c>
      <c r="E152" s="971" t="str">
        <f>+IF('Qualitative Disclosures for AS'!E496="","",'Qualitative Disclosures for AS'!E496)</f>
        <v/>
      </c>
      <c r="Q152" s="42"/>
    </row>
    <row r="153" spans="3:17" hidden="1" x14ac:dyDescent="0.25">
      <c r="C153" s="107" t="str">
        <f>+IF('Qualitative Disclosures for AS'!C497="","",'Qualitative Disclosures for AS'!C497)</f>
        <v>later than five years</v>
      </c>
      <c r="D153" s="970" t="str">
        <f>+IF('Qualitative Disclosures for AS'!D497="","",'Qualitative Disclosures for AS'!D497)</f>
        <v/>
      </c>
      <c r="E153" s="971" t="str">
        <f>+IF('Qualitative Disclosures for AS'!E497="","",'Qualitative Disclosures for AS'!E497)</f>
        <v/>
      </c>
      <c r="Q153" s="42"/>
    </row>
    <row r="154" spans="3:17" hidden="1" x14ac:dyDescent="0.25">
      <c r="C154" s="107" t="str">
        <f>+IF('Qualitative Disclosures for AS'!C498="","",'Qualitative Disclosures for AS'!C498)</f>
        <v/>
      </c>
      <c r="D154" s="970" t="str">
        <f>+IF('Qualitative Disclosures for AS'!D498="","",'Qualitative Disclosures for AS'!D498)</f>
        <v/>
      </c>
      <c r="E154" s="971" t="str">
        <f>+IF('Qualitative Disclosures for AS'!E498="","",'Qualitative Disclosures for AS'!E498)</f>
        <v/>
      </c>
      <c r="Q154" s="42"/>
    </row>
    <row r="155" spans="3:17" hidden="1" x14ac:dyDescent="0.25">
      <c r="C155" s="107" t="str">
        <f>+IF('Qualitative Disclosures for AS'!C499="","",'Qualitative Disclosures for AS'!C499)</f>
        <v>Less: Unmatured finance charges</v>
      </c>
      <c r="D155" s="970" t="str">
        <f>+IF('Qualitative Disclosures for AS'!D499="","",'Qualitative Disclosures for AS'!D499)</f>
        <v/>
      </c>
      <c r="E155" s="971" t="str">
        <f>+IF('Qualitative Disclosures for AS'!E499="","",'Qualitative Disclosures for AS'!E499)</f>
        <v/>
      </c>
      <c r="Q155" s="42"/>
    </row>
    <row r="156" spans="3:17" hidden="1" x14ac:dyDescent="0.25">
      <c r="C156" s="107" t="str">
        <f>+IF('Qualitative Disclosures for AS'!C500="","",'Qualitative Disclosures for AS'!C500)</f>
        <v>Present value of minimum lease payments payable</v>
      </c>
      <c r="D156" s="970" t="str">
        <f>+IF('Qualitative Disclosures for AS'!D500="","",'Qualitative Disclosures for AS'!D500)</f>
        <v/>
      </c>
      <c r="E156" s="971" t="str">
        <f>+IF('Qualitative Disclosures for AS'!E500="","",'Qualitative Disclosures for AS'!E500)</f>
        <v/>
      </c>
      <c r="Q156" s="42"/>
    </row>
    <row r="157" spans="3:17" hidden="1" x14ac:dyDescent="0.25">
      <c r="C157" s="107" t="str">
        <f>+IF('Qualitative Disclosures for AS'!C501="","",'Qualitative Disclosures for AS'!C501)</f>
        <v>not later than one year</v>
      </c>
      <c r="D157" s="970" t="str">
        <f>+IF('Qualitative Disclosures for AS'!D501="","",'Qualitative Disclosures for AS'!D501)</f>
        <v/>
      </c>
      <c r="E157" s="971" t="str">
        <f>+IF('Qualitative Disclosures for AS'!E501="","",'Qualitative Disclosures for AS'!E501)</f>
        <v/>
      </c>
      <c r="Q157" s="42"/>
    </row>
    <row r="158" spans="3:17" hidden="1" x14ac:dyDescent="0.25">
      <c r="C158" s="107" t="str">
        <f>+IF('Qualitative Disclosures for AS'!C502="","",'Qualitative Disclosures for AS'!C502)</f>
        <v>later than one year and not later than five years</v>
      </c>
      <c r="D158" s="970" t="str">
        <f>+IF('Qualitative Disclosures for AS'!D502="","",'Qualitative Disclosures for AS'!D502)</f>
        <v/>
      </c>
      <c r="E158" s="971" t="str">
        <f>+IF('Qualitative Disclosures for AS'!E502="","",'Qualitative Disclosures for AS'!E502)</f>
        <v/>
      </c>
      <c r="Q158" s="42"/>
    </row>
    <row r="159" spans="3:17" hidden="1" x14ac:dyDescent="0.25">
      <c r="C159" s="107" t="str">
        <f>+IF('Qualitative Disclosures for AS'!C503="","",'Qualitative Disclosures for AS'!C503)</f>
        <v>later than five years</v>
      </c>
      <c r="D159" s="970" t="str">
        <f>+IF('Qualitative Disclosures for AS'!D503="","",'Qualitative Disclosures for AS'!D503)</f>
        <v/>
      </c>
      <c r="E159" s="971" t="str">
        <f>+IF('Qualitative Disclosures for AS'!E503="","",'Qualitative Disclosures for AS'!E503)</f>
        <v/>
      </c>
      <c r="Q159" s="42"/>
    </row>
    <row r="160" spans="3:17" hidden="1" x14ac:dyDescent="0.25">
      <c r="C160" s="107" t="str">
        <f>+IF('Qualitative Disclosures for AS'!C504="","",'Qualitative Disclosures for AS'!C504)</f>
        <v/>
      </c>
      <c r="D160" s="970" t="str">
        <f>+IF('Qualitative Disclosures for AS'!D504="","",'Qualitative Disclosures for AS'!D504)</f>
        <v/>
      </c>
      <c r="E160" s="971" t="str">
        <f>+IF('Qualitative Disclosures for AS'!E504="","",'Qualitative Disclosures for AS'!E504)</f>
        <v/>
      </c>
      <c r="Q160" s="42"/>
    </row>
    <row r="161" spans="3:17" hidden="1" x14ac:dyDescent="0.25">
      <c r="C161" s="107" t="str">
        <f>+IF('Qualitative Disclosures for AS'!C505="","",'Qualitative Disclosures for AS'!C505)</f>
        <v>Contingent rents recognised as expense during the year (state basis)</v>
      </c>
      <c r="D161" s="970" t="str">
        <f>+IF('Qualitative Disclosures for AS'!D505="","",'Qualitative Disclosures for AS'!D505)</f>
        <v/>
      </c>
      <c r="E161" s="971" t="str">
        <f>+IF('Qualitative Disclosures for AS'!E505="","",'Qualitative Disclosures for AS'!E505)</f>
        <v/>
      </c>
      <c r="Q161" s="42"/>
    </row>
    <row r="162" spans="3:17" hidden="1" x14ac:dyDescent="0.25">
      <c r="C162" s="107" t="str">
        <f>+IF('Qualitative Disclosures for AS'!C506="","",'Qualitative Disclosures for AS'!C506)</f>
        <v/>
      </c>
      <c r="D162" s="970" t="str">
        <f>+IF('Qualitative Disclosures for AS'!D506="","",'Qualitative Disclosures for AS'!D506)</f>
        <v/>
      </c>
      <c r="E162" s="971" t="str">
        <f>+IF('Qualitative Disclosures for AS'!E506="","",'Qualitative Disclosures for AS'!E506)</f>
        <v/>
      </c>
      <c r="Q162" s="42"/>
    </row>
    <row r="163" spans="3:17" ht="33" hidden="1" x14ac:dyDescent="0.25">
      <c r="C163" s="130" t="str">
        <f>+IF('Qualitative Disclosures for AS'!C507="","",'Qualitative Disclosures for AS'!C507)</f>
        <v>Future minimum sublease payments expected to be received under non-cancellable subleases</v>
      </c>
      <c r="D163" s="970" t="str">
        <f>+IF('Qualitative Disclosures for AS'!D507="","",'Qualitative Disclosures for AS'!D507)</f>
        <v/>
      </c>
      <c r="E163" s="971" t="str">
        <f>+IF('Qualitative Disclosures for AS'!E507="","",'Qualitative Disclosures for AS'!E507)</f>
        <v/>
      </c>
      <c r="Q163" s="42"/>
    </row>
    <row r="164" spans="3:17" hidden="1" x14ac:dyDescent="0.25">
      <c r="C164" s="107" t="str">
        <f>+IF('Qualitative Disclosures for AS'!C508="","",'Qualitative Disclosures for AS'!C508)</f>
        <v/>
      </c>
      <c r="D164" s="970" t="str">
        <f>+IF('Qualitative Disclosures for AS'!D508="","",'Qualitative Disclosures for AS'!D508)</f>
        <v/>
      </c>
      <c r="E164" s="971" t="str">
        <f>+IF('Qualitative Disclosures for AS'!E508="","",'Qualitative Disclosures for AS'!E508)</f>
        <v/>
      </c>
      <c r="Q164" s="42"/>
    </row>
    <row r="165" spans="3:17" ht="99" hidden="1" x14ac:dyDescent="0.25">
      <c r="C165" s="130" t="str">
        <f>+IF('Qualitative Disclosures for AS'!C509="","",'Qualitative Disclosures for AS'!C509)</f>
        <v>The Company has entered into operating lease arrangements for certain facilities and office premises. The leases are non-cancellable and are for a period of ___ to ____ years and may be renewed for a further period of ___ years based on mutual agreement of the parties. The lease agreements provide for an increase in the lease payments by __ to ___% every ____ years.</v>
      </c>
      <c r="D165" s="970" t="str">
        <f>+IF('Qualitative Disclosures for AS'!D509="","",'Qualitative Disclosures for AS'!D509)</f>
        <v/>
      </c>
      <c r="E165" s="971" t="str">
        <f>+IF('Qualitative Disclosures for AS'!E509="","",'Qualitative Disclosures for AS'!E509)</f>
        <v/>
      </c>
      <c r="Q165" s="42"/>
    </row>
    <row r="166" spans="3:17" hidden="1" x14ac:dyDescent="0.25">
      <c r="C166" s="107" t="str">
        <f>+IF('Qualitative Disclosures for AS'!C510="","",'Qualitative Disclosures for AS'!C510)</f>
        <v xml:space="preserve">Future minimum lease payments </v>
      </c>
      <c r="D166" s="970" t="str">
        <f>+IF('Qualitative Disclosures for AS'!D510="","",'Qualitative Disclosures for AS'!D510)</f>
        <v/>
      </c>
      <c r="E166" s="971" t="str">
        <f>+IF('Qualitative Disclosures for AS'!E510="","",'Qualitative Disclosures for AS'!E510)</f>
        <v/>
      </c>
      <c r="Q166" s="42"/>
    </row>
    <row r="167" spans="3:17" hidden="1" x14ac:dyDescent="0.25">
      <c r="C167" s="107" t="str">
        <f>+IF('Qualitative Disclosures for AS'!C511="","",'Qualitative Disclosures for AS'!C511)</f>
        <v>not later than one year</v>
      </c>
      <c r="D167" s="970" t="str">
        <f>+IF('Qualitative Disclosures for AS'!D511="","",'Qualitative Disclosures for AS'!D511)</f>
        <v/>
      </c>
      <c r="E167" s="971" t="str">
        <f>+IF('Qualitative Disclosures for AS'!E511="","",'Qualitative Disclosures for AS'!E511)</f>
        <v/>
      </c>
      <c r="Q167" s="42"/>
    </row>
    <row r="168" spans="3:17" hidden="1" x14ac:dyDescent="0.25">
      <c r="C168" s="107" t="str">
        <f>+IF('Qualitative Disclosures for AS'!C512="","",'Qualitative Disclosures for AS'!C512)</f>
        <v>later than one year and not later than five years</v>
      </c>
      <c r="D168" s="970" t="str">
        <f>+IF('Qualitative Disclosures for AS'!D512="","",'Qualitative Disclosures for AS'!D512)</f>
        <v/>
      </c>
      <c r="E168" s="971" t="str">
        <f>+IF('Qualitative Disclosures for AS'!E512="","",'Qualitative Disclosures for AS'!E512)</f>
        <v/>
      </c>
      <c r="Q168" s="42"/>
    </row>
    <row r="169" spans="3:17" hidden="1" x14ac:dyDescent="0.25">
      <c r="C169" s="107" t="str">
        <f>+IF('Qualitative Disclosures for AS'!C513="","",'Qualitative Disclosures for AS'!C513)</f>
        <v>later than five years</v>
      </c>
      <c r="D169" s="970" t="str">
        <f>+IF('Qualitative Disclosures for AS'!D513="","",'Qualitative Disclosures for AS'!D513)</f>
        <v/>
      </c>
      <c r="E169" s="971" t="str">
        <f>+IF('Qualitative Disclosures for AS'!E513="","",'Qualitative Disclosures for AS'!E513)</f>
        <v/>
      </c>
      <c r="Q169" s="42"/>
    </row>
    <row r="170" spans="3:17" hidden="1" x14ac:dyDescent="0.25">
      <c r="C170" s="107" t="str">
        <f>+IF('Qualitative Disclosures for AS'!C514="","",'Qualitative Disclosures for AS'!C514)</f>
        <v/>
      </c>
      <c r="D170" s="970" t="str">
        <f>+IF('Qualitative Disclosures for AS'!D514="","",'Qualitative Disclosures for AS'!D514)</f>
        <v/>
      </c>
      <c r="E170" s="971" t="str">
        <f>+IF('Qualitative Disclosures for AS'!E514="","",'Qualitative Disclosures for AS'!E514)</f>
        <v/>
      </c>
      <c r="Q170" s="42"/>
    </row>
    <row r="171" spans="3:17" hidden="1" x14ac:dyDescent="0.25">
      <c r="C171" s="107" t="str">
        <f>+IF('Qualitative Disclosures for AS'!C515="","",'Qualitative Disclosures for AS'!C515)</f>
        <v>Lease payments recognised in the Statement of Profit and Loss</v>
      </c>
      <c r="D171" s="970" t="str">
        <f>+IF('Qualitative Disclosures for AS'!D515="","",'Qualitative Disclosures for AS'!D515)</f>
        <v/>
      </c>
      <c r="E171" s="971" t="str">
        <f>+IF('Qualitative Disclosures for AS'!E515="","",'Qualitative Disclosures for AS'!E515)</f>
        <v/>
      </c>
      <c r="Q171" s="42"/>
    </row>
    <row r="172" spans="3:17" hidden="1" x14ac:dyDescent="0.25">
      <c r="C172" s="107" t="str">
        <f>+IF('Qualitative Disclosures for AS'!C516="","",'Qualitative Disclosures for AS'!C516)</f>
        <v>Contingent rents recognised as expense during the year (state basis)</v>
      </c>
      <c r="D172" s="970" t="str">
        <f>+IF('Qualitative Disclosures for AS'!D516="","",'Qualitative Disclosures for AS'!D516)</f>
        <v/>
      </c>
      <c r="E172" s="971" t="str">
        <f>+IF('Qualitative Disclosures for AS'!E516="","",'Qualitative Disclosures for AS'!E516)</f>
        <v/>
      </c>
      <c r="Q172" s="42"/>
    </row>
    <row r="173" spans="3:17" hidden="1" x14ac:dyDescent="0.25">
      <c r="C173" s="107" t="str">
        <f>+IF('Qualitative Disclosures for AS'!C517="","",'Qualitative Disclosures for AS'!C517)</f>
        <v/>
      </c>
      <c r="D173" s="970" t="str">
        <f>+IF('Qualitative Disclosures for AS'!D517="","",'Qualitative Disclosures for AS'!D517)</f>
        <v/>
      </c>
      <c r="E173" s="971" t="str">
        <f>+IF('Qualitative Disclosures for AS'!E517="","",'Qualitative Disclosures for AS'!E517)</f>
        <v/>
      </c>
      <c r="Q173" s="42"/>
    </row>
    <row r="174" spans="3:17" ht="33" hidden="1" x14ac:dyDescent="0.25">
      <c r="C174" s="130" t="str">
        <f>+IF('Qualitative Disclosures for AS'!C518="","",'Qualitative Disclosures for AS'!C518)</f>
        <v>Future minimum sublease payments expected to be received under non-cancellable subleases</v>
      </c>
      <c r="D174" s="970" t="str">
        <f>+IF('Qualitative Disclosures for AS'!D518="","",'Qualitative Disclosures for AS'!D518)</f>
        <v/>
      </c>
      <c r="E174" s="971" t="str">
        <f>+IF('Qualitative Disclosures for AS'!E518="","",'Qualitative Disclosures for AS'!E518)</f>
        <v/>
      </c>
      <c r="Q174" s="42"/>
    </row>
    <row r="175" spans="3:17" hidden="1" x14ac:dyDescent="0.25">
      <c r="C175" s="107" t="str">
        <f>+IF('Qualitative Disclosures for AS'!C519="","",'Qualitative Disclosures for AS'!C519)</f>
        <v/>
      </c>
      <c r="D175" s="970" t="str">
        <f>+IF('Qualitative Disclosures for AS'!D519="","",'Qualitative Disclosures for AS'!D519)</f>
        <v/>
      </c>
      <c r="E175" s="971" t="str">
        <f>+IF('Qualitative Disclosures for AS'!E519="","",'Qualitative Disclosures for AS'!E519)</f>
        <v/>
      </c>
      <c r="Q175" s="42"/>
    </row>
    <row r="176" spans="3:17" ht="33" hidden="1" x14ac:dyDescent="0.25">
      <c r="C176" s="814" t="str">
        <f>+IF('Qualitative Disclosures for AS'!C520="","",'Qualitative Disclosures for AS'!C520)</f>
        <v>Sublease payments received / receivable recognised in the Statement of Profit and Loss</v>
      </c>
      <c r="D176" s="972" t="str">
        <f>+IF('Qualitative Disclosures for AS'!D520="","",'Qualitative Disclosures for AS'!D520)</f>
        <v/>
      </c>
      <c r="E176" s="973" t="str">
        <f>+IF('Qualitative Disclosures for AS'!E520="","",'Qualitative Disclosures for AS'!E520)</f>
        <v/>
      </c>
      <c r="Q176" s="42"/>
    </row>
    <row r="177" spans="2:17" hidden="1" x14ac:dyDescent="0.25">
      <c r="C177" s="147" t="str">
        <f>+IF('Qualitative Disclosures for AS'!C521="","",'Qualitative Disclosures for AS'!C521)</f>
        <v/>
      </c>
      <c r="D177" s="834" t="str">
        <f>+IF('Qualitative Disclosures for AS'!D521="","",'Qualitative Disclosures for AS'!D521)</f>
        <v/>
      </c>
      <c r="E177" s="834" t="str">
        <f>+IF('Qualitative Disclosures for AS'!E521="","",'Qualitative Disclosures for AS'!E521)</f>
        <v/>
      </c>
      <c r="Q177" s="42"/>
    </row>
    <row r="178" spans="2:17" hidden="1" x14ac:dyDescent="0.25">
      <c r="C178" s="1717" t="str">
        <f>+IF('Qualitative Disclosures for AS'!C522="","",'Qualitative Disclosures for AS'!C522)</f>
        <v/>
      </c>
      <c r="D178" s="1422" t="str">
        <f>+IF('Qualitative Disclosures for AS'!D522="","",'Qualitative Disclosures for AS'!D522)</f>
        <v/>
      </c>
      <c r="E178" s="1422" t="str">
        <f>+IF('Qualitative Disclosures for AS'!E522="","",'Qualitative Disclosures for AS'!E522)</f>
        <v/>
      </c>
      <c r="F178" s="1715" t="str">
        <f>+IF('Qualitative Disclosures for AS'!F522="","",'Qualitative Disclosures for AS'!F522)</f>
        <v/>
      </c>
      <c r="G178" s="1715" t="str">
        <f>+IF('Qualitative Disclosures for AS'!G522="","",'Qualitative Disclosures for AS'!G522)</f>
        <v/>
      </c>
      <c r="H178" s="1715" t="str">
        <f>+IF('Qualitative Disclosures for AS'!H522="","",'Qualitative Disclosures for AS'!H522)</f>
        <v/>
      </c>
      <c r="I178" s="1716" t="str">
        <f>+IF('Qualitative Disclosures for AS'!I522="","",'Qualitative Disclosures for AS'!I522)</f>
        <v/>
      </c>
      <c r="Q178" s="42"/>
    </row>
    <row r="179" spans="2:17" hidden="1" x14ac:dyDescent="0.25">
      <c r="C179" s="1717" t="str">
        <f>+IF('Qualitative Disclosures for AS'!C523="","",'Qualitative Disclosures for AS'!C523)</f>
        <v/>
      </c>
      <c r="D179" s="1422" t="str">
        <f>+IF('Qualitative Disclosures for AS'!D523="","",'Qualitative Disclosures for AS'!D523)</f>
        <v/>
      </c>
      <c r="E179" s="1422" t="str">
        <f>+IF('Qualitative Disclosures for AS'!E523="","",'Qualitative Disclosures for AS'!E523)</f>
        <v/>
      </c>
      <c r="F179" s="1715" t="str">
        <f>+IF('Qualitative Disclosures for AS'!F523="","",'Qualitative Disclosures for AS'!F523)</f>
        <v/>
      </c>
      <c r="G179" s="1715" t="str">
        <f>+IF('Qualitative Disclosures for AS'!G523="","",'Qualitative Disclosures for AS'!G523)</f>
        <v/>
      </c>
      <c r="H179" s="1715" t="str">
        <f>+IF('Qualitative Disclosures for AS'!H523="","",'Qualitative Disclosures for AS'!H523)</f>
        <v/>
      </c>
      <c r="I179" s="1716" t="str">
        <f>+IF('Qualitative Disclosures for AS'!I523="","",'Qualitative Disclosures for AS'!I523)</f>
        <v/>
      </c>
      <c r="Q179" s="42"/>
    </row>
    <row r="180" spans="2:17" hidden="1" x14ac:dyDescent="0.25">
      <c r="C180" s="1717" t="str">
        <f>+IF('Qualitative Disclosures for AS'!C524="","",'Qualitative Disclosures for AS'!C524)</f>
        <v/>
      </c>
      <c r="D180" s="1422" t="str">
        <f>+IF('Qualitative Disclosures for AS'!D524="","",'Qualitative Disclosures for AS'!D524)</f>
        <v/>
      </c>
      <c r="E180" s="1422" t="str">
        <f>+IF('Qualitative Disclosures for AS'!E524="","",'Qualitative Disclosures for AS'!E524)</f>
        <v/>
      </c>
      <c r="F180" s="1715" t="str">
        <f>+IF('Qualitative Disclosures for AS'!F524="","",'Qualitative Disclosures for AS'!F524)</f>
        <v/>
      </c>
      <c r="G180" s="1715" t="str">
        <f>+IF('Qualitative Disclosures for AS'!G524="","",'Qualitative Disclosures for AS'!G524)</f>
        <v/>
      </c>
      <c r="H180" s="1715" t="str">
        <f>+IF('Qualitative Disclosures for AS'!H524="","",'Qualitative Disclosures for AS'!H524)</f>
        <v/>
      </c>
      <c r="I180" s="1716" t="str">
        <f>+IF('Qualitative Disclosures for AS'!I524="","",'Qualitative Disclosures for AS'!I524)</f>
        <v/>
      </c>
      <c r="Q180" s="42"/>
    </row>
    <row r="181" spans="2:17" hidden="1" x14ac:dyDescent="0.25">
      <c r="C181" s="1717" t="str">
        <f>+IF('Qualitative Disclosures for AS'!C525="","",'Qualitative Disclosures for AS'!C525)</f>
        <v/>
      </c>
      <c r="D181" s="1422" t="str">
        <f>+IF('Qualitative Disclosures for AS'!D525="","",'Qualitative Disclosures for AS'!D525)</f>
        <v/>
      </c>
      <c r="E181" s="1422" t="str">
        <f>+IF('Qualitative Disclosures for AS'!E525="","",'Qualitative Disclosures for AS'!E525)</f>
        <v/>
      </c>
      <c r="F181" s="1715" t="str">
        <f>+IF('Qualitative Disclosures for AS'!F525="","",'Qualitative Disclosures for AS'!F525)</f>
        <v/>
      </c>
      <c r="G181" s="1715" t="str">
        <f>+IF('Qualitative Disclosures for AS'!G525="","",'Qualitative Disclosures for AS'!G525)</f>
        <v/>
      </c>
      <c r="H181" s="1715" t="str">
        <f>+IF('Qualitative Disclosures for AS'!H525="","",'Qualitative Disclosures for AS'!H525)</f>
        <v/>
      </c>
      <c r="I181" s="1716" t="str">
        <f>+IF('Qualitative Disclosures for AS'!I525="","",'Qualitative Disclosures for AS'!I525)</f>
        <v/>
      </c>
      <c r="Q181" s="42"/>
    </row>
    <row r="182" spans="2:17" hidden="1" x14ac:dyDescent="0.25">
      <c r="C182" s="1717" t="str">
        <f>+IF('Qualitative Disclosures for AS'!C526="","",'Qualitative Disclosures for AS'!C526)</f>
        <v/>
      </c>
      <c r="D182" s="1422" t="str">
        <f>+IF('Qualitative Disclosures for AS'!D526="","",'Qualitative Disclosures for AS'!D526)</f>
        <v/>
      </c>
      <c r="E182" s="1422" t="str">
        <f>+IF('Qualitative Disclosures for AS'!E526="","",'Qualitative Disclosures for AS'!E526)</f>
        <v/>
      </c>
      <c r="F182" s="1715" t="str">
        <f>+IF('Qualitative Disclosures for AS'!F526="","",'Qualitative Disclosures for AS'!F526)</f>
        <v/>
      </c>
      <c r="G182" s="1715" t="str">
        <f>+IF('Qualitative Disclosures for AS'!G526="","",'Qualitative Disclosures for AS'!G526)</f>
        <v/>
      </c>
      <c r="H182" s="1715" t="str">
        <f>+IF('Qualitative Disclosures for AS'!H526="","",'Qualitative Disclosures for AS'!H526)</f>
        <v/>
      </c>
      <c r="I182" s="1716" t="str">
        <f>+IF('Qualitative Disclosures for AS'!I526="","",'Qualitative Disclosures for AS'!I526)</f>
        <v/>
      </c>
      <c r="Q182" s="42"/>
    </row>
    <row r="183" spans="2:17" hidden="1" x14ac:dyDescent="0.25">
      <c r="C183" s="1717" t="str">
        <f>+IF('Qualitative Disclosures for AS'!C527="","",'Qualitative Disclosures for AS'!C527)</f>
        <v/>
      </c>
      <c r="D183" s="1422" t="str">
        <f>+IF('Qualitative Disclosures for AS'!D527="","",'Qualitative Disclosures for AS'!D527)</f>
        <v/>
      </c>
      <c r="E183" s="1422" t="str">
        <f>+IF('Qualitative Disclosures for AS'!E527="","",'Qualitative Disclosures for AS'!E527)</f>
        <v/>
      </c>
      <c r="F183" s="1715" t="str">
        <f>+IF('Qualitative Disclosures for AS'!F527="","",'Qualitative Disclosures for AS'!F527)</f>
        <v/>
      </c>
      <c r="G183" s="1715" t="str">
        <f>+IF('Qualitative Disclosures for AS'!G527="","",'Qualitative Disclosures for AS'!G527)</f>
        <v/>
      </c>
      <c r="H183" s="1715" t="str">
        <f>+IF('Qualitative Disclosures for AS'!H527="","",'Qualitative Disclosures for AS'!H527)</f>
        <v/>
      </c>
      <c r="I183" s="1716" t="str">
        <f>+IF('Qualitative Disclosures for AS'!I527="","",'Qualitative Disclosures for AS'!I527)</f>
        <v/>
      </c>
      <c r="Q183" s="42"/>
    </row>
    <row r="184" spans="2:17" hidden="1" x14ac:dyDescent="0.25">
      <c r="C184" s="1717" t="str">
        <f>+IF('Qualitative Disclosures for AS'!C528="","",'Qualitative Disclosures for AS'!C528)</f>
        <v/>
      </c>
      <c r="D184" s="1422" t="str">
        <f>+IF('Qualitative Disclosures for AS'!D528="","",'Qualitative Disclosures for AS'!D528)</f>
        <v/>
      </c>
      <c r="E184" s="1422" t="str">
        <f>+IF('Qualitative Disclosures for AS'!E528="","",'Qualitative Disclosures for AS'!E528)</f>
        <v/>
      </c>
      <c r="F184" s="1715" t="str">
        <f>+IF('Qualitative Disclosures for AS'!F528="","",'Qualitative Disclosures for AS'!F528)</f>
        <v/>
      </c>
      <c r="G184" s="1715" t="str">
        <f>+IF('Qualitative Disclosures for AS'!G528="","",'Qualitative Disclosures for AS'!G528)</f>
        <v/>
      </c>
      <c r="H184" s="1715" t="str">
        <f>+IF('Qualitative Disclosures for AS'!H528="","",'Qualitative Disclosures for AS'!H528)</f>
        <v/>
      </c>
      <c r="I184" s="1716" t="str">
        <f>+IF('Qualitative Disclosures for AS'!I528="","",'Qualitative Disclosures for AS'!I528)</f>
        <v/>
      </c>
      <c r="Q184" s="42"/>
    </row>
    <row r="185" spans="2:17" hidden="1" x14ac:dyDescent="0.25">
      <c r="C185" s="1717" t="str">
        <f>+IF('Qualitative Disclosures for AS'!C529="","",'Qualitative Disclosures for AS'!C529)</f>
        <v/>
      </c>
      <c r="D185" s="1422" t="str">
        <f>+IF('Qualitative Disclosures for AS'!D529="","",'Qualitative Disclosures for AS'!D529)</f>
        <v/>
      </c>
      <c r="E185" s="1422" t="str">
        <f>+IF('Qualitative Disclosures for AS'!E529="","",'Qualitative Disclosures for AS'!E529)</f>
        <v/>
      </c>
      <c r="F185" s="1715" t="str">
        <f>+IF('Qualitative Disclosures for AS'!F529="","",'Qualitative Disclosures for AS'!F529)</f>
        <v/>
      </c>
      <c r="G185" s="1715" t="str">
        <f>+IF('Qualitative Disclosures for AS'!G529="","",'Qualitative Disclosures for AS'!G529)</f>
        <v/>
      </c>
      <c r="H185" s="1715" t="str">
        <f>+IF('Qualitative Disclosures for AS'!H529="","",'Qualitative Disclosures for AS'!H529)</f>
        <v/>
      </c>
      <c r="I185" s="1716" t="str">
        <f>+IF('Qualitative Disclosures for AS'!I529="","",'Qualitative Disclosures for AS'!I529)</f>
        <v/>
      </c>
      <c r="Q185" s="42"/>
    </row>
    <row r="186" spans="2:17" hidden="1" x14ac:dyDescent="0.25">
      <c r="C186" s="1717" t="str">
        <f>+IF('Qualitative Disclosures for AS'!C530="","",'Qualitative Disclosures for AS'!C530)</f>
        <v/>
      </c>
      <c r="D186" s="1422" t="str">
        <f>+IF('Qualitative Disclosures for AS'!D530="","",'Qualitative Disclosures for AS'!D530)</f>
        <v/>
      </c>
      <c r="E186" s="1422" t="str">
        <f>+IF('Qualitative Disclosures for AS'!E530="","",'Qualitative Disclosures for AS'!E530)</f>
        <v/>
      </c>
      <c r="F186" s="1715" t="str">
        <f>+IF('Qualitative Disclosures for AS'!F530="","",'Qualitative Disclosures for AS'!F530)</f>
        <v/>
      </c>
      <c r="G186" s="1715" t="str">
        <f>+IF('Qualitative Disclosures for AS'!G530="","",'Qualitative Disclosures for AS'!G530)</f>
        <v/>
      </c>
      <c r="H186" s="1715" t="str">
        <f>+IF('Qualitative Disclosures for AS'!H530="","",'Qualitative Disclosures for AS'!H530)</f>
        <v/>
      </c>
      <c r="I186" s="1716" t="str">
        <f>+IF('Qualitative Disclosures for AS'!I530="","",'Qualitative Disclosures for AS'!I530)</f>
        <v/>
      </c>
      <c r="Q186" s="42"/>
    </row>
    <row r="187" spans="2:17" hidden="1" x14ac:dyDescent="0.25">
      <c r="C187" s="1717" t="str">
        <f>+IF('Qualitative Disclosures for AS'!C531="","",'Qualitative Disclosures for AS'!C531)</f>
        <v/>
      </c>
      <c r="D187" s="1422" t="str">
        <f>+IF('Qualitative Disclosures for AS'!D531="","",'Qualitative Disclosures for AS'!D531)</f>
        <v/>
      </c>
      <c r="E187" s="1422" t="str">
        <f>+IF('Qualitative Disclosures for AS'!E531="","",'Qualitative Disclosures for AS'!E531)</f>
        <v/>
      </c>
      <c r="F187" s="1715" t="str">
        <f>+IF('Qualitative Disclosures for AS'!F531="","",'Qualitative Disclosures for AS'!F531)</f>
        <v/>
      </c>
      <c r="G187" s="1715" t="str">
        <f>+IF('Qualitative Disclosures for AS'!G531="","",'Qualitative Disclosures for AS'!G531)</f>
        <v/>
      </c>
      <c r="H187" s="1715" t="str">
        <f>+IF('Qualitative Disclosures for AS'!H531="","",'Qualitative Disclosures for AS'!H531)</f>
        <v/>
      </c>
      <c r="I187" s="1716" t="str">
        <f>+IF('Qualitative Disclosures for AS'!I531="","",'Qualitative Disclosures for AS'!I531)</f>
        <v/>
      </c>
      <c r="Q187" s="42"/>
    </row>
    <row r="188" spans="2:17" hidden="1" x14ac:dyDescent="0.25">
      <c r="C188" s="1717" t="str">
        <f>+IF('Qualitative Disclosures for AS'!C532="","",'Qualitative Disclosures for AS'!C532)</f>
        <v/>
      </c>
      <c r="D188" s="1422" t="str">
        <f>+IF('Qualitative Disclosures for AS'!D532="","",'Qualitative Disclosures for AS'!D532)</f>
        <v/>
      </c>
      <c r="E188" s="1422" t="str">
        <f>+IF('Qualitative Disclosures for AS'!E532="","",'Qualitative Disclosures for AS'!E532)</f>
        <v/>
      </c>
      <c r="F188" s="1715" t="str">
        <f>+IF('Qualitative Disclosures for AS'!F532="","",'Qualitative Disclosures for AS'!F532)</f>
        <v/>
      </c>
      <c r="G188" s="1715" t="str">
        <f>+IF('Qualitative Disclosures for AS'!G532="","",'Qualitative Disclosures for AS'!G532)</f>
        <v/>
      </c>
      <c r="H188" s="1715" t="str">
        <f>+IF('Qualitative Disclosures for AS'!H532="","",'Qualitative Disclosures for AS'!H532)</f>
        <v/>
      </c>
      <c r="I188" s="1716" t="str">
        <f>+IF('Qualitative Disclosures for AS'!I532="","",'Qualitative Disclosures for AS'!I532)</f>
        <v/>
      </c>
      <c r="Q188" s="42"/>
    </row>
    <row r="189" spans="2:17" hidden="1" x14ac:dyDescent="0.25">
      <c r="C189" s="1717" t="str">
        <f>+IF('Qualitative Disclosures for AS'!C533="","",'Qualitative Disclosures for AS'!C533)</f>
        <v/>
      </c>
      <c r="D189" s="1422" t="str">
        <f>+IF('Qualitative Disclosures for AS'!D533="","",'Qualitative Disclosures for AS'!D533)</f>
        <v/>
      </c>
      <c r="E189" s="1422" t="str">
        <f>+IF('Qualitative Disclosures for AS'!E533="","",'Qualitative Disclosures for AS'!E533)</f>
        <v/>
      </c>
      <c r="F189" s="1715" t="str">
        <f>+IF('Qualitative Disclosures for AS'!F533="","",'Qualitative Disclosures for AS'!F533)</f>
        <v/>
      </c>
      <c r="G189" s="1715" t="str">
        <f>+IF('Qualitative Disclosures for AS'!G533="","",'Qualitative Disclosures for AS'!G533)</f>
        <v/>
      </c>
      <c r="H189" s="1715" t="str">
        <f>+IF('Qualitative Disclosures for AS'!H533="","",'Qualitative Disclosures for AS'!H533)</f>
        <v/>
      </c>
      <c r="I189" s="1716" t="str">
        <f>+IF('Qualitative Disclosures for AS'!I533="","",'Qualitative Disclosures for AS'!I533)</f>
        <v/>
      </c>
      <c r="Q189" s="42"/>
    </row>
    <row r="190" spans="2:17" hidden="1" x14ac:dyDescent="0.25">
      <c r="Q190" s="42"/>
    </row>
    <row r="191" spans="2:17" hidden="1" x14ac:dyDescent="0.25">
      <c r="C191" s="131" t="s">
        <v>3299</v>
      </c>
    </row>
    <row r="192" spans="2:17" x14ac:dyDescent="0.25">
      <c r="B192" s="18">
        <v>30</v>
      </c>
      <c r="C192" s="131" t="s">
        <v>109</v>
      </c>
    </row>
    <row r="193" spans="3:17" x14ac:dyDescent="0.25">
      <c r="E193" s="2525" t="str">
        <f>+'AS 15 Disclosures'!G26</f>
        <v>Amount in Rs '00.</v>
      </c>
    </row>
    <row r="194" spans="3:17" ht="30" x14ac:dyDescent="0.25">
      <c r="C194" s="2517" t="str">
        <f>+IF('Qualitative Disclosures for AS'!C539="","",'Qualitative Disclosures for AS'!C539)</f>
        <v>Particulars</v>
      </c>
      <c r="D194" s="1935" t="str">
        <f>+IF('Qualitative Disclosures for AS'!D539="","",'Qualitative Disclosures for AS'!D539)</f>
        <v>As At 31st March 2025</v>
      </c>
      <c r="E194" s="2518" t="str">
        <f>+IF('Qualitative Disclosures for AS'!E539="","",'Qualitative Disclosures for AS'!E539)</f>
        <v>As At 31st March 2024</v>
      </c>
    </row>
    <row r="195" spans="3:17" x14ac:dyDescent="0.25">
      <c r="C195" s="819" t="str">
        <f>+IF('Qualitative Disclosures for AS'!C540="","",'Qualitative Disclosures for AS'!C540)</f>
        <v>Basic</v>
      </c>
      <c r="D195" s="106" t="str">
        <f>+IF('Qualitative Disclosures for AS'!D540="","",'Qualitative Disclosures for AS'!D540)</f>
        <v/>
      </c>
      <c r="E195" s="106" t="str">
        <f>+IF('Qualitative Disclosures for AS'!E540="","",'Qualitative Disclosures for AS'!E540)</f>
        <v/>
      </c>
      <c r="Q195" s="42"/>
    </row>
    <row r="196" spans="3:17" x14ac:dyDescent="0.25">
      <c r="C196" s="116" t="str">
        <f>+IF('Qualitative Disclosures for AS'!C541="","",'Qualitative Disclosures for AS'!C541)</f>
        <v xml:space="preserve">Profit / (loss) for the year </v>
      </c>
      <c r="D196" s="845">
        <f>+IF('Qualitative Disclosures for AS'!D541="","",'Qualitative Disclosures for AS'!D541)</f>
        <v>326016.54773805174</v>
      </c>
      <c r="E196" s="845">
        <f>+IF('Qualitative Disclosures for AS'!E541="","",'Qualitative Disclosures for AS'!E541)</f>
        <v>209345.48279999947</v>
      </c>
      <c r="Q196" s="42"/>
    </row>
    <row r="197" spans="3:17" hidden="1" x14ac:dyDescent="0.25">
      <c r="C197" s="116" t="str">
        <f>+IF('Qualitative Disclosures for AS'!C542="","",'Qualitative Disclosures for AS'!C542)</f>
        <v>Less: Preference dividend and tax thereon</v>
      </c>
      <c r="D197" s="942">
        <v>0</v>
      </c>
      <c r="E197" s="942">
        <v>0</v>
      </c>
      <c r="Q197" s="42"/>
    </row>
    <row r="198" spans="3:17" hidden="1" x14ac:dyDescent="0.25">
      <c r="C198" s="116" t="str">
        <f>+IF('Qualitative Disclosures for AS'!C543="","",'Qualitative Disclosures for AS'!C543)</f>
        <v>Profit / (loss) for the year attributable to the equity shareholders</v>
      </c>
      <c r="D198" s="845">
        <f>+IF('Qualitative Disclosures for AS'!D543="","",'Qualitative Disclosures for AS'!D543)</f>
        <v>326016.54773805174</v>
      </c>
      <c r="E198" s="845">
        <f>+IF('Qualitative Disclosures for AS'!E543="","",'Qualitative Disclosures for AS'!E543)</f>
        <v>209345.48279999947</v>
      </c>
      <c r="Q198" s="42"/>
    </row>
    <row r="199" spans="3:17" x14ac:dyDescent="0.25">
      <c r="C199" s="116" t="str">
        <f>+IF('Qualitative Disclosures for AS'!C544="","",'Qualitative Disclosures for AS'!C544)</f>
        <v>Weighted average number of equity shares</v>
      </c>
      <c r="D199" s="845">
        <f>+'Qualitative Disclosures'!G18</f>
        <v>150000</v>
      </c>
      <c r="E199" s="845">
        <f>+'Qualitative Disclosures'!I18</f>
        <v>150000</v>
      </c>
      <c r="Q199" s="42"/>
    </row>
    <row r="200" spans="3:17" x14ac:dyDescent="0.25">
      <c r="C200" s="116" t="str">
        <f>+IF('Qualitative Disclosures for AS'!C545="","",'Qualitative Disclosures for AS'!C545)</f>
        <v>Par value per share</v>
      </c>
      <c r="D200" s="845">
        <f>+IF('Qualitative Disclosures for AS'!D545="","",'Qualitative Disclosures for AS'!D545)</f>
        <v>100</v>
      </c>
      <c r="E200" s="845">
        <f>+IF('Qualitative Disclosures for AS'!E545="","",'Qualitative Disclosures for AS'!E545)</f>
        <v>100</v>
      </c>
      <c r="Q200" s="42"/>
    </row>
    <row r="201" spans="3:17" x14ac:dyDescent="0.25">
      <c r="C201" s="116" t="str">
        <f>+IF('Qualitative Disclosures for AS'!C546="","",'Qualitative Disclosures for AS'!C546)</f>
        <v>Earnings per share - Basic</v>
      </c>
      <c r="D201" s="847">
        <f>+IF('Qualitative Disclosures for AS'!D546="","",'Qualitative Disclosures for AS'!D546)</f>
        <v>217.34436515870115</v>
      </c>
      <c r="E201" s="847">
        <f>+IF('Qualitative Disclosures for AS'!E546="","",'Qualitative Disclosures for AS'!E546)</f>
        <v>139.56365519999966</v>
      </c>
      <c r="Q201" s="42"/>
    </row>
    <row r="202" spans="3:17" x14ac:dyDescent="0.25">
      <c r="C202" s="116" t="str">
        <f>+IF('Qualitative Disclosures for AS'!C547="","",'Qualitative Disclosures for AS'!C547)</f>
        <v/>
      </c>
      <c r="D202" s="845" t="str">
        <f>+IF('Qualitative Disclosures for AS'!D547="","",'Qualitative Disclosures for AS'!D547)</f>
        <v/>
      </c>
      <c r="E202" s="845" t="str">
        <f>+IF('Qualitative Disclosures for AS'!E547="","",'Qualitative Disclosures for AS'!E547)</f>
        <v/>
      </c>
      <c r="Q202" s="42"/>
    </row>
    <row r="203" spans="3:17" x14ac:dyDescent="0.25">
      <c r="C203" s="819" t="str">
        <f>+IF('Qualitative Disclosures for AS'!C548="","",'Qualitative Disclosures for AS'!C548)</f>
        <v>Diluted</v>
      </c>
      <c r="D203" s="845" t="str">
        <f>+IF('Qualitative Disclosures for AS'!D548="","",'Qualitative Disclosures for AS'!D548)</f>
        <v/>
      </c>
      <c r="E203" s="845" t="str">
        <f>+IF('Qualitative Disclosures for AS'!E548="","",'Qualitative Disclosures for AS'!E548)</f>
        <v/>
      </c>
      <c r="Q203" s="42"/>
    </row>
    <row r="204" spans="3:17" x14ac:dyDescent="0.25">
      <c r="C204" s="116" t="str">
        <f>+IF('Qualitative Disclosures for AS'!C549="","",'Qualitative Disclosures for AS'!C549)</f>
        <v xml:space="preserve">Profit / (loss) for the year </v>
      </c>
      <c r="D204" s="845">
        <f>+IF('Qualitative Disclosures for AS'!D549="","",'Qualitative Disclosures for AS'!D549)</f>
        <v>326016.54773805174</v>
      </c>
      <c r="E204" s="845">
        <f>+IF('Qualitative Disclosures for AS'!E549="","",'Qualitative Disclosures for AS'!E549)</f>
        <v>209345.48279999947</v>
      </c>
      <c r="Q204" s="42"/>
    </row>
    <row r="205" spans="3:17" hidden="1" x14ac:dyDescent="0.25">
      <c r="C205" s="116" t="str">
        <f>+IF('Qualitative Disclosures for AS'!C550="","",'Qualitative Disclosures for AS'!C550)</f>
        <v>Less: Preference dividend and tax thereon</v>
      </c>
      <c r="D205" s="942">
        <f>+IF('Qualitative Disclosures for AS'!D550="","",'Qualitative Disclosures for AS'!D550)</f>
        <v>0</v>
      </c>
      <c r="E205" s="942">
        <f>+IF('Qualitative Disclosures for AS'!E550="","",'Qualitative Disclosures for AS'!E550)</f>
        <v>0</v>
      </c>
      <c r="Q205" s="42"/>
    </row>
    <row r="206" spans="3:17" hidden="1" x14ac:dyDescent="0.25">
      <c r="C206" s="116" t="str">
        <f>+IF('Qualitative Disclosures for AS'!C551="","",'Qualitative Disclosures for AS'!C551)</f>
        <v xml:space="preserve">Profit / (loss) for the year attributable to the equity shareholders </v>
      </c>
      <c r="D206" s="845">
        <f>+IF('Qualitative Disclosures for AS'!D551="","",'Qualitative Disclosures for AS'!D551)</f>
        <v>326016.54773805174</v>
      </c>
      <c r="E206" s="845">
        <f>+IF('Qualitative Disclosures for AS'!E551="","",'Qualitative Disclosures for AS'!E551)</f>
        <v>209345.48279999947</v>
      </c>
      <c r="Q206" s="42"/>
    </row>
    <row r="207" spans="3:17" ht="33" hidden="1" x14ac:dyDescent="0.25">
      <c r="C207" s="116" t="str">
        <f>+IF('Qualitative Disclosures for AS'!C552="","",'Qualitative Disclosures for AS'!C552)</f>
        <v>Add: Interest expense and exchange fluctuation on convertible bonds (net) - adjusted for attributable taxes</v>
      </c>
      <c r="D207" s="942" t="str">
        <f>+IF('Qualitative Disclosures for AS'!D552="","",'Qualitative Disclosures for AS'!D552)</f>
        <v/>
      </c>
      <c r="E207" s="942" t="str">
        <f>+IF('Qualitative Disclosures for AS'!E552="","",'Qualitative Disclosures for AS'!E552)</f>
        <v/>
      </c>
      <c r="Q207" s="42"/>
    </row>
    <row r="208" spans="3:17" hidden="1" x14ac:dyDescent="0.25">
      <c r="C208" s="116" t="str">
        <f>+IF('Qualitative Disclosures for AS'!C553="","",'Qualitative Disclosures for AS'!C553)</f>
        <v>Profit / (loss) attributable to equity shareholders (on dilution)</v>
      </c>
      <c r="D208" s="847">
        <f>+IF('Qualitative Disclosures for AS'!D553="","",'Qualitative Disclosures for AS'!D553)</f>
        <v>326016.54773805174</v>
      </c>
      <c r="E208" s="847">
        <f>+IF('Qualitative Disclosures for AS'!E553="","",'Qualitative Disclosures for AS'!E553)</f>
        <v>209345.48279999947</v>
      </c>
      <c r="Q208" s="42"/>
    </row>
    <row r="209" spans="3:17" hidden="1" x14ac:dyDescent="0.25">
      <c r="C209" s="116" t="str">
        <f>+IF('Qualitative Disclosures for AS'!C554="","",'Qualitative Disclosures for AS'!C554)</f>
        <v>Weighted average number of equity shares for Basic EPS</v>
      </c>
      <c r="D209" s="845" t="str">
        <f>+IF('Qualitative Disclosures for AS'!D554="","",'Qualitative Disclosures for AS'!D554)</f>
        <v/>
      </c>
      <c r="E209" s="845" t="str">
        <f>+IF('Qualitative Disclosures for AS'!E554="","",'Qualitative Disclosures for AS'!E554)</f>
        <v/>
      </c>
      <c r="Q209" s="42"/>
    </row>
    <row r="210" spans="3:17" ht="33" hidden="1" x14ac:dyDescent="0.25">
      <c r="C210" s="116" t="str">
        <f>+IF('Qualitative Disclosures for AS'!C555="","",'Qualitative Disclosures for AS'!C555)</f>
        <v>Add: Effect of Warrants, ESOPs and Convertible bonds which are dilutive</v>
      </c>
      <c r="D210" s="942" t="str">
        <f>+IF('Qualitative Disclosures for AS'!D555="","",'Qualitative Disclosures for AS'!D555)</f>
        <v/>
      </c>
      <c r="E210" s="942" t="str">
        <f>+IF('Qualitative Disclosures for AS'!E555="","",'Qualitative Disclosures for AS'!E555)</f>
        <v/>
      </c>
      <c r="Q210" s="42"/>
    </row>
    <row r="211" spans="3:17" x14ac:dyDescent="0.25">
      <c r="C211" s="116" t="str">
        <f>+IF('Qualitative Disclosures for AS'!C556="","",'Qualitative Disclosures for AS'!C556)</f>
        <v>Weighted average number of equity shares - for Diluted EPS</v>
      </c>
      <c r="D211" s="845">
        <f>+'Qualitative Disclosures'!G18</f>
        <v>150000</v>
      </c>
      <c r="E211" s="845">
        <f>+'Qualitative Disclosures'!H18</f>
        <v>150000</v>
      </c>
      <c r="Q211" s="42"/>
    </row>
    <row r="212" spans="3:17" x14ac:dyDescent="0.25">
      <c r="C212" s="116" t="str">
        <f>+IF('Qualitative Disclosures for AS'!C557="","",'Qualitative Disclosures for AS'!C557)</f>
        <v>Par value per share</v>
      </c>
      <c r="D212" s="845">
        <f>+D200</f>
        <v>100</v>
      </c>
      <c r="E212" s="845">
        <f>+E200</f>
        <v>100</v>
      </c>
      <c r="Q212" s="42"/>
    </row>
    <row r="213" spans="3:17" x14ac:dyDescent="0.25">
      <c r="C213" s="216" t="str">
        <f>+IF('Qualitative Disclosures for AS'!C558="","",'Qualitative Disclosures for AS'!C558)</f>
        <v>Earnings per share - Diluted</v>
      </c>
      <c r="D213" s="942">
        <f>+IF('Qualitative Disclosures for AS'!D558="","",'Qualitative Disclosures for AS'!D558)</f>
        <v>217.34436515870115</v>
      </c>
      <c r="E213" s="942">
        <f>+IF('Qualitative Disclosures for AS'!E558="","",'Qualitative Disclosures for AS'!E558)</f>
        <v>139.56365519999966</v>
      </c>
      <c r="Q213" s="42"/>
    </row>
    <row r="214" spans="3:17" x14ac:dyDescent="0.25">
      <c r="Q214" s="42"/>
    </row>
    <row r="215" spans="3:17" hidden="1" x14ac:dyDescent="0.25">
      <c r="C215" s="101" t="str">
        <f>+IF('Qualitative Disclosures for AS'!C589="","",'Qualitative Disclosures for AS'!C589)</f>
        <v>Note 22 : Discontinuing operations (AS 24)</v>
      </c>
    </row>
    <row r="216" spans="3:17" hidden="1" x14ac:dyDescent="0.25"/>
    <row r="217" spans="3:17" hidden="1" x14ac:dyDescent="0.25">
      <c r="C217" s="2962" t="str">
        <f>+IF('Qualitative Disclosures for AS'!C591="","",'Qualitative Disclosures for AS'!C591)</f>
        <v>During the year, pursuant to the approval of the Shareholders and other authorities as required, the Company has transferred the ________ business to _______________ on a slump sale basis with effect from the close of business on _____________ for a consideration of `______________. The ____ business was reported as part of _____ segment of the Company. The results of the discontinued business during the year until discontinuation were as under:</v>
      </c>
      <c r="D217" s="2962" t="str">
        <f>+IF('Qualitative Disclosures for AS'!D591="","",'Qualitative Disclosures for AS'!D591)</f>
        <v/>
      </c>
      <c r="E217" s="2962" t="str">
        <f>+IF('Qualitative Disclosures for AS'!E591="","",'Qualitative Disclosures for AS'!E591)</f>
        <v/>
      </c>
    </row>
    <row r="218" spans="3:17" hidden="1" x14ac:dyDescent="0.25">
      <c r="C218" s="820"/>
      <c r="D218" s="820"/>
      <c r="E218" s="820"/>
    </row>
    <row r="219" spans="3:17" ht="30" hidden="1" x14ac:dyDescent="0.25">
      <c r="C219" s="851" t="str">
        <f>+IF('Qualitative Disclosures for AS'!C593="","",'Qualitative Disclosures for AS'!C593)</f>
        <v>Particulars</v>
      </c>
      <c r="D219" s="314" t="str">
        <f>+IF('Qualitative Disclosures for AS'!D593="","",'Qualitative Disclosures for AS'!D593)</f>
        <v>As At 31st March 2025</v>
      </c>
      <c r="E219" s="823" t="str">
        <f>+IF('Qualitative Disclosures for AS'!E593="","",'Qualitative Disclosures for AS'!E593)</f>
        <v>As At 31st March 2024</v>
      </c>
    </row>
    <row r="220" spans="3:17" hidden="1" x14ac:dyDescent="0.25">
      <c r="C220" s="122" t="str">
        <f>+IF('Qualitative Disclosures for AS'!C594="","",'Qualitative Disclosures for AS'!C594)</f>
        <v>Profit / (Loss) from ordinary activities</v>
      </c>
      <c r="D220" s="95" t="str">
        <f>+IF('Qualitative Disclosures for AS'!D594="","",'Qualitative Disclosures for AS'!D594)</f>
        <v/>
      </c>
      <c r="E220" s="95" t="str">
        <f>+IF('Qualitative Disclosures for AS'!E594="","",'Qualitative Disclosures for AS'!E594)</f>
        <v/>
      </c>
      <c r="Q220" s="42"/>
    </row>
    <row r="221" spans="3:17" hidden="1" x14ac:dyDescent="0.25">
      <c r="C221" s="122" t="str">
        <f>+IF('Qualitative Disclosures for AS'!C595="","",'Qualitative Disclosures for AS'!C595)</f>
        <v/>
      </c>
      <c r="D221" s="24" t="str">
        <f>+IF('Qualitative Disclosures for AS'!D595="","",'Qualitative Disclosures for AS'!D595)</f>
        <v/>
      </c>
      <c r="E221" s="309" t="str">
        <f>+IF('Qualitative Disclosures for AS'!E595="","",'Qualitative Disclosures for AS'!E595)</f>
        <v/>
      </c>
      <c r="Q221" s="42"/>
    </row>
    <row r="222" spans="3:17" hidden="1" x14ac:dyDescent="0.25">
      <c r="C222" s="107" t="str">
        <f>+IF('Qualitative Disclosures for AS'!C596="","",'Qualitative Disclosures for AS'!C596)</f>
        <v xml:space="preserve">Sale of products </v>
      </c>
      <c r="D222" s="24" t="str">
        <f>+IF('Qualitative Disclosures for AS'!D596="","",'Qualitative Disclosures for AS'!D596)</f>
        <v/>
      </c>
      <c r="E222" s="24" t="str">
        <f>+IF('Qualitative Disclosures for AS'!E596="","",'Qualitative Disclosures for AS'!E596)</f>
        <v/>
      </c>
      <c r="Q222" s="42"/>
    </row>
    <row r="223" spans="3:17" hidden="1" x14ac:dyDescent="0.25">
      <c r="C223" s="107" t="str">
        <f>+IF('Qualitative Disclosures for AS'!C597="","",'Qualitative Disclosures for AS'!C597)</f>
        <v>Sale of services</v>
      </c>
      <c r="D223" s="24" t="str">
        <f>+IF('Qualitative Disclosures for AS'!D597="","",'Qualitative Disclosures for AS'!D597)</f>
        <v/>
      </c>
      <c r="E223" s="24" t="str">
        <f>+IF('Qualitative Disclosures for AS'!E597="","",'Qualitative Disclosures for AS'!E597)</f>
        <v/>
      </c>
      <c r="Q223" s="42"/>
    </row>
    <row r="224" spans="3:17" hidden="1" x14ac:dyDescent="0.25">
      <c r="C224" s="107" t="str">
        <f>+IF('Qualitative Disclosures for AS'!C598="","",'Qualitative Disclosures for AS'!C598)</f>
        <v>Other operating revenue</v>
      </c>
      <c r="D224" s="25" t="str">
        <f>+IF('Qualitative Disclosures for AS'!D598="","",'Qualitative Disclosures for AS'!D598)</f>
        <v/>
      </c>
      <c r="E224" s="25" t="str">
        <f>+IF('Qualitative Disclosures for AS'!E598="","",'Qualitative Disclosures for AS'!E598)</f>
        <v/>
      </c>
      <c r="Q224" s="42"/>
    </row>
    <row r="225" spans="3:17" hidden="1" x14ac:dyDescent="0.25">
      <c r="C225" s="119" t="str">
        <f>+IF('Qualitative Disclosures for AS'!C599="","",'Qualitative Disclosures for AS'!C599)</f>
        <v>Total revenue (A)</v>
      </c>
      <c r="D225" s="972" t="str">
        <f>+IF('Qualitative Disclosures for AS'!D599="","",'Qualitative Disclosures for AS'!D599)</f>
        <v/>
      </c>
      <c r="E225" s="972" t="str">
        <f>+IF('Qualitative Disclosures for AS'!E599="","",'Qualitative Disclosures for AS'!E599)</f>
        <v/>
      </c>
      <c r="Q225" s="42"/>
    </row>
    <row r="226" spans="3:17" hidden="1" x14ac:dyDescent="0.25">
      <c r="C226" s="107" t="str">
        <f>+IF('Qualitative Disclosures for AS'!C600="","",'Qualitative Disclosures for AS'!C600)</f>
        <v/>
      </c>
      <c r="D226" s="107" t="str">
        <f>+IF('Qualitative Disclosures for AS'!D600="","",'Qualitative Disclosures for AS'!D600)</f>
        <v/>
      </c>
      <c r="E226" s="106" t="str">
        <f>+IF('Qualitative Disclosures for AS'!E600="","",'Qualitative Disclosures for AS'!E600)</f>
        <v/>
      </c>
      <c r="Q226" s="42"/>
    </row>
    <row r="227" spans="3:17" hidden="1" x14ac:dyDescent="0.25">
      <c r="C227" s="123" t="str">
        <f>+IF('Qualitative Disclosures for AS'!C601="","",'Qualitative Disclosures for AS'!C601)</f>
        <v>Cost of materials consumed</v>
      </c>
      <c r="D227" s="984" t="str">
        <f>+IF('Qualitative Disclosures for AS'!D601="","",'Qualitative Disclosures for AS'!D601)</f>
        <v/>
      </c>
      <c r="E227" s="970" t="str">
        <f>+IF('Qualitative Disclosures for AS'!E601="","",'Qualitative Disclosures for AS'!E601)</f>
        <v/>
      </c>
      <c r="Q227" s="42"/>
    </row>
    <row r="228" spans="3:17" hidden="1" x14ac:dyDescent="0.25">
      <c r="C228" s="123" t="str">
        <f>+IF('Qualitative Disclosures for AS'!C602="","",'Qualitative Disclosures for AS'!C602)</f>
        <v>Purchases of stock-in-trade</v>
      </c>
      <c r="D228" s="984" t="str">
        <f>+IF('Qualitative Disclosures for AS'!D602="","",'Qualitative Disclosures for AS'!D602)</f>
        <v/>
      </c>
      <c r="E228" s="970" t="str">
        <f>+IF('Qualitative Disclosures for AS'!E602="","",'Qualitative Disclosures for AS'!E602)</f>
        <v/>
      </c>
      <c r="Q228" s="42"/>
    </row>
    <row r="229" spans="3:17" ht="33" hidden="1" x14ac:dyDescent="0.25">
      <c r="C229" s="822" t="str">
        <f>+IF('Qualitative Disclosures for AS'!C603="","",'Qualitative Disclosures for AS'!C603)</f>
        <v>Changes in inventories of finished goods, work-in-progress and stock-in-trade</v>
      </c>
      <c r="D229" s="984" t="str">
        <f>+IF('Qualitative Disclosures for AS'!D603="","",'Qualitative Disclosures for AS'!D603)</f>
        <v/>
      </c>
      <c r="E229" s="970" t="str">
        <f>+IF('Qualitative Disclosures for AS'!E603="","",'Qualitative Disclosures for AS'!E603)</f>
        <v/>
      </c>
      <c r="Q229" s="42"/>
    </row>
    <row r="230" spans="3:17" hidden="1" x14ac:dyDescent="0.25">
      <c r="C230" s="123" t="str">
        <f>+IF('Qualitative Disclosures for AS'!C604="","",'Qualitative Disclosures for AS'!C604)</f>
        <v>Employee benefits expense</v>
      </c>
      <c r="D230" s="984" t="str">
        <f>+IF('Qualitative Disclosures for AS'!D604="","",'Qualitative Disclosures for AS'!D604)</f>
        <v/>
      </c>
      <c r="E230" s="970" t="str">
        <f>+IF('Qualitative Disclosures for AS'!E604="","",'Qualitative Disclosures for AS'!E604)</f>
        <v/>
      </c>
      <c r="Q230" s="42"/>
    </row>
    <row r="231" spans="3:17" hidden="1" x14ac:dyDescent="0.25">
      <c r="C231" s="123" t="str">
        <f>+IF('Qualitative Disclosures for AS'!C605="","",'Qualitative Disclosures for AS'!C605)</f>
        <v>Finance costs</v>
      </c>
      <c r="D231" s="984" t="str">
        <f>+IF('Qualitative Disclosures for AS'!D605="","",'Qualitative Disclosures for AS'!D605)</f>
        <v/>
      </c>
      <c r="E231" s="970" t="str">
        <f>+IF('Qualitative Disclosures for AS'!E605="","",'Qualitative Disclosures for AS'!E605)</f>
        <v/>
      </c>
      <c r="Q231" s="42"/>
    </row>
    <row r="232" spans="3:17" hidden="1" x14ac:dyDescent="0.25">
      <c r="C232" s="123" t="str">
        <f>+IF('Qualitative Disclosures for AS'!C606="","",'Qualitative Disclosures for AS'!C606)</f>
        <v>Depreciation and amortisation expense</v>
      </c>
      <c r="D232" s="984" t="str">
        <f>+IF('Qualitative Disclosures for AS'!D606="","",'Qualitative Disclosures for AS'!D606)</f>
        <v/>
      </c>
      <c r="E232" s="970" t="str">
        <f>+IF('Qualitative Disclosures for AS'!E606="","",'Qualitative Disclosures for AS'!E606)</f>
        <v/>
      </c>
      <c r="Q232" s="42"/>
    </row>
    <row r="233" spans="3:17" hidden="1" x14ac:dyDescent="0.25">
      <c r="C233" s="123" t="str">
        <f>+IF('Qualitative Disclosures for AS'!C607="","",'Qualitative Disclosures for AS'!C607)</f>
        <v>Other expenses</v>
      </c>
      <c r="D233" s="985" t="str">
        <f>+IF('Qualitative Disclosures for AS'!D607="","",'Qualitative Disclosures for AS'!D607)</f>
        <v/>
      </c>
      <c r="E233" s="972" t="str">
        <f>+IF('Qualitative Disclosures for AS'!E607="","",'Qualitative Disclosures for AS'!E607)</f>
        <v/>
      </c>
      <c r="Q233" s="42"/>
    </row>
    <row r="234" spans="3:17" hidden="1" x14ac:dyDescent="0.25">
      <c r="C234" s="119" t="str">
        <f>+IF('Qualitative Disclosures for AS'!C608="","",'Qualitative Disclosures for AS'!C608)</f>
        <v>Total expenses (B)</v>
      </c>
      <c r="D234" s="986" t="str">
        <f>+IF('Qualitative Disclosures for AS'!D608="","",'Qualitative Disclosures for AS'!D608)</f>
        <v/>
      </c>
      <c r="E234" s="986" t="str">
        <f>+IF('Qualitative Disclosures for AS'!E608="","",'Qualitative Disclosures for AS'!E608)</f>
        <v/>
      </c>
      <c r="Q234" s="42"/>
    </row>
    <row r="235" spans="3:17" hidden="1" x14ac:dyDescent="0.25">
      <c r="C235" s="107" t="str">
        <f>+IF('Qualitative Disclosures for AS'!C609="","",'Qualitative Disclosures for AS'!C609)</f>
        <v/>
      </c>
      <c r="D235" s="106" t="str">
        <f>+IF('Qualitative Disclosures for AS'!D609="","",'Qualitative Disclosures for AS'!D609)</f>
        <v/>
      </c>
      <c r="E235" s="106" t="str">
        <f>+IF('Qualitative Disclosures for AS'!E609="","",'Qualitative Disclosures for AS'!E609)</f>
        <v/>
      </c>
      <c r="Q235" s="42"/>
    </row>
    <row r="236" spans="3:17" hidden="1" x14ac:dyDescent="0.25">
      <c r="C236" s="107" t="str">
        <f>+IF('Qualitative Disclosures for AS'!C610="","",'Qualitative Disclosures for AS'!C610)</f>
        <v>Profit / (Loss) before tax from ordinary activities (A-B)</v>
      </c>
      <c r="D236" s="987">
        <f>+IF('Qualitative Disclosures for AS'!D610="","",'Qualitative Disclosures for AS'!D610)</f>
        <v>0</v>
      </c>
      <c r="E236" s="987">
        <f>+IF('Qualitative Disclosures for AS'!E610="","",'Qualitative Disclosures for AS'!E610)</f>
        <v>0</v>
      </c>
      <c r="Q236" s="42"/>
    </row>
    <row r="237" spans="3:17" ht="33" hidden="1" x14ac:dyDescent="0.25">
      <c r="C237" s="127" t="str">
        <f>+IF('Qualitative Disclosures for AS'!C611="","",'Qualitative Disclosures for AS'!C611)</f>
        <v>Add / (Less): Gain / (Loss) on disposal of assets / settlement of liabilities attributable to the discontinuing operations</v>
      </c>
      <c r="D237" s="988">
        <f>+IF('Qualitative Disclosures for AS'!D611="","",'Qualitative Disclosures for AS'!D611)</f>
        <v>0</v>
      </c>
      <c r="E237" s="988">
        <f>+IF('Qualitative Disclosures for AS'!E611="","",'Qualitative Disclosures for AS'!E611)</f>
        <v>0</v>
      </c>
      <c r="Q237" s="42"/>
    </row>
    <row r="238" spans="3:17" hidden="1" x14ac:dyDescent="0.25">
      <c r="C238" s="127" t="str">
        <f>+IF('Qualitative Disclosures for AS'!C612="","",'Qualitative Disclosures for AS'!C612)</f>
        <v/>
      </c>
      <c r="D238" s="126" t="str">
        <f>+IF('Qualitative Disclosures for AS'!D612="","",'Qualitative Disclosures for AS'!D612)</f>
        <v/>
      </c>
      <c r="E238" s="126" t="str">
        <f>+IF('Qualitative Disclosures for AS'!E612="","",'Qualitative Disclosures for AS'!E612)</f>
        <v/>
      </c>
      <c r="Q238" s="42"/>
    </row>
    <row r="239" spans="3:17" hidden="1" x14ac:dyDescent="0.25">
      <c r="C239" s="107" t="str">
        <f>+IF('Qualitative Disclosures for AS'!C613="","",'Qualitative Disclosures for AS'!C613)</f>
        <v xml:space="preserve">Tax expense </v>
      </c>
      <c r="D239" s="987" t="str">
        <f>+IF('Qualitative Disclosures for AS'!D613="","",'Qualitative Disclosures for AS'!D613)</f>
        <v/>
      </c>
      <c r="E239" s="987" t="str">
        <f>+IF('Qualitative Disclosures for AS'!E613="","",'Qualitative Disclosures for AS'!E613)</f>
        <v/>
      </c>
      <c r="Q239" s="42"/>
    </row>
    <row r="240" spans="3:17" hidden="1" x14ac:dyDescent="0.25">
      <c r="C240" s="821" t="str">
        <f>+IF('Qualitative Disclosures for AS'!C614="","",'Qualitative Disclosures for AS'!C614)</f>
        <v>- on ordinary activities attributable to the discontinuing operations</v>
      </c>
      <c r="D240" s="987">
        <f>+IF('Qualitative Disclosures for AS'!D614="","",'Qualitative Disclosures for AS'!D614)</f>
        <v>0</v>
      </c>
      <c r="E240" s="987">
        <f>+IF('Qualitative Disclosures for AS'!E614="","",'Qualitative Disclosures for AS'!E614)</f>
        <v>0</v>
      </c>
      <c r="Q240" s="42"/>
    </row>
    <row r="241" spans="3:17" hidden="1" x14ac:dyDescent="0.25">
      <c r="C241" s="821" t="str">
        <f>+IF('Qualitative Disclosures for AS'!C615="","",'Qualitative Disclosures for AS'!C615)</f>
        <v>- on gain / (loss) on disposal of assets / settlement of liabilities</v>
      </c>
      <c r="D241" s="988">
        <f>+IF('Qualitative Disclosures for AS'!D615="","",'Qualitative Disclosures for AS'!D615)</f>
        <v>0</v>
      </c>
      <c r="E241" s="988">
        <f>+IF('Qualitative Disclosures for AS'!E615="","",'Qualitative Disclosures for AS'!E615)</f>
        <v>0</v>
      </c>
      <c r="Q241" s="42"/>
    </row>
    <row r="242" spans="3:17" hidden="1" x14ac:dyDescent="0.25">
      <c r="C242" s="128" t="str">
        <f>+IF('Qualitative Disclosures for AS'!C616="","",'Qualitative Disclosures for AS'!C616)</f>
        <v/>
      </c>
      <c r="D242" s="989" t="str">
        <f>+IF('Qualitative Disclosures for AS'!D616="","",'Qualitative Disclosures for AS'!D616)</f>
        <v/>
      </c>
      <c r="E242" s="989" t="str">
        <f>+IF('Qualitative Disclosures for AS'!E616="","",'Qualitative Disclosures for AS'!E616)</f>
        <v/>
      </c>
      <c r="Q242" s="42"/>
    </row>
    <row r="243" spans="3:17" hidden="1" x14ac:dyDescent="0.25">
      <c r="C243" s="128" t="str">
        <f>+IF('Qualitative Disclosures for AS'!C617="","",'Qualitative Disclosures for AS'!C617)</f>
        <v/>
      </c>
      <c r="D243" s="126" t="str">
        <f>+IF('Qualitative Disclosures for AS'!D617="","",'Qualitative Disclosures for AS'!D617)</f>
        <v/>
      </c>
      <c r="E243" s="126" t="str">
        <f>+IF('Qualitative Disclosures for AS'!E617="","",'Qualitative Disclosures for AS'!E617)</f>
        <v/>
      </c>
      <c r="Q243" s="42"/>
    </row>
    <row r="244" spans="3:17" hidden="1" x14ac:dyDescent="0.25">
      <c r="C244" s="128" t="str">
        <f>+IF('Qualitative Disclosures for AS'!C618="","",'Qualitative Disclosures for AS'!C618)</f>
        <v/>
      </c>
      <c r="D244" s="126" t="str">
        <f>+IF('Qualitative Disclosures for AS'!D618="","",'Qualitative Disclosures for AS'!D618)</f>
        <v/>
      </c>
      <c r="E244" s="103" t="str">
        <f>+IF('Qualitative Disclosures for AS'!E618="","",'Qualitative Disclosures for AS'!E618)</f>
        <v/>
      </c>
      <c r="Q244" s="42"/>
    </row>
    <row r="245" spans="3:17" hidden="1" x14ac:dyDescent="0.25">
      <c r="C245" s="128" t="str">
        <f>+IF('Qualitative Disclosures for AS'!C619="","",'Qualitative Disclosures for AS'!C619)</f>
        <v/>
      </c>
      <c r="D245" s="129" t="str">
        <f>+IF('Qualitative Disclosures for AS'!D619="","",'Qualitative Disclosures for AS'!D619)</f>
        <v/>
      </c>
      <c r="E245" s="129" t="str">
        <f>+IF('Qualitative Disclosures for AS'!E619="","",'Qualitative Disclosures for AS'!E619)</f>
        <v/>
      </c>
      <c r="Q245" s="42"/>
    </row>
    <row r="246" spans="3:17" hidden="1" x14ac:dyDescent="0.25">
      <c r="C246" s="119" t="str">
        <f>+IF('Qualitative Disclosures for AS'!C620="","",'Qualitative Disclosures for AS'!C620)</f>
        <v>Profit / (Loss) after tax of discontinuing operations</v>
      </c>
      <c r="D246" s="988" t="str">
        <f>+IF('Qualitative Disclosures for AS'!D620="","",'Qualitative Disclosures for AS'!D620)</f>
        <v/>
      </c>
      <c r="E246" s="988" t="str">
        <f>+IF('Qualitative Disclosures for AS'!E620="","",'Qualitative Disclosures for AS'!E620)</f>
        <v/>
      </c>
      <c r="Q246" s="42"/>
    </row>
    <row r="247" spans="3:17" hidden="1" x14ac:dyDescent="0.25">
      <c r="C247" s="107" t="str">
        <f>+IF('Qualitative Disclosures for AS'!C621="","",'Qualitative Disclosures for AS'!C621)</f>
        <v/>
      </c>
      <c r="D247" s="104" t="str">
        <f>+IF('Qualitative Disclosures for AS'!D621="","",'Qualitative Disclosures for AS'!D621)</f>
        <v/>
      </c>
      <c r="E247" s="156" t="str">
        <f>+IF('Qualitative Disclosures for AS'!E621="","",'Qualitative Disclosures for AS'!E621)</f>
        <v/>
      </c>
      <c r="Q247" s="42"/>
    </row>
    <row r="248" spans="3:17" ht="33" hidden="1" x14ac:dyDescent="0.25">
      <c r="C248" s="130" t="str">
        <f>+IF('Qualitative Disclosures for AS'!C622="","",'Qualitative Disclosures for AS'!C622)</f>
        <v>Carrying amount of assets as at the balance sheet date relating to the discontinued business to be disposed off</v>
      </c>
      <c r="D248" s="970" t="str">
        <f>+IF('Qualitative Disclosures for AS'!D622="","",'Qualitative Disclosures for AS'!D622)</f>
        <v/>
      </c>
      <c r="E248" s="970" t="str">
        <f>+IF('Qualitative Disclosures for AS'!E622="","",'Qualitative Disclosures for AS'!E622)</f>
        <v/>
      </c>
      <c r="Q248" s="42"/>
    </row>
    <row r="249" spans="3:17" ht="33" hidden="1" x14ac:dyDescent="0.25">
      <c r="C249" s="130" t="str">
        <f>+IF('Qualitative Disclosures for AS'!C623="","",'Qualitative Disclosures for AS'!C623)</f>
        <v>Carrying amount of liabilities as at the balance sheet date relating to the discontinued business to be settled</v>
      </c>
      <c r="D249" s="970" t="str">
        <f>+IF('Qualitative Disclosures for AS'!D623="","",'Qualitative Disclosures for AS'!D623)</f>
        <v/>
      </c>
      <c r="E249" s="970" t="str">
        <f>+IF('Qualitative Disclosures for AS'!E623="","",'Qualitative Disclosures for AS'!E623)</f>
        <v/>
      </c>
      <c r="Q249" s="42"/>
    </row>
    <row r="250" spans="3:17" hidden="1" x14ac:dyDescent="0.25">
      <c r="C250" s="130" t="str">
        <f>+IF('Qualitative Disclosures for AS'!C624="","",'Qualitative Disclosures for AS'!C624)</f>
        <v/>
      </c>
      <c r="D250" s="106" t="str">
        <f>+IF('Qualitative Disclosures for AS'!D624="","",'Qualitative Disclosures for AS'!D624)</f>
        <v/>
      </c>
      <c r="E250" s="106" t="str">
        <f>+IF('Qualitative Disclosures for AS'!E624="","",'Qualitative Disclosures for AS'!E624)</f>
        <v/>
      </c>
      <c r="Q250" s="42"/>
    </row>
    <row r="251" spans="3:17" hidden="1" x14ac:dyDescent="0.25">
      <c r="C251" s="107" t="str">
        <f>+IF('Qualitative Disclosures for AS'!C625="","",'Qualitative Disclosures for AS'!C625)</f>
        <v>Net cash flow attributable to the discontinued business</v>
      </c>
      <c r="D251" s="970" t="str">
        <f>+IF('Qualitative Disclosures for AS'!D625="","",'Qualitative Disclosures for AS'!D625)</f>
        <v/>
      </c>
      <c r="E251" s="970" t="str">
        <f>+IF('Qualitative Disclosures for AS'!E625="","",'Qualitative Disclosures for AS'!E625)</f>
        <v/>
      </c>
      <c r="Q251" s="42"/>
    </row>
    <row r="252" spans="3:17" hidden="1" x14ac:dyDescent="0.25">
      <c r="C252" s="107" t="str">
        <f>+IF('Qualitative Disclosures for AS'!C626="","",'Qualitative Disclosures for AS'!C626)</f>
        <v>Cash flows from operating activities</v>
      </c>
      <c r="D252" s="970" t="str">
        <f>+IF('Qualitative Disclosures for AS'!D626="","",'Qualitative Disclosures for AS'!D626)</f>
        <v/>
      </c>
      <c r="E252" s="970" t="str">
        <f>+IF('Qualitative Disclosures for AS'!E626="","",'Qualitative Disclosures for AS'!E626)</f>
        <v/>
      </c>
      <c r="Q252" s="42"/>
    </row>
    <row r="253" spans="3:17" hidden="1" x14ac:dyDescent="0.25">
      <c r="C253" s="107" t="str">
        <f>+IF('Qualitative Disclosures for AS'!C627="","",'Qualitative Disclosures for AS'!C627)</f>
        <v>Cash flows from investing activities</v>
      </c>
      <c r="D253" s="970" t="str">
        <f>+IF('Qualitative Disclosures for AS'!D627="","",'Qualitative Disclosures for AS'!D627)</f>
        <v/>
      </c>
      <c r="E253" s="970" t="str">
        <f>+IF('Qualitative Disclosures for AS'!E627="","",'Qualitative Disclosures for AS'!E627)</f>
        <v/>
      </c>
      <c r="Q253" s="42"/>
    </row>
    <row r="254" spans="3:17" hidden="1" x14ac:dyDescent="0.25">
      <c r="C254" s="124" t="str">
        <f>+IF('Qualitative Disclosures for AS'!C628="","",'Qualitative Disclosures for AS'!C628)</f>
        <v>Cash flows from financing activities</v>
      </c>
      <c r="D254" s="972" t="str">
        <f>+IF('Qualitative Disclosures for AS'!D628="","",'Qualitative Disclosures for AS'!D628)</f>
        <v/>
      </c>
      <c r="E254" s="972" t="str">
        <f>+IF('Qualitative Disclosures for AS'!E628="","",'Qualitative Disclosures for AS'!E628)</f>
        <v/>
      </c>
      <c r="Q254" s="42"/>
    </row>
    <row r="255" spans="3:17" hidden="1" x14ac:dyDescent="0.25">
      <c r="C255" s="18" t="str">
        <f>+IF('Qualitative Disclosures for AS'!C629="","",'Qualitative Disclosures for AS'!C629)</f>
        <v/>
      </c>
      <c r="D255" s="18" t="str">
        <f>+IF('Qualitative Disclosures for AS'!D629="","",'Qualitative Disclosures for AS'!D629)</f>
        <v/>
      </c>
      <c r="E255" s="18" t="str">
        <f>+IF('Qualitative Disclosures for AS'!E629="","",'Qualitative Disclosures for AS'!E629)</f>
        <v/>
      </c>
      <c r="Q255" s="42"/>
    </row>
    <row r="256" spans="3:17" hidden="1" x14ac:dyDescent="0.25">
      <c r="C256" s="1715" t="str">
        <f>+IF('Qualitative Disclosures for AS'!C630="","",'Qualitative Disclosures for AS'!C630)</f>
        <v/>
      </c>
      <c r="D256" s="1715" t="str">
        <f>+IF('Qualitative Disclosures for AS'!D630="","",'Qualitative Disclosures for AS'!D630)</f>
        <v/>
      </c>
      <c r="E256" s="1715" t="str">
        <f>+IF('Qualitative Disclosures for AS'!E630="","",'Qualitative Disclosures for AS'!E630)</f>
        <v/>
      </c>
      <c r="F256" s="1715" t="str">
        <f>+IF('Qualitative Disclosures for AS'!F630="","",'Qualitative Disclosures for AS'!F630)</f>
        <v/>
      </c>
      <c r="G256" s="1715" t="str">
        <f>+IF('Qualitative Disclosures for AS'!G630="","",'Qualitative Disclosures for AS'!G630)</f>
        <v/>
      </c>
      <c r="H256" s="1715" t="str">
        <f>+IF('Qualitative Disclosures for AS'!H630="","",'Qualitative Disclosures for AS'!H630)</f>
        <v/>
      </c>
      <c r="I256" s="1716" t="str">
        <f>+IF('Qualitative Disclosures for AS'!I630="","",'Qualitative Disclosures for AS'!I630)</f>
        <v/>
      </c>
      <c r="Q256" s="42"/>
    </row>
    <row r="257" spans="3:17" hidden="1" x14ac:dyDescent="0.25">
      <c r="C257" s="1715" t="str">
        <f>+IF('Qualitative Disclosures for AS'!C631="","",'Qualitative Disclosures for AS'!C631)</f>
        <v/>
      </c>
      <c r="D257" s="1715" t="str">
        <f>+IF('Qualitative Disclosures for AS'!D631="","",'Qualitative Disclosures for AS'!D631)</f>
        <v/>
      </c>
      <c r="E257" s="1715" t="str">
        <f>+IF('Qualitative Disclosures for AS'!E631="","",'Qualitative Disclosures for AS'!E631)</f>
        <v/>
      </c>
      <c r="F257" s="1715" t="str">
        <f>+IF('Qualitative Disclosures for AS'!F631="","",'Qualitative Disclosures for AS'!F631)</f>
        <v/>
      </c>
      <c r="G257" s="1715" t="str">
        <f>+IF('Qualitative Disclosures for AS'!G631="","",'Qualitative Disclosures for AS'!G631)</f>
        <v/>
      </c>
      <c r="H257" s="1715" t="str">
        <f>+IF('Qualitative Disclosures for AS'!H631="","",'Qualitative Disclosures for AS'!H631)</f>
        <v/>
      </c>
      <c r="I257" s="1716" t="str">
        <f>+IF('Qualitative Disclosures for AS'!I631="","",'Qualitative Disclosures for AS'!I631)</f>
        <v/>
      </c>
      <c r="Q257" s="42"/>
    </row>
    <row r="258" spans="3:17" hidden="1" x14ac:dyDescent="0.25">
      <c r="C258" s="1715" t="str">
        <f>+IF('Qualitative Disclosures for AS'!C632="","",'Qualitative Disclosures for AS'!C632)</f>
        <v/>
      </c>
      <c r="D258" s="1715" t="str">
        <f>+IF('Qualitative Disclosures for AS'!D632="","",'Qualitative Disclosures for AS'!D632)</f>
        <v/>
      </c>
      <c r="E258" s="1715" t="str">
        <f>+IF('Qualitative Disclosures for AS'!E632="","",'Qualitative Disclosures for AS'!E632)</f>
        <v/>
      </c>
      <c r="F258" s="1715" t="str">
        <f>+IF('Qualitative Disclosures for AS'!F632="","",'Qualitative Disclosures for AS'!F632)</f>
        <v/>
      </c>
      <c r="G258" s="1715" t="str">
        <f>+IF('Qualitative Disclosures for AS'!G632="","",'Qualitative Disclosures for AS'!G632)</f>
        <v/>
      </c>
      <c r="H258" s="1715" t="str">
        <f>+IF('Qualitative Disclosures for AS'!H632="","",'Qualitative Disclosures for AS'!H632)</f>
        <v/>
      </c>
      <c r="I258" s="1716" t="str">
        <f>+IF('Qualitative Disclosures for AS'!I632="","",'Qualitative Disclosures for AS'!I632)</f>
        <v/>
      </c>
      <c r="Q258" s="42"/>
    </row>
    <row r="259" spans="3:17" hidden="1" x14ac:dyDescent="0.25">
      <c r="C259" s="1715" t="str">
        <f>+IF('Qualitative Disclosures for AS'!C633="","",'Qualitative Disclosures for AS'!C633)</f>
        <v/>
      </c>
      <c r="D259" s="1715" t="str">
        <f>+IF('Qualitative Disclosures for AS'!D633="","",'Qualitative Disclosures for AS'!D633)</f>
        <v/>
      </c>
      <c r="E259" s="1715" t="str">
        <f>+IF('Qualitative Disclosures for AS'!E633="","",'Qualitative Disclosures for AS'!E633)</f>
        <v/>
      </c>
      <c r="F259" s="1715" t="str">
        <f>+IF('Qualitative Disclosures for AS'!F633="","",'Qualitative Disclosures for AS'!F633)</f>
        <v/>
      </c>
      <c r="G259" s="1715" t="str">
        <f>+IF('Qualitative Disclosures for AS'!G633="","",'Qualitative Disclosures for AS'!G633)</f>
        <v/>
      </c>
      <c r="H259" s="1715" t="str">
        <f>+IF('Qualitative Disclosures for AS'!H633="","",'Qualitative Disclosures for AS'!H633)</f>
        <v/>
      </c>
      <c r="I259" s="1716" t="str">
        <f>+IF('Qualitative Disclosures for AS'!I633="","",'Qualitative Disclosures for AS'!I633)</f>
        <v/>
      </c>
      <c r="Q259" s="42"/>
    </row>
    <row r="260" spans="3:17" hidden="1" x14ac:dyDescent="0.25">
      <c r="C260" s="1715" t="str">
        <f>+IF('Qualitative Disclosures for AS'!C634="","",'Qualitative Disclosures for AS'!C634)</f>
        <v/>
      </c>
      <c r="D260" s="1715" t="str">
        <f>+IF('Qualitative Disclosures for AS'!D634="","",'Qualitative Disclosures for AS'!D634)</f>
        <v/>
      </c>
      <c r="E260" s="1715" t="str">
        <f>+IF('Qualitative Disclosures for AS'!E634="","",'Qualitative Disclosures for AS'!E634)</f>
        <v/>
      </c>
      <c r="F260" s="1715" t="str">
        <f>+IF('Qualitative Disclosures for AS'!F634="","",'Qualitative Disclosures for AS'!F634)</f>
        <v/>
      </c>
      <c r="G260" s="1715" t="str">
        <f>+IF('Qualitative Disclosures for AS'!G634="","",'Qualitative Disclosures for AS'!G634)</f>
        <v/>
      </c>
      <c r="H260" s="1715" t="str">
        <f>+IF('Qualitative Disclosures for AS'!H634="","",'Qualitative Disclosures for AS'!H634)</f>
        <v/>
      </c>
      <c r="I260" s="1716" t="str">
        <f>+IF('Qualitative Disclosures for AS'!I634="","",'Qualitative Disclosures for AS'!I634)</f>
        <v/>
      </c>
      <c r="Q260" s="42"/>
    </row>
    <row r="261" spans="3:17" hidden="1" x14ac:dyDescent="0.25">
      <c r="C261" s="1715" t="str">
        <f>+IF('Qualitative Disclosures for AS'!C635="","",'Qualitative Disclosures for AS'!C635)</f>
        <v/>
      </c>
      <c r="D261" s="1715" t="str">
        <f>+IF('Qualitative Disclosures for AS'!D635="","",'Qualitative Disclosures for AS'!D635)</f>
        <v/>
      </c>
      <c r="E261" s="1715" t="str">
        <f>+IF('Qualitative Disclosures for AS'!E635="","",'Qualitative Disclosures for AS'!E635)</f>
        <v/>
      </c>
      <c r="F261" s="1715" t="str">
        <f>+IF('Qualitative Disclosures for AS'!F635="","",'Qualitative Disclosures for AS'!F635)</f>
        <v/>
      </c>
      <c r="G261" s="1715" t="str">
        <f>+IF('Qualitative Disclosures for AS'!G635="","",'Qualitative Disclosures for AS'!G635)</f>
        <v/>
      </c>
      <c r="H261" s="1715" t="str">
        <f>+IF('Qualitative Disclosures for AS'!H635="","",'Qualitative Disclosures for AS'!H635)</f>
        <v/>
      </c>
      <c r="I261" s="1716" t="str">
        <f>+IF('Qualitative Disclosures for AS'!I635="","",'Qualitative Disclosures for AS'!I635)</f>
        <v/>
      </c>
      <c r="Q261" s="42"/>
    </row>
    <row r="262" spans="3:17" hidden="1" x14ac:dyDescent="0.25">
      <c r="C262" s="1715" t="str">
        <f>+IF('Qualitative Disclosures for AS'!C636="","",'Qualitative Disclosures for AS'!C636)</f>
        <v/>
      </c>
      <c r="D262" s="1715" t="str">
        <f>+IF('Qualitative Disclosures for AS'!D636="","",'Qualitative Disclosures for AS'!D636)</f>
        <v/>
      </c>
      <c r="E262" s="1715" t="str">
        <f>+IF('Qualitative Disclosures for AS'!E636="","",'Qualitative Disclosures for AS'!E636)</f>
        <v/>
      </c>
      <c r="F262" s="1715" t="str">
        <f>+IF('Qualitative Disclosures for AS'!F636="","",'Qualitative Disclosures for AS'!F636)</f>
        <v/>
      </c>
      <c r="G262" s="1715" t="str">
        <f>+IF('Qualitative Disclosures for AS'!G636="","",'Qualitative Disclosures for AS'!G636)</f>
        <v/>
      </c>
      <c r="H262" s="1715" t="str">
        <f>+IF('Qualitative Disclosures for AS'!H636="","",'Qualitative Disclosures for AS'!H636)</f>
        <v/>
      </c>
      <c r="I262" s="1716" t="str">
        <f>+IF('Qualitative Disclosures for AS'!I636="","",'Qualitative Disclosures for AS'!I636)</f>
        <v/>
      </c>
      <c r="Q262" s="42"/>
    </row>
    <row r="263" spans="3:17" hidden="1" x14ac:dyDescent="0.25">
      <c r="C263" s="1715" t="str">
        <f>+IF('Qualitative Disclosures for AS'!C637="","",'Qualitative Disclosures for AS'!C637)</f>
        <v/>
      </c>
      <c r="D263" s="1715" t="str">
        <f>+IF('Qualitative Disclosures for AS'!D637="","",'Qualitative Disclosures for AS'!D637)</f>
        <v/>
      </c>
      <c r="E263" s="1715" t="str">
        <f>+IF('Qualitative Disclosures for AS'!E637="","",'Qualitative Disclosures for AS'!E637)</f>
        <v/>
      </c>
      <c r="F263" s="1715" t="str">
        <f>+IF('Qualitative Disclosures for AS'!F637="","",'Qualitative Disclosures for AS'!F637)</f>
        <v/>
      </c>
      <c r="G263" s="1715" t="str">
        <f>+IF('Qualitative Disclosures for AS'!G637="","",'Qualitative Disclosures for AS'!G637)</f>
        <v/>
      </c>
      <c r="H263" s="1715" t="str">
        <f>+IF('Qualitative Disclosures for AS'!H637="","",'Qualitative Disclosures for AS'!H637)</f>
        <v/>
      </c>
      <c r="I263" s="1716" t="str">
        <f>+IF('Qualitative Disclosures for AS'!I637="","",'Qualitative Disclosures for AS'!I637)</f>
        <v/>
      </c>
      <c r="Q263" s="42"/>
    </row>
    <row r="264" spans="3:17" hidden="1" x14ac:dyDescent="0.25">
      <c r="C264" s="1715" t="str">
        <f>+IF('Qualitative Disclosures for AS'!C638="","",'Qualitative Disclosures for AS'!C638)</f>
        <v/>
      </c>
      <c r="D264" s="1715" t="str">
        <f>+IF('Qualitative Disclosures for AS'!D638="","",'Qualitative Disclosures for AS'!D638)</f>
        <v/>
      </c>
      <c r="E264" s="1715" t="str">
        <f>+IF('Qualitative Disclosures for AS'!E638="","",'Qualitative Disclosures for AS'!E638)</f>
        <v/>
      </c>
      <c r="F264" s="1715" t="str">
        <f>+IF('Qualitative Disclosures for AS'!F638="","",'Qualitative Disclosures for AS'!F638)</f>
        <v/>
      </c>
      <c r="G264" s="1715" t="str">
        <f>+IF('Qualitative Disclosures for AS'!G638="","",'Qualitative Disclosures for AS'!G638)</f>
        <v/>
      </c>
      <c r="H264" s="1715" t="str">
        <f>+IF('Qualitative Disclosures for AS'!H638="","",'Qualitative Disclosures for AS'!H638)</f>
        <v/>
      </c>
      <c r="I264" s="1716" t="str">
        <f>+IF('Qualitative Disclosures for AS'!I638="","",'Qualitative Disclosures for AS'!I638)</f>
        <v/>
      </c>
      <c r="Q264" s="42"/>
    </row>
    <row r="265" spans="3:17" hidden="1" x14ac:dyDescent="0.25">
      <c r="C265" s="1715" t="str">
        <f>+IF('Qualitative Disclosures for AS'!C639="","",'Qualitative Disclosures for AS'!C639)</f>
        <v/>
      </c>
      <c r="D265" s="1715" t="str">
        <f>+IF('Qualitative Disclosures for AS'!D639="","",'Qualitative Disclosures for AS'!D639)</f>
        <v/>
      </c>
      <c r="E265" s="1715" t="str">
        <f>+IF('Qualitative Disclosures for AS'!E639="","",'Qualitative Disclosures for AS'!E639)</f>
        <v/>
      </c>
      <c r="F265" s="1715" t="str">
        <f>+IF('Qualitative Disclosures for AS'!F639="","",'Qualitative Disclosures for AS'!F639)</f>
        <v/>
      </c>
      <c r="G265" s="1715" t="str">
        <f>+IF('Qualitative Disclosures for AS'!G639="","",'Qualitative Disclosures for AS'!G639)</f>
        <v/>
      </c>
      <c r="H265" s="1715" t="str">
        <f>+IF('Qualitative Disclosures for AS'!H639="","",'Qualitative Disclosures for AS'!H639)</f>
        <v/>
      </c>
      <c r="I265" s="1716" t="str">
        <f>+IF('Qualitative Disclosures for AS'!I639="","",'Qualitative Disclosures for AS'!I639)</f>
        <v/>
      </c>
      <c r="Q265" s="42"/>
    </row>
    <row r="266" spans="3:17" hidden="1" x14ac:dyDescent="0.25">
      <c r="C266" s="1715" t="str">
        <f>+IF('Qualitative Disclosures for AS'!C640="","",'Qualitative Disclosures for AS'!C640)</f>
        <v/>
      </c>
      <c r="D266" s="1715" t="str">
        <f>+IF('Qualitative Disclosures for AS'!D640="","",'Qualitative Disclosures for AS'!D640)</f>
        <v/>
      </c>
      <c r="E266" s="1715" t="str">
        <f>+IF('Qualitative Disclosures for AS'!E640="","",'Qualitative Disclosures for AS'!E640)</f>
        <v/>
      </c>
      <c r="F266" s="1715" t="str">
        <f>+IF('Qualitative Disclosures for AS'!F640="","",'Qualitative Disclosures for AS'!F640)</f>
        <v/>
      </c>
      <c r="G266" s="1715" t="str">
        <f>+IF('Qualitative Disclosures for AS'!G640="","",'Qualitative Disclosures for AS'!G640)</f>
        <v/>
      </c>
      <c r="H266" s="1715" t="str">
        <f>+IF('Qualitative Disclosures for AS'!H640="","",'Qualitative Disclosures for AS'!H640)</f>
        <v/>
      </c>
      <c r="I266" s="1716" t="str">
        <f>+IF('Qualitative Disclosures for AS'!I640="","",'Qualitative Disclosures for AS'!I640)</f>
        <v/>
      </c>
      <c r="Q266" s="42"/>
    </row>
    <row r="267" spans="3:17" hidden="1" x14ac:dyDescent="0.25">
      <c r="C267" s="1715" t="str">
        <f>+IF('Qualitative Disclosures for AS'!C641="","",'Qualitative Disclosures for AS'!C641)</f>
        <v/>
      </c>
      <c r="D267" s="1715" t="str">
        <f>+IF('Qualitative Disclosures for AS'!D641="","",'Qualitative Disclosures for AS'!D641)</f>
        <v/>
      </c>
      <c r="E267" s="1715" t="str">
        <f>+IF('Qualitative Disclosures for AS'!E641="","",'Qualitative Disclosures for AS'!E641)</f>
        <v/>
      </c>
      <c r="F267" s="1715" t="str">
        <f>+IF('Qualitative Disclosures for AS'!F641="","",'Qualitative Disclosures for AS'!F641)</f>
        <v/>
      </c>
      <c r="G267" s="1715" t="str">
        <f>+IF('Qualitative Disclosures for AS'!G641="","",'Qualitative Disclosures for AS'!G641)</f>
        <v/>
      </c>
      <c r="H267" s="1715" t="str">
        <f>+IF('Qualitative Disclosures for AS'!H641="","",'Qualitative Disclosures for AS'!H641)</f>
        <v/>
      </c>
      <c r="I267" s="1716" t="str">
        <f>+IF('Qualitative Disclosures for AS'!I641="","",'Qualitative Disclosures for AS'!I641)</f>
        <v/>
      </c>
      <c r="Q267" s="42"/>
    </row>
    <row r="268" spans="3:17" x14ac:dyDescent="0.25">
      <c r="Q268" s="42"/>
    </row>
    <row r="269" spans="3:17" hidden="1" x14ac:dyDescent="0.25">
      <c r="C269" s="101" t="str">
        <f>+IF('Qualitative Disclosures for AS'!C645="","",'Qualitative Disclosures for AS'!C645)</f>
        <v>Details of research and development expenditure recognised as an expense (AS 26)</v>
      </c>
      <c r="Q269" s="101"/>
    </row>
    <row r="270" spans="3:17" hidden="1" x14ac:dyDescent="0.25">
      <c r="Q270" s="101"/>
    </row>
    <row r="271" spans="3:17" ht="30" hidden="1" x14ac:dyDescent="0.25">
      <c r="C271" s="851" t="str">
        <f>+IF('Qualitative Disclosures for AS'!C647="","",'Qualitative Disclosures for AS'!C647)</f>
        <v>Particulars</v>
      </c>
      <c r="D271" s="314" t="str">
        <f>+IF('Qualitative Disclosures for AS'!D647="","",'Qualitative Disclosures for AS'!D647)</f>
        <v>As At 31st March 2025</v>
      </c>
      <c r="E271" s="823" t="str">
        <f>+IF('Qualitative Disclosures for AS'!E647="","",'Qualitative Disclosures for AS'!E647)</f>
        <v>As At 31st March 2024</v>
      </c>
      <c r="Q271" s="101"/>
    </row>
    <row r="272" spans="3:17" hidden="1" x14ac:dyDescent="0.25">
      <c r="C272" s="116" t="str">
        <f>+IF('Qualitative Disclosures for AS'!C648="","",'Qualitative Disclosures for AS'!C648)</f>
        <v xml:space="preserve">Materials </v>
      </c>
      <c r="D272" s="970" t="str">
        <f>+IF('Qualitative Disclosures for AS'!D648="","",'Qualitative Disclosures for AS'!D648)</f>
        <v/>
      </c>
      <c r="E272" s="971" t="str">
        <f>+IF('Qualitative Disclosures for AS'!E648="","",'Qualitative Disclosures for AS'!E648)</f>
        <v/>
      </c>
      <c r="Q272" s="42"/>
    </row>
    <row r="273" spans="3:17" hidden="1" x14ac:dyDescent="0.25">
      <c r="C273" s="116" t="str">
        <f>+IF('Qualitative Disclosures for AS'!C649="","",'Qualitative Disclosures for AS'!C649)</f>
        <v>Employee benefits expense</v>
      </c>
      <c r="D273" s="970" t="str">
        <f>+IF('Qualitative Disclosures for AS'!D649="","",'Qualitative Disclosures for AS'!D649)</f>
        <v/>
      </c>
      <c r="E273" s="971" t="str">
        <f>+IF('Qualitative Disclosures for AS'!E649="","",'Qualitative Disclosures for AS'!E649)</f>
        <v/>
      </c>
      <c r="Q273" s="42"/>
    </row>
    <row r="274" spans="3:17" hidden="1" x14ac:dyDescent="0.25">
      <c r="C274" s="116" t="str">
        <f>+IF('Qualitative Disclosures for AS'!C650="","",'Qualitative Disclosures for AS'!C650)</f>
        <v xml:space="preserve">Professional fees </v>
      </c>
      <c r="D274" s="970" t="str">
        <f>+IF('Qualitative Disclosures for AS'!D650="","",'Qualitative Disclosures for AS'!D650)</f>
        <v/>
      </c>
      <c r="E274" s="971" t="str">
        <f>+IF('Qualitative Disclosures for AS'!E650="","",'Qualitative Disclosures for AS'!E650)</f>
        <v/>
      </c>
      <c r="Q274" s="42"/>
    </row>
    <row r="275" spans="3:17" hidden="1" x14ac:dyDescent="0.25">
      <c r="C275" s="116" t="str">
        <f>+IF('Qualitative Disclosures for AS'!C651="","",'Qualitative Disclosures for AS'!C651)</f>
        <v xml:space="preserve">Consumables </v>
      </c>
      <c r="D275" s="970" t="str">
        <f>+IF('Qualitative Disclosures for AS'!D651="","",'Qualitative Disclosures for AS'!D651)</f>
        <v/>
      </c>
      <c r="E275" s="971" t="str">
        <f>+IF('Qualitative Disclosures for AS'!E651="","",'Qualitative Disclosures for AS'!E651)</f>
        <v/>
      </c>
      <c r="Q275" s="42"/>
    </row>
    <row r="276" spans="3:17" hidden="1" x14ac:dyDescent="0.25">
      <c r="C276" s="116" t="str">
        <f>+IF('Qualitative Disclosures for AS'!C652="","",'Qualitative Disclosures for AS'!C652)</f>
        <v>Finance Costs</v>
      </c>
      <c r="D276" s="970" t="str">
        <f>+IF('Qualitative Disclosures for AS'!D652="","",'Qualitative Disclosures for AS'!D652)</f>
        <v/>
      </c>
      <c r="E276" s="971" t="str">
        <f>+IF('Qualitative Disclosures for AS'!E652="","",'Qualitative Disclosures for AS'!E652)</f>
        <v/>
      </c>
      <c r="Q276" s="42"/>
    </row>
    <row r="277" spans="3:17" hidden="1" x14ac:dyDescent="0.25">
      <c r="C277" s="116" t="str">
        <f>+IF('Qualitative Disclosures for AS'!C653="","",'Qualitative Disclosures for AS'!C653)</f>
        <v xml:space="preserve">Travelling expenses </v>
      </c>
      <c r="D277" s="970" t="str">
        <f>+IF('Qualitative Disclosures for AS'!D653="","",'Qualitative Disclosures for AS'!D653)</f>
        <v/>
      </c>
      <c r="E277" s="971" t="str">
        <f>+IF('Qualitative Disclosures for AS'!E653="","",'Qualitative Disclosures for AS'!E653)</f>
        <v/>
      </c>
      <c r="Q277" s="42"/>
    </row>
    <row r="278" spans="3:17" hidden="1" x14ac:dyDescent="0.25">
      <c r="C278" s="116" t="str">
        <f>+IF('Qualitative Disclosures for AS'!C654="","",'Qualitative Disclosures for AS'!C654)</f>
        <v xml:space="preserve">Rent </v>
      </c>
      <c r="D278" s="970" t="str">
        <f>+IF('Qualitative Disclosures for AS'!D654="","",'Qualitative Disclosures for AS'!D654)</f>
        <v/>
      </c>
      <c r="E278" s="971" t="str">
        <f>+IF('Qualitative Disclosures for AS'!E654="","",'Qualitative Disclosures for AS'!E654)</f>
        <v/>
      </c>
      <c r="Q278" s="42"/>
    </row>
    <row r="279" spans="3:17" hidden="1" x14ac:dyDescent="0.25">
      <c r="C279" s="116" t="str">
        <f>+IF('Qualitative Disclosures for AS'!C655="","",'Qualitative Disclosures for AS'!C655)</f>
        <v>Depreciation and amortisation expense</v>
      </c>
      <c r="D279" s="970" t="str">
        <f>+IF('Qualitative Disclosures for AS'!D655="","",'Qualitative Disclosures for AS'!D655)</f>
        <v/>
      </c>
      <c r="E279" s="971" t="str">
        <f>+IF('Qualitative Disclosures for AS'!E655="","",'Qualitative Disclosures for AS'!E655)</f>
        <v/>
      </c>
      <c r="Q279" s="42"/>
    </row>
    <row r="280" spans="3:17" hidden="1" x14ac:dyDescent="0.25">
      <c r="C280" s="216" t="str">
        <f>+IF('Qualitative Disclosures for AS'!C656="","",'Qualitative Disclosures for AS'!C656)</f>
        <v>Others</v>
      </c>
      <c r="D280" s="972" t="str">
        <f>+IF('Qualitative Disclosures for AS'!D656="","",'Qualitative Disclosures for AS'!D656)</f>
        <v/>
      </c>
      <c r="E280" s="973" t="str">
        <f>+IF('Qualitative Disclosures for AS'!E656="","",'Qualitative Disclosures for AS'!E656)</f>
        <v/>
      </c>
      <c r="Q280" s="42"/>
    </row>
    <row r="281" spans="3:17" hidden="1" x14ac:dyDescent="0.25">
      <c r="Q281" s="42"/>
    </row>
    <row r="282" spans="3:17" hidden="1" x14ac:dyDescent="0.25">
      <c r="C282" s="1715" t="str">
        <f>+IF('Qualitative Disclosures for AS'!C658="","",'Qualitative Disclosures for AS'!C658)</f>
        <v/>
      </c>
      <c r="D282" s="1715" t="str">
        <f>+IF('Qualitative Disclosures for AS'!D658="","",'Qualitative Disclosures for AS'!D658)</f>
        <v/>
      </c>
      <c r="E282" s="1715" t="str">
        <f>+IF('Qualitative Disclosures for AS'!E658="","",'Qualitative Disclosures for AS'!E658)</f>
        <v/>
      </c>
      <c r="F282" s="1715" t="str">
        <f>+IF('Qualitative Disclosures for AS'!F658="","",'Qualitative Disclosures for AS'!F658)</f>
        <v/>
      </c>
      <c r="G282" s="1715" t="str">
        <f>+IF('Qualitative Disclosures for AS'!G658="","",'Qualitative Disclosures for AS'!G658)</f>
        <v/>
      </c>
      <c r="H282" s="1715" t="str">
        <f>+IF('Qualitative Disclosures for AS'!H658="","",'Qualitative Disclosures for AS'!H658)</f>
        <v/>
      </c>
      <c r="I282" s="1716" t="str">
        <f>+IF('Qualitative Disclosures for AS'!I658="","",'Qualitative Disclosures for AS'!I658)</f>
        <v/>
      </c>
      <c r="Q282" s="42"/>
    </row>
    <row r="283" spans="3:17" hidden="1" x14ac:dyDescent="0.25">
      <c r="C283" s="1715" t="str">
        <f>+IF('Qualitative Disclosures for AS'!C659="","",'Qualitative Disclosures for AS'!C659)</f>
        <v/>
      </c>
      <c r="D283" s="1715" t="str">
        <f>+IF('Qualitative Disclosures for AS'!D659="","",'Qualitative Disclosures for AS'!D659)</f>
        <v/>
      </c>
      <c r="E283" s="1715" t="str">
        <f>+IF('Qualitative Disclosures for AS'!E659="","",'Qualitative Disclosures for AS'!E659)</f>
        <v/>
      </c>
      <c r="F283" s="1715" t="str">
        <f>+IF('Qualitative Disclosures for AS'!F659="","",'Qualitative Disclosures for AS'!F659)</f>
        <v/>
      </c>
      <c r="G283" s="1715" t="str">
        <f>+IF('Qualitative Disclosures for AS'!G659="","",'Qualitative Disclosures for AS'!G659)</f>
        <v/>
      </c>
      <c r="H283" s="1715" t="str">
        <f>+IF('Qualitative Disclosures for AS'!H659="","",'Qualitative Disclosures for AS'!H659)</f>
        <v/>
      </c>
      <c r="I283" s="1716" t="str">
        <f>+IF('Qualitative Disclosures for AS'!I659="","",'Qualitative Disclosures for AS'!I659)</f>
        <v/>
      </c>
      <c r="Q283" s="42"/>
    </row>
    <row r="284" spans="3:17" hidden="1" x14ac:dyDescent="0.25">
      <c r="C284" s="1715" t="str">
        <f>+IF('Qualitative Disclosures for AS'!C660="","",'Qualitative Disclosures for AS'!C660)</f>
        <v/>
      </c>
      <c r="D284" s="1715" t="str">
        <f>+IF('Qualitative Disclosures for AS'!D660="","",'Qualitative Disclosures for AS'!D660)</f>
        <v/>
      </c>
      <c r="E284" s="1715" t="str">
        <f>+IF('Qualitative Disclosures for AS'!E660="","",'Qualitative Disclosures for AS'!E660)</f>
        <v/>
      </c>
      <c r="F284" s="1715" t="str">
        <f>+IF('Qualitative Disclosures for AS'!F660="","",'Qualitative Disclosures for AS'!F660)</f>
        <v/>
      </c>
      <c r="G284" s="1715" t="str">
        <f>+IF('Qualitative Disclosures for AS'!G660="","",'Qualitative Disclosures for AS'!G660)</f>
        <v/>
      </c>
      <c r="H284" s="1715" t="str">
        <f>+IF('Qualitative Disclosures for AS'!H660="","",'Qualitative Disclosures for AS'!H660)</f>
        <v/>
      </c>
      <c r="I284" s="1716" t="str">
        <f>+IF('Qualitative Disclosures for AS'!I660="","",'Qualitative Disclosures for AS'!I660)</f>
        <v/>
      </c>
      <c r="Q284" s="42"/>
    </row>
    <row r="285" spans="3:17" hidden="1" x14ac:dyDescent="0.25">
      <c r="C285" s="1715" t="str">
        <f>+IF('Qualitative Disclosures for AS'!C661="","",'Qualitative Disclosures for AS'!C661)</f>
        <v/>
      </c>
      <c r="D285" s="1715" t="str">
        <f>+IF('Qualitative Disclosures for AS'!D661="","",'Qualitative Disclosures for AS'!D661)</f>
        <v/>
      </c>
      <c r="E285" s="1715" t="str">
        <f>+IF('Qualitative Disclosures for AS'!E661="","",'Qualitative Disclosures for AS'!E661)</f>
        <v/>
      </c>
      <c r="F285" s="1715" t="str">
        <f>+IF('Qualitative Disclosures for AS'!F661="","",'Qualitative Disclosures for AS'!F661)</f>
        <v/>
      </c>
      <c r="G285" s="1715" t="str">
        <f>+IF('Qualitative Disclosures for AS'!G661="","",'Qualitative Disclosures for AS'!G661)</f>
        <v/>
      </c>
      <c r="H285" s="1715" t="str">
        <f>+IF('Qualitative Disclosures for AS'!H661="","",'Qualitative Disclosures for AS'!H661)</f>
        <v/>
      </c>
      <c r="I285" s="1716" t="str">
        <f>+IF('Qualitative Disclosures for AS'!I661="","",'Qualitative Disclosures for AS'!I661)</f>
        <v/>
      </c>
      <c r="Q285" s="42"/>
    </row>
    <row r="286" spans="3:17" hidden="1" x14ac:dyDescent="0.25">
      <c r="C286" s="1715" t="str">
        <f>+IF('Qualitative Disclosures for AS'!C662="","",'Qualitative Disclosures for AS'!C662)</f>
        <v/>
      </c>
      <c r="D286" s="1715" t="str">
        <f>+IF('Qualitative Disclosures for AS'!D662="","",'Qualitative Disclosures for AS'!D662)</f>
        <v/>
      </c>
      <c r="E286" s="1715" t="str">
        <f>+IF('Qualitative Disclosures for AS'!E662="","",'Qualitative Disclosures for AS'!E662)</f>
        <v/>
      </c>
      <c r="F286" s="1715" t="str">
        <f>+IF('Qualitative Disclosures for AS'!F662="","",'Qualitative Disclosures for AS'!F662)</f>
        <v/>
      </c>
      <c r="G286" s="1715" t="str">
        <f>+IF('Qualitative Disclosures for AS'!G662="","",'Qualitative Disclosures for AS'!G662)</f>
        <v/>
      </c>
      <c r="H286" s="1715" t="str">
        <f>+IF('Qualitative Disclosures for AS'!H662="","",'Qualitative Disclosures for AS'!H662)</f>
        <v/>
      </c>
      <c r="I286" s="1716" t="str">
        <f>+IF('Qualitative Disclosures for AS'!I662="","",'Qualitative Disclosures for AS'!I662)</f>
        <v/>
      </c>
      <c r="Q286" s="42"/>
    </row>
    <row r="287" spans="3:17" hidden="1" x14ac:dyDescent="0.25">
      <c r="C287" s="1715" t="str">
        <f>+IF('Qualitative Disclosures for AS'!C663="","",'Qualitative Disclosures for AS'!C663)</f>
        <v/>
      </c>
      <c r="D287" s="1715" t="str">
        <f>+IF('Qualitative Disclosures for AS'!D663="","",'Qualitative Disclosures for AS'!D663)</f>
        <v/>
      </c>
      <c r="E287" s="1715" t="str">
        <f>+IF('Qualitative Disclosures for AS'!E663="","",'Qualitative Disclosures for AS'!E663)</f>
        <v/>
      </c>
      <c r="F287" s="1715" t="str">
        <f>+IF('Qualitative Disclosures for AS'!F663="","",'Qualitative Disclosures for AS'!F663)</f>
        <v/>
      </c>
      <c r="G287" s="1715" t="str">
        <f>+IF('Qualitative Disclosures for AS'!G663="","",'Qualitative Disclosures for AS'!G663)</f>
        <v/>
      </c>
      <c r="H287" s="1715" t="str">
        <f>+IF('Qualitative Disclosures for AS'!H663="","",'Qualitative Disclosures for AS'!H663)</f>
        <v/>
      </c>
      <c r="I287" s="1716" t="str">
        <f>+IF('Qualitative Disclosures for AS'!I663="","",'Qualitative Disclosures for AS'!I663)</f>
        <v/>
      </c>
      <c r="Q287" s="42"/>
    </row>
    <row r="288" spans="3:17" hidden="1" x14ac:dyDescent="0.25">
      <c r="C288" s="1715" t="str">
        <f>+IF('Qualitative Disclosures for AS'!C664="","",'Qualitative Disclosures for AS'!C664)</f>
        <v/>
      </c>
      <c r="D288" s="1715" t="str">
        <f>+IF('Qualitative Disclosures for AS'!D664="","",'Qualitative Disclosures for AS'!D664)</f>
        <v/>
      </c>
      <c r="E288" s="1715" t="str">
        <f>+IF('Qualitative Disclosures for AS'!E664="","",'Qualitative Disclosures for AS'!E664)</f>
        <v/>
      </c>
      <c r="F288" s="1715" t="str">
        <f>+IF('Qualitative Disclosures for AS'!F664="","",'Qualitative Disclosures for AS'!F664)</f>
        <v/>
      </c>
      <c r="G288" s="1715" t="str">
        <f>+IF('Qualitative Disclosures for AS'!G664="","",'Qualitative Disclosures for AS'!G664)</f>
        <v/>
      </c>
      <c r="H288" s="1715" t="str">
        <f>+IF('Qualitative Disclosures for AS'!H664="","",'Qualitative Disclosures for AS'!H664)</f>
        <v/>
      </c>
      <c r="I288" s="1716" t="str">
        <f>+IF('Qualitative Disclosures for AS'!I664="","",'Qualitative Disclosures for AS'!I664)</f>
        <v/>
      </c>
      <c r="Q288" s="42"/>
    </row>
    <row r="289" spans="3:17" hidden="1" x14ac:dyDescent="0.25">
      <c r="C289" s="1715" t="str">
        <f>+IF('Qualitative Disclosures for AS'!C665="","",'Qualitative Disclosures for AS'!C665)</f>
        <v/>
      </c>
      <c r="D289" s="1715" t="str">
        <f>+IF('Qualitative Disclosures for AS'!D665="","",'Qualitative Disclosures for AS'!D665)</f>
        <v/>
      </c>
      <c r="E289" s="1715" t="str">
        <f>+IF('Qualitative Disclosures for AS'!E665="","",'Qualitative Disclosures for AS'!E665)</f>
        <v/>
      </c>
      <c r="F289" s="1715" t="str">
        <f>+IF('Qualitative Disclosures for AS'!F665="","",'Qualitative Disclosures for AS'!F665)</f>
        <v/>
      </c>
      <c r="G289" s="1715" t="str">
        <f>+IF('Qualitative Disclosures for AS'!G665="","",'Qualitative Disclosures for AS'!G665)</f>
        <v/>
      </c>
      <c r="H289" s="1715" t="str">
        <f>+IF('Qualitative Disclosures for AS'!H665="","",'Qualitative Disclosures for AS'!H665)</f>
        <v/>
      </c>
      <c r="I289" s="1716" t="str">
        <f>+IF('Qualitative Disclosures for AS'!I665="","",'Qualitative Disclosures for AS'!I665)</f>
        <v/>
      </c>
      <c r="Q289" s="42"/>
    </row>
    <row r="290" spans="3:17" hidden="1" x14ac:dyDescent="0.25">
      <c r="C290" s="1715" t="str">
        <f>+IF('Qualitative Disclosures for AS'!C666="","",'Qualitative Disclosures for AS'!C666)</f>
        <v/>
      </c>
      <c r="D290" s="1715" t="str">
        <f>+IF('Qualitative Disclosures for AS'!D666="","",'Qualitative Disclosures for AS'!D666)</f>
        <v/>
      </c>
      <c r="E290" s="1715" t="str">
        <f>+IF('Qualitative Disclosures for AS'!E666="","",'Qualitative Disclosures for AS'!E666)</f>
        <v/>
      </c>
      <c r="F290" s="1715" t="str">
        <f>+IF('Qualitative Disclosures for AS'!F666="","",'Qualitative Disclosures for AS'!F666)</f>
        <v/>
      </c>
      <c r="G290" s="1715" t="str">
        <f>+IF('Qualitative Disclosures for AS'!G666="","",'Qualitative Disclosures for AS'!G666)</f>
        <v/>
      </c>
      <c r="H290" s="1715" t="str">
        <f>+IF('Qualitative Disclosures for AS'!H666="","",'Qualitative Disclosures for AS'!H666)</f>
        <v/>
      </c>
      <c r="I290" s="1716" t="str">
        <f>+IF('Qualitative Disclosures for AS'!I666="","",'Qualitative Disclosures for AS'!I666)</f>
        <v/>
      </c>
      <c r="Q290" s="42"/>
    </row>
    <row r="291" spans="3:17" hidden="1" x14ac:dyDescent="0.25">
      <c r="C291" s="1715" t="str">
        <f>+IF('Qualitative Disclosures for AS'!C667="","",'Qualitative Disclosures for AS'!C667)</f>
        <v/>
      </c>
      <c r="D291" s="1715" t="str">
        <f>+IF('Qualitative Disclosures for AS'!D667="","",'Qualitative Disclosures for AS'!D667)</f>
        <v/>
      </c>
      <c r="E291" s="1715" t="str">
        <f>+IF('Qualitative Disclosures for AS'!E667="","",'Qualitative Disclosures for AS'!E667)</f>
        <v/>
      </c>
      <c r="F291" s="1715" t="str">
        <f>+IF('Qualitative Disclosures for AS'!F667="","",'Qualitative Disclosures for AS'!F667)</f>
        <v/>
      </c>
      <c r="G291" s="1715" t="str">
        <f>+IF('Qualitative Disclosures for AS'!G667="","",'Qualitative Disclosures for AS'!G667)</f>
        <v/>
      </c>
      <c r="H291" s="1715" t="str">
        <f>+IF('Qualitative Disclosures for AS'!H667="","",'Qualitative Disclosures for AS'!H667)</f>
        <v/>
      </c>
      <c r="I291" s="1716" t="str">
        <f>+IF('Qualitative Disclosures for AS'!I667="","",'Qualitative Disclosures for AS'!I667)</f>
        <v/>
      </c>
      <c r="Q291" s="42"/>
    </row>
    <row r="292" spans="3:17" hidden="1" x14ac:dyDescent="0.25">
      <c r="C292" s="1715" t="str">
        <f>+IF('Qualitative Disclosures for AS'!C668="","",'Qualitative Disclosures for AS'!C668)</f>
        <v/>
      </c>
      <c r="D292" s="1715" t="str">
        <f>+IF('Qualitative Disclosures for AS'!D668="","",'Qualitative Disclosures for AS'!D668)</f>
        <v/>
      </c>
      <c r="E292" s="1715" t="str">
        <f>+IF('Qualitative Disclosures for AS'!E668="","",'Qualitative Disclosures for AS'!E668)</f>
        <v/>
      </c>
      <c r="F292" s="1715" t="str">
        <f>+IF('Qualitative Disclosures for AS'!F668="","",'Qualitative Disclosures for AS'!F668)</f>
        <v/>
      </c>
      <c r="G292" s="1715" t="str">
        <f>+IF('Qualitative Disclosures for AS'!G668="","",'Qualitative Disclosures for AS'!G668)</f>
        <v/>
      </c>
      <c r="H292" s="1715" t="str">
        <f>+IF('Qualitative Disclosures for AS'!H668="","",'Qualitative Disclosures for AS'!H668)</f>
        <v/>
      </c>
      <c r="I292" s="1716" t="str">
        <f>+IF('Qualitative Disclosures for AS'!I668="","",'Qualitative Disclosures for AS'!I668)</f>
        <v/>
      </c>
      <c r="Q292" s="42"/>
    </row>
    <row r="293" spans="3:17" hidden="1" x14ac:dyDescent="0.25">
      <c r="C293" s="1715" t="str">
        <f>+IF('Qualitative Disclosures for AS'!C669="","",'Qualitative Disclosures for AS'!C669)</f>
        <v/>
      </c>
      <c r="D293" s="1715" t="str">
        <f>+IF('Qualitative Disclosures for AS'!D669="","",'Qualitative Disclosures for AS'!D669)</f>
        <v/>
      </c>
      <c r="E293" s="1715" t="str">
        <f>+IF('Qualitative Disclosures for AS'!E669="","",'Qualitative Disclosures for AS'!E669)</f>
        <v/>
      </c>
      <c r="F293" s="1715" t="str">
        <f>+IF('Qualitative Disclosures for AS'!F669="","",'Qualitative Disclosures for AS'!F669)</f>
        <v/>
      </c>
      <c r="G293" s="1715" t="str">
        <f>+IF('Qualitative Disclosures for AS'!G669="","",'Qualitative Disclosures for AS'!G669)</f>
        <v/>
      </c>
      <c r="H293" s="1715" t="str">
        <f>+IF('Qualitative Disclosures for AS'!H669="","",'Qualitative Disclosures for AS'!H669)</f>
        <v/>
      </c>
      <c r="I293" s="1716" t="str">
        <f>+IF('Qualitative Disclosures for AS'!I669="","",'Qualitative Disclosures for AS'!I669)</f>
        <v/>
      </c>
      <c r="Q293" s="42"/>
    </row>
  </sheetData>
  <mergeCells count="5">
    <mergeCell ref="C63:E63"/>
    <mergeCell ref="C64:E64"/>
    <mergeCell ref="C65:E65"/>
    <mergeCell ref="D66:E66"/>
    <mergeCell ref="C217:E217"/>
  </mergeCells>
  <pageMargins left="0.25" right="0.25" top="0.75" bottom="0.75" header="0.3" footer="0.3"/>
  <pageSetup scale="40" fitToHeight="5" orientation="portrait" r:id="rId1"/>
  <headerFooter alignWithMargins="0"/>
  <ignoredErrors>
    <ignoredError sqref="E201 D213:E213" evalError="1"/>
  </ignoredError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G38"/>
  <sheetViews>
    <sheetView showGridLines="0" view="pageBreakPreview" zoomScale="80" zoomScaleNormal="70" zoomScaleSheetLayoutView="80" workbookViewId="0"/>
  </sheetViews>
  <sheetFormatPr defaultColWidth="8.85546875" defaultRowHeight="16.5" x14ac:dyDescent="0.25"/>
  <cols>
    <col min="1" max="1" width="2.7109375" style="18" customWidth="1"/>
    <col min="2" max="2" width="3.28515625" style="18" bestFit="1" customWidth="1"/>
    <col min="3" max="3" width="82" style="18" customWidth="1"/>
    <col min="4" max="4" width="19.28515625" style="18" customWidth="1"/>
    <col min="5" max="5" width="19.42578125" style="18" customWidth="1"/>
    <col min="6" max="6" width="3.7109375" style="18" customWidth="1"/>
    <col min="7" max="7" width="12.7109375" style="18" bestFit="1" customWidth="1"/>
    <col min="8" max="16384" width="8.85546875" style="18"/>
  </cols>
  <sheetData>
    <row r="1" spans="2:5" x14ac:dyDescent="0.25">
      <c r="C1" s="101"/>
    </row>
    <row r="8" spans="2:5" x14ac:dyDescent="0.25">
      <c r="C8" s="17" t="str">
        <f>+Company_Name</f>
        <v>Sample Company</v>
      </c>
      <c r="D8" s="41"/>
      <c r="E8" s="41"/>
    </row>
    <row r="9" spans="2:5" x14ac:dyDescent="0.25">
      <c r="C9" s="17" t="s">
        <v>90</v>
      </c>
      <c r="D9" s="41"/>
      <c r="E9" s="41"/>
    </row>
    <row r="10" spans="2:5" x14ac:dyDescent="0.25">
      <c r="D10" s="41"/>
      <c r="E10" s="41"/>
    </row>
    <row r="11" spans="2:5" hidden="1" x14ac:dyDescent="0.25">
      <c r="C11" s="17" t="str">
        <f>'AS 15 Disclosures'!C11</f>
        <v>Note 21 Disclosures under Accounting Standards</v>
      </c>
      <c r="D11" s="41"/>
      <c r="E11" s="41"/>
    </row>
    <row r="12" spans="2:5" x14ac:dyDescent="0.25">
      <c r="C12" s="17"/>
      <c r="D12" s="41"/>
      <c r="E12" s="41"/>
    </row>
    <row r="13" spans="2:5" x14ac:dyDescent="0.25">
      <c r="B13" s="18">
        <v>31</v>
      </c>
      <c r="C13" s="815" t="str">
        <f>+'Qualitative Disclosures for AS'!C561</f>
        <v>AS 22 Tax : Deferred Tax Assets / (Liabilities)</v>
      </c>
      <c r="D13" s="41"/>
      <c r="E13" s="41"/>
    </row>
    <row r="14" spans="2:5" x14ac:dyDescent="0.25">
      <c r="C14" s="41"/>
      <c r="D14" s="41"/>
      <c r="E14" s="214" t="s">
        <v>3616</v>
      </c>
    </row>
    <row r="15" spans="2:5" ht="30" x14ac:dyDescent="0.25">
      <c r="C15" s="2385" t="s">
        <v>20</v>
      </c>
      <c r="D15" s="2385" t="str">
        <f>+BSCY</f>
        <v>As At 31st March 2025</v>
      </c>
      <c r="E15" s="2385" t="str">
        <f>+BSPY</f>
        <v>As At 31st March 2024</v>
      </c>
    </row>
    <row r="16" spans="2:5" x14ac:dyDescent="0.25">
      <c r="C16" s="213" t="str">
        <f>+IF('Qualitative Disclosures for AS'!C564="","",'Qualitative Disclosures for AS'!C564)</f>
        <v xml:space="preserve">Deferred tax (liabilities) / assets </v>
      </c>
      <c r="D16" s="104" t="str">
        <f>+IF('Qualitative Disclosures for AS'!D564="","",'Qualitative Disclosures for AS'!D564)</f>
        <v/>
      </c>
      <c r="E16" s="104" t="str">
        <f>+IF('Qualitative Disclosures for AS'!E564="","",'Qualitative Disclosures for AS'!E564)</f>
        <v/>
      </c>
    </row>
    <row r="17" spans="3:5" hidden="1" x14ac:dyDescent="0.25">
      <c r="C17" s="2641" t="str">
        <f>+IF('Qualitative Disclosures for AS'!C565="","",'Qualitative Disclosures for AS'!C565)</f>
        <v>Tax effect of items constituting deferred tax liabilities</v>
      </c>
      <c r="D17" s="1087" t="str">
        <f>+IF('Qualitative Disclosures for AS'!D565="","",'Qualitative Disclosures for AS'!D565)</f>
        <v/>
      </c>
      <c r="E17" s="970" t="str">
        <f>+IF('Qualitative Disclosures for AS'!E565="","",'Qualitative Disclosures for AS'!E565)</f>
        <v/>
      </c>
    </row>
    <row r="18" spans="3:5" hidden="1" x14ac:dyDescent="0.25">
      <c r="C18" s="72" t="str">
        <f>+IF('Qualitative Disclosures for AS'!C566="","",'Qualitative Disclosures for AS'!C566)</f>
        <v>On difference between book balance and tax balance of fixed assets</v>
      </c>
      <c r="D18" s="1089" t="str">
        <f>+IF('Qualitative Disclosures for AS'!D566="","",'Qualitative Disclosures for AS'!D566)</f>
        <v/>
      </c>
      <c r="E18" s="970" t="str">
        <f>+IF('Qualitative Disclosures for AS'!E566="","",'Qualitative Disclosures for AS'!E566)</f>
        <v/>
      </c>
    </row>
    <row r="19" spans="3:5" hidden="1" x14ac:dyDescent="0.25">
      <c r="C19" s="72" t="str">
        <f>+IF('Qualitative Disclosures for AS'!C567="","",'Qualitative Disclosures for AS'!C567)</f>
        <v>On expenditure deferred in the books but allowable for tax purposes</v>
      </c>
      <c r="D19" s="1089" t="str">
        <f>+IF('Qualitative Disclosures for AS'!D567="","",'Qualitative Disclosures for AS'!D567)</f>
        <v/>
      </c>
      <c r="E19" s="970" t="str">
        <f>+IF('Qualitative Disclosures for AS'!E567="","",'Qualitative Disclosures for AS'!E567)</f>
        <v/>
      </c>
    </row>
    <row r="20" spans="3:5" ht="33" hidden="1" x14ac:dyDescent="0.25">
      <c r="C20" s="72" t="str">
        <f>+IF('Qualitative Disclosures for AS'!C568="","",'Qualitative Disclosures for AS'!C568)</f>
        <v>On items included in Reserves and surplus pending amortisation into the Statement of Profit and Loss</v>
      </c>
      <c r="D20" s="1089" t="str">
        <f>+IF('Qualitative Disclosures for AS'!D568="","",'Qualitative Disclosures for AS'!D568)</f>
        <v/>
      </c>
      <c r="E20" s="970" t="str">
        <f>+IF('Qualitative Disclosures for AS'!E568="","",'Qualitative Disclosures for AS'!E568)</f>
        <v/>
      </c>
    </row>
    <row r="21" spans="3:5" hidden="1" x14ac:dyDescent="0.25">
      <c r="C21" s="134" t="str">
        <f>+IF('Qualitative Disclosures for AS'!C569="","",'Qualitative Disclosures for AS'!C569)</f>
        <v>Others</v>
      </c>
      <c r="D21" s="1089" t="str">
        <f>+IF('Qualitative Disclosures for AS'!D569="","",'Qualitative Disclosures for AS'!D569)</f>
        <v/>
      </c>
      <c r="E21" s="970" t="str">
        <f>+IF('Qualitative Disclosures for AS'!E569="","",'Qualitative Disclosures for AS'!E569)</f>
        <v/>
      </c>
    </row>
    <row r="22" spans="3:5" hidden="1" x14ac:dyDescent="0.25">
      <c r="C22" s="134" t="str">
        <f>+IF('Qualitative Disclosures for AS'!C570="","",'Qualitative Disclosures for AS'!C570)</f>
        <v>Tax effect of items constituting deferred tax liabilities</v>
      </c>
      <c r="D22" s="1090">
        <f>+IF('Qualitative Disclosures for AS'!D570="","",'Qualitative Disclosures for AS'!D570)</f>
        <v>0</v>
      </c>
      <c r="E22" s="2642">
        <f>+IF('Qualitative Disclosures for AS'!E570="","",'Qualitative Disclosures for AS'!E570)</f>
        <v>0</v>
      </c>
    </row>
    <row r="23" spans="3:5" hidden="1" x14ac:dyDescent="0.25">
      <c r="C23" s="134" t="str">
        <f>+IF('Qualitative Disclosures for AS'!C571="","",'Qualitative Disclosures for AS'!C571)</f>
        <v/>
      </c>
      <c r="D23" s="1087" t="str">
        <f>+IF('Qualitative Disclosures for AS'!D571="","",'Qualitative Disclosures for AS'!D571)</f>
        <v/>
      </c>
      <c r="E23" s="970" t="str">
        <f>+IF('Qualitative Disclosures for AS'!E571="","",'Qualitative Disclosures for AS'!E571)</f>
        <v/>
      </c>
    </row>
    <row r="24" spans="3:5" x14ac:dyDescent="0.25">
      <c r="C24" s="2641" t="str">
        <f>+IF('Qualitative Disclosures for AS'!C572="","",'Qualitative Disclosures for AS'!C572)</f>
        <v>Tax effect of items constituting deferred tax assets</v>
      </c>
      <c r="D24" s="1087" t="str">
        <f>+IF('Qualitative Disclosures for AS'!D572="","",'Qualitative Disclosures for AS'!D572)</f>
        <v/>
      </c>
      <c r="E24" s="970" t="str">
        <f>+IF('Qualitative Disclosures for AS'!E572="","",'Qualitative Disclosures for AS'!E572)</f>
        <v/>
      </c>
    </row>
    <row r="25" spans="3:5" x14ac:dyDescent="0.25">
      <c r="C25" s="72" t="str">
        <f>+IF('Qualitative Disclosures for AS'!C573="","",'Qualitative Disclosures for AS'!C573)</f>
        <v>Provision for compensated absences, gratuity and other employee benefits</v>
      </c>
      <c r="D25" s="1089">
        <f>+IF('Qualitative Disclosures for AS'!D573="","",'Qualitative Disclosures for AS'!D573)</f>
        <v>626.45417120000002</v>
      </c>
      <c r="E25" s="970">
        <f>+IF('Qualitative Disclosures for AS'!E573="","",'Qualitative Disclosures for AS'!E573)</f>
        <v>0</v>
      </c>
    </row>
    <row r="26" spans="3:5" hidden="1" x14ac:dyDescent="0.25">
      <c r="C26" s="134" t="str">
        <f>+IF('Qualitative Disclosures for AS'!C574="","",'Qualitative Disclosures for AS'!C574)</f>
        <v>Provision for doubtful debts / advances</v>
      </c>
      <c r="D26" s="1089" t="str">
        <f>+IF('Qualitative Disclosures for AS'!D574="","",'Qualitative Disclosures for AS'!D574)</f>
        <v/>
      </c>
      <c r="E26" s="970" t="str">
        <f>+IF('Qualitative Disclosures for AS'!E574="","",'Qualitative Disclosures for AS'!E574)</f>
        <v/>
      </c>
    </row>
    <row r="27" spans="3:5" hidden="1" x14ac:dyDescent="0.25">
      <c r="C27" s="72" t="str">
        <f>+IF('Qualitative Disclosures for AS'!C575="","",'Qualitative Disclosures for AS'!C575)</f>
        <v>Disallowances under Section 40(a)(i), 43B of the Income Tax Act, 1961</v>
      </c>
      <c r="D27" s="1089" t="str">
        <f>+IF('Qualitative Disclosures for AS'!D575="","",'Qualitative Disclosures for AS'!D575)</f>
        <v/>
      </c>
      <c r="E27" s="970" t="str">
        <f>+IF('Qualitative Disclosures for AS'!E575="","",'Qualitative Disclosures for AS'!E575)</f>
        <v/>
      </c>
    </row>
    <row r="28" spans="3:5" x14ac:dyDescent="0.25">
      <c r="C28" s="72" t="str">
        <f>+IF('Qualitative Disclosures for AS'!C576="","",'Qualitative Disclosures for AS'!C576)</f>
        <v>On difference between book balance and tax balance of fixed assets</v>
      </c>
      <c r="D28" s="1089">
        <f>+IF('Qualitative Disclosures for AS'!D576="","",'Qualitative Disclosures for AS'!D576)</f>
        <v>244.61124630800001</v>
      </c>
      <c r="E28" s="970">
        <f>+IF('Qualitative Disclosures for AS'!E576="","",'Qualitative Disclosures for AS'!E576)</f>
        <v>359.41</v>
      </c>
    </row>
    <row r="29" spans="3:5" hidden="1" x14ac:dyDescent="0.25">
      <c r="C29" s="134" t="str">
        <f>+IF('Qualitative Disclosures for AS'!C577="","",'Qualitative Disclosures for AS'!C577)</f>
        <v>Unabsorbed depreciation carried forward</v>
      </c>
      <c r="D29" s="1089" t="str">
        <f>+IF('Qualitative Disclosures for AS'!D577="","",'Qualitative Disclosures for AS'!D577)</f>
        <v/>
      </c>
      <c r="E29" s="970" t="str">
        <f>+IF('Qualitative Disclosures for AS'!E577="","",'Qualitative Disclosures for AS'!E577)</f>
        <v/>
      </c>
    </row>
    <row r="30" spans="3:5" hidden="1" x14ac:dyDescent="0.25">
      <c r="C30" s="134" t="str">
        <f>+IF('Qualitative Disclosures for AS'!C578="","",'Qualitative Disclosures for AS'!C578)</f>
        <v>Brought forward business losses</v>
      </c>
      <c r="D30" s="1089" t="str">
        <f>+IF('Qualitative Disclosures for AS'!D578="","",'Qualitative Disclosures for AS'!D578)</f>
        <v/>
      </c>
      <c r="E30" s="970" t="str">
        <f>+IF('Qualitative Disclosures for AS'!E578="","",'Qualitative Disclosures for AS'!E578)</f>
        <v/>
      </c>
    </row>
    <row r="31" spans="3:5" ht="33" hidden="1" x14ac:dyDescent="0.25">
      <c r="C31" s="72" t="str">
        <f>+IF('Qualitative Disclosures for AS'!C579="","",'Qualitative Disclosures for AS'!C579)</f>
        <v>On items included in Reserves and surplus pending amortisation into the Statement of Profit and Loss</v>
      </c>
      <c r="D31" s="1089"/>
      <c r="E31" s="970">
        <f>+IF('Qualitative Disclosures for AS'!E579="","",'Qualitative Disclosures for AS'!E579)</f>
        <v>0</v>
      </c>
    </row>
    <row r="32" spans="3:5" x14ac:dyDescent="0.25">
      <c r="C32" s="134" t="str">
        <f>+IF('Qualitative Disclosures for AS'!C580="","",'Qualitative Disclosures for AS'!C580)</f>
        <v>Others</v>
      </c>
      <c r="D32" s="1089">
        <f>+'Qualitative Disclosures for AS'!D580</f>
        <v>740.77372054400007</v>
      </c>
      <c r="E32" s="970" t="str">
        <f>+IF('Qualitative Disclosures for AS'!E580="","",'Qualitative Disclosures for AS'!E580)</f>
        <v/>
      </c>
    </row>
    <row r="33" spans="3:7" x14ac:dyDescent="0.25">
      <c r="C33" s="134" t="str">
        <f>+IF('Qualitative Disclosures for AS'!C581="","",'Qualitative Disclosures for AS'!C581)</f>
        <v>Tax effect of items constituting deferred tax assets</v>
      </c>
      <c r="D33" s="1090">
        <f>+IF('Qualitative Disclosures for AS'!D581="","",'Qualitative Disclosures for AS'!D581)</f>
        <v>1611.8391380520002</v>
      </c>
      <c r="E33" s="2642">
        <f>+IF('Qualitative Disclosures for AS'!E581="","",'Qualitative Disclosures for AS'!E581)</f>
        <v>359.41</v>
      </c>
      <c r="G33" s="935"/>
    </row>
    <row r="34" spans="3:7" hidden="1" x14ac:dyDescent="0.25">
      <c r="C34" s="134" t="str">
        <f>+IF('Qualitative Disclosures for AS'!C582="","",'Qualitative Disclosures for AS'!C582)</f>
        <v/>
      </c>
      <c r="D34" s="1087" t="str">
        <f>+IF('Qualitative Disclosures for AS'!D582="","",'Qualitative Disclosures for AS'!D582)</f>
        <v/>
      </c>
      <c r="E34" s="1087" t="str">
        <f>+IF('Qualitative Disclosures for AS'!E582="","",'Qualitative Disclosures for AS'!E582)</f>
        <v/>
      </c>
    </row>
    <row r="35" spans="3:7" x14ac:dyDescent="0.25">
      <c r="C35" s="169" t="str">
        <f>+IF('Qualitative Disclosures for AS'!C583="","",'Qualitative Disclosures for AS'!C583)</f>
        <v/>
      </c>
      <c r="D35" s="1087" t="str">
        <f>+IF('Qualitative Disclosures for AS'!D583="","",'Qualitative Disclosures for AS'!D583)</f>
        <v/>
      </c>
      <c r="E35" s="970" t="str">
        <f>+IF('Qualitative Disclosures for AS'!E583="","",'Qualitative Disclosures for AS'!E583)</f>
        <v/>
      </c>
    </row>
    <row r="36" spans="3:7" x14ac:dyDescent="0.25">
      <c r="C36" s="2481" t="str">
        <f>+IF('Qualitative Disclosures for AS'!C584="","",'Qualitative Disclosures for AS'!C584)</f>
        <v>Deferred tax assets (net)</v>
      </c>
      <c r="D36" s="1091">
        <f>+IF('Qualitative Disclosures for AS'!D584="","",'Qualitative Disclosures for AS'!D584)</f>
        <v>1611.8391380520002</v>
      </c>
      <c r="E36" s="1091">
        <f>+IF('Qualitative Disclosures for AS'!E584="","",'Qualitative Disclosures for AS'!E584)</f>
        <v>359.41</v>
      </c>
    </row>
    <row r="37" spans="3:7" x14ac:dyDescent="0.25">
      <c r="C37" s="17" t="str">
        <f>+IF('Qualitative Disclosures for AS'!C585="","",'Qualitative Disclosures for AS'!C585)</f>
        <v/>
      </c>
      <c r="D37" s="952" t="str">
        <f>+IF('Qualitative Disclosures for AS'!D585="","",'Qualitative Disclosures for AS'!D585)</f>
        <v/>
      </c>
      <c r="E37" s="952" t="str">
        <f>+IF('Qualitative Disclosures for AS'!E585="","",'Qualitative Disclosures for AS'!E585)</f>
        <v/>
      </c>
    </row>
    <row r="38" spans="3:7" ht="120" hidden="1" customHeight="1" x14ac:dyDescent="0.25">
      <c r="C38" s="2959" t="str">
        <f>+IF('Qualitative Disclosures for AS'!C586="","",'Qualitative Disclosures for AS'!C586)</f>
        <v>The Company has recognised deferred tax asset arising on timing differences in respect of gratuity, difference between the book balance and the written down value of fixed assets under the Income Tax Act, 1961, and difference in treatment of rent equalization reserve under Companies Act,2013 and Income Tax Act,1961, in accordance with the requirements of Accounting Standard (AS) 22 – Accounting for Taxes on Income.</v>
      </c>
      <c r="D38" s="2959" t="str">
        <f>+IF('Qualitative Disclosures for AS'!D586="","",'Qualitative Disclosures for AS'!D586)</f>
        <v/>
      </c>
      <c r="E38" s="2959" t="str">
        <f>+IF('Qualitative Disclosures for AS'!E586="","",'Qualitative Disclosures for AS'!E586)</f>
        <v/>
      </c>
    </row>
  </sheetData>
  <sheetProtection formatCells="0" formatColumns="0" formatRows="0"/>
  <mergeCells count="1">
    <mergeCell ref="C38:E38"/>
  </mergeCells>
  <pageMargins left="0.5" right="0.5" top="0.5" bottom="0.5" header="0.5" footer="0.5"/>
  <pageSetup scale="74" fitToHeight="0"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C8:T122"/>
  <sheetViews>
    <sheetView showGridLines="0" view="pageBreakPreview" zoomScale="80" zoomScaleNormal="70" zoomScaleSheetLayoutView="80" workbookViewId="0"/>
  </sheetViews>
  <sheetFormatPr defaultColWidth="8.85546875" defaultRowHeight="16.5" x14ac:dyDescent="0.25"/>
  <cols>
    <col min="1" max="2" width="3.7109375" style="18" customWidth="1"/>
    <col min="3" max="3" width="61.5703125" style="113" bestFit="1" customWidth="1"/>
    <col min="4" max="5" width="19" style="18" bestFit="1" customWidth="1"/>
    <col min="6" max="6" width="14.5703125" style="18" bestFit="1" customWidth="1"/>
    <col min="7" max="7" width="14.7109375" style="18" bestFit="1" customWidth="1"/>
    <col min="8" max="8" width="3.7109375" style="18" customWidth="1"/>
    <col min="9" max="9" width="11.7109375" style="18" customWidth="1"/>
    <col min="10" max="10" width="12.7109375" style="18" bestFit="1" customWidth="1"/>
    <col min="11" max="16384" width="8.85546875" style="18"/>
  </cols>
  <sheetData>
    <row r="8" spans="3:20" x14ac:dyDescent="0.25">
      <c r="C8" s="17" t="str">
        <f>Company_Name</f>
        <v>Sample Company</v>
      </c>
      <c r="E8" s="41"/>
      <c r="F8" s="41"/>
    </row>
    <row r="9" spans="3:20" x14ac:dyDescent="0.25">
      <c r="C9" s="17" t="s">
        <v>90</v>
      </c>
      <c r="E9" s="41"/>
      <c r="F9" s="41"/>
    </row>
    <row r="10" spans="3:20" x14ac:dyDescent="0.25">
      <c r="C10" s="18"/>
      <c r="E10" s="41"/>
      <c r="F10" s="41"/>
    </row>
    <row r="11" spans="3:20" hidden="1" x14ac:dyDescent="0.25">
      <c r="C11" s="17" t="str">
        <f>'Disclosures under AS'!C11</f>
        <v>Note 23 Disclosures under Accounting Standards</v>
      </c>
      <c r="E11" s="41"/>
      <c r="F11" s="41"/>
      <c r="T11" s="42" t="str" cm="1">
        <f t="array" ref="T11">IFERROR(INDEX(L15:L119, MATCH(TRUE,L15:L119="Yes",0)),"No")</f>
        <v>No</v>
      </c>
    </row>
    <row r="12" spans="3:20" hidden="1" x14ac:dyDescent="0.25">
      <c r="C12" s="81"/>
      <c r="D12" s="41"/>
      <c r="E12" s="41"/>
      <c r="F12" s="41"/>
    </row>
    <row r="13" spans="3:20" ht="14.45" hidden="1" customHeight="1" x14ac:dyDescent="0.25">
      <c r="C13" s="2918" t="str">
        <f>+'Qualitative Disclosures for AS'!C251</f>
        <v>Particulars</v>
      </c>
      <c r="D13" s="2919"/>
      <c r="E13" s="2919"/>
      <c r="F13" s="2919"/>
      <c r="G13" s="2920"/>
      <c r="H13" s="172"/>
    </row>
    <row r="14" spans="3:20" hidden="1" x14ac:dyDescent="0.25">
      <c r="C14" s="2921"/>
      <c r="D14" s="2976"/>
      <c r="E14" s="2976"/>
      <c r="F14" s="2976"/>
      <c r="G14" s="2977"/>
      <c r="H14" s="172"/>
    </row>
    <row r="15" spans="3:20" x14ac:dyDescent="0.25">
      <c r="C15" s="101" t="s">
        <v>3903</v>
      </c>
    </row>
    <row r="16" spans="3:20" ht="105.75" customHeight="1" x14ac:dyDescent="0.25">
      <c r="C16" s="2941" t="s">
        <v>3840</v>
      </c>
      <c r="D16" s="2941"/>
      <c r="E16" s="2941"/>
      <c r="F16" s="2941"/>
      <c r="G16" s="2941"/>
      <c r="H16" s="852"/>
    </row>
    <row r="17" spans="3:20" x14ac:dyDescent="0.25">
      <c r="C17" s="2610"/>
      <c r="D17" s="2610"/>
      <c r="E17" s="2610"/>
      <c r="F17" s="2610"/>
      <c r="G17" s="2610"/>
      <c r="H17" s="852"/>
    </row>
    <row r="18" spans="3:20" ht="15.95" customHeight="1" x14ac:dyDescent="0.25">
      <c r="C18" s="2978" t="str">
        <f>+IF('Qualitative Disclosures for AS'!C255="","",'Qualitative Disclosures for AS'!C255)</f>
        <v xml:space="preserve">Particulars </v>
      </c>
      <c r="D18" s="2940" t="s">
        <v>3285</v>
      </c>
      <c r="E18" s="2940" t="s">
        <v>1150</v>
      </c>
      <c r="F18" s="2940" t="s">
        <v>1150</v>
      </c>
      <c r="G18" s="2940" t="s">
        <v>1150</v>
      </c>
      <c r="H18" s="167"/>
    </row>
    <row r="19" spans="3:20" x14ac:dyDescent="0.25">
      <c r="C19" s="2978" t="str">
        <f>+IF('Qualitative Disclosures for AS'!C256="","",'Qualitative Disclosures for AS'!C256)</f>
        <v/>
      </c>
      <c r="D19" s="2940" t="str">
        <f>+IF('Qualitative Disclosures for AS'!D256="","",'Qualitative Disclosures for AS'!D256)</f>
        <v>Business segments</v>
      </c>
      <c r="E19" s="2940" t="str">
        <f>+IF('Qualitative Disclosures for AS'!E252="","",'Qualitative Disclosures for AS'!E252)</f>
        <v/>
      </c>
      <c r="F19" s="2978" t="s">
        <v>3841</v>
      </c>
      <c r="G19" s="2978" t="str">
        <f>+IF('Qualitative Disclosures for AS'!G256="","",'Qualitative Disclosures for AS'!G256)</f>
        <v>Total</v>
      </c>
      <c r="H19" s="167"/>
    </row>
    <row r="20" spans="3:20" x14ac:dyDescent="0.25">
      <c r="C20" s="2978" t="str">
        <f>+IF('Qualitative Disclosures for AS'!C257="","",'Qualitative Disclosures for AS'!C257)</f>
        <v/>
      </c>
      <c r="D20" s="2978" t="s">
        <v>3825</v>
      </c>
      <c r="E20" s="2978" t="s">
        <v>3826</v>
      </c>
      <c r="F20" s="2978" t="str">
        <f>+IF('Qualitative Disclosures for AS'!F253="","",'Qualitative Disclosures for AS'!F253)</f>
        <v/>
      </c>
      <c r="G20" s="2978" t="str">
        <f>+IF('Qualitative Disclosures for AS'!G253="","",'Qualitative Disclosures for AS'!G253)</f>
        <v/>
      </c>
      <c r="H20" s="167"/>
    </row>
    <row r="21" spans="3:20" x14ac:dyDescent="0.25">
      <c r="C21" s="2978" t="str">
        <f>+IF('Qualitative Disclosures for AS'!C258="","",'Qualitative Disclosures for AS'!C258)</f>
        <v/>
      </c>
      <c r="D21" s="2978" t="str">
        <f>+IF('Qualitative Disclosures for AS'!D254="","",'Qualitative Disclosures for AS'!D254)</f>
        <v/>
      </c>
      <c r="E21" s="2978" t="str">
        <f>+IF('Qualitative Disclosures for AS'!E254="","",'Qualitative Disclosures for AS'!E254)</f>
        <v/>
      </c>
      <c r="F21" s="2978" t="str">
        <f>+IF('Qualitative Disclosures for AS'!F254="","",'Qualitative Disclosures for AS'!F254)</f>
        <v/>
      </c>
      <c r="G21" s="2978" t="str">
        <f>+IF('Qualitative Disclosures for AS'!G254="","",'Qualitative Disclosures for AS'!G254)</f>
        <v/>
      </c>
      <c r="H21" s="102"/>
    </row>
    <row r="22" spans="3:20" x14ac:dyDescent="0.25">
      <c r="C22" s="880"/>
      <c r="D22" s="880" t="str">
        <f>+'AS 22 Disclosures'!E14</f>
        <v>Amount in Rs ' 00</v>
      </c>
      <c r="E22" s="880" t="str">
        <f>+D22</f>
        <v>Amount in Rs ' 00</v>
      </c>
      <c r="F22" s="880"/>
      <c r="G22" s="880"/>
      <c r="H22" s="102"/>
    </row>
    <row r="23" spans="3:20" x14ac:dyDescent="0.25">
      <c r="C23" s="2623" t="str">
        <f>+IF('Qualitative Disclosures for AS'!C259="","",'Qualitative Disclosures for AS'!C259)</f>
        <v>Revenue</v>
      </c>
      <c r="D23" s="1082" t="str">
        <f>+IF('Qualitative Disclosures for AS'!D259="","",'Qualitative Disclosures for AS'!D259)</f>
        <v/>
      </c>
      <c r="E23" s="1082" t="str">
        <f>+IF('Qualitative Disclosures for AS'!E259="","",'Qualitative Disclosures for AS'!E259)</f>
        <v/>
      </c>
      <c r="F23" s="1082" t="str">
        <f>+IF('Qualitative Disclosures for AS'!F259="","",'Qualitative Disclosures for AS'!F259)</f>
        <v/>
      </c>
      <c r="G23" s="1082" t="str">
        <f>+IF('Qualitative Disclosures for AS'!G259="","",'Qualitative Disclosures for AS'!G259)</f>
        <v/>
      </c>
      <c r="H23" s="113"/>
      <c r="T23" s="42" t="str">
        <f t="shared" ref="T23:T85" si="0">IF(AND(D23=0,E23=0,F23=0,G23=0),"No","Yes")</f>
        <v>Yes</v>
      </c>
    </row>
    <row r="24" spans="3:20" x14ac:dyDescent="0.25">
      <c r="C24" s="125" t="str">
        <f>+IF('Qualitative Disclosures for AS'!C260="","",'Qualitative Disclosures for AS'!C260)</f>
        <v>External Sales and income from other operations</v>
      </c>
      <c r="D24" s="2664">
        <v>2570140.6075000004</v>
      </c>
      <c r="E24" s="2664">
        <v>2557532.0055</v>
      </c>
      <c r="F24" s="2665">
        <v>0</v>
      </c>
      <c r="G24" s="2665">
        <f>+SUM(D24:E24)</f>
        <v>5127672.6129999999</v>
      </c>
      <c r="H24" s="113"/>
      <c r="T24" s="42" t="str">
        <f t="shared" si="0"/>
        <v>Yes</v>
      </c>
    </row>
    <row r="25" spans="3:20" x14ac:dyDescent="0.25">
      <c r="C25" s="125" t="s">
        <v>3792</v>
      </c>
      <c r="D25" s="2664">
        <f>+'Profit and Loss'!F32</f>
        <v>58726.74</v>
      </c>
      <c r="E25" s="2664">
        <v>0</v>
      </c>
      <c r="F25" s="2665">
        <v>0</v>
      </c>
      <c r="G25" s="2665">
        <f>+SUM(D25:E25)</f>
        <v>58726.74</v>
      </c>
      <c r="H25" s="113"/>
      <c r="T25" s="42"/>
    </row>
    <row r="26" spans="3:20" x14ac:dyDescent="0.25">
      <c r="C26" s="125" t="str">
        <f>+IF('Qualitative Disclosures for AS'!C261="","",'Qualitative Disclosures for AS'!C261)</f>
        <v/>
      </c>
      <c r="D26" s="2665" t="str">
        <f>+IF('Qualitative Disclosures for AS'!D261="","",'Qualitative Disclosures for AS'!D261)</f>
        <v/>
      </c>
      <c r="E26" s="2665" t="str">
        <f>+IF('Qualitative Disclosures for AS'!E261="","",'Qualitative Disclosures for AS'!E261)</f>
        <v/>
      </c>
      <c r="F26" s="2665" t="str">
        <f>+IF('Qualitative Disclosures for AS'!F261="","",'Qualitative Disclosures for AS'!F261)</f>
        <v/>
      </c>
      <c r="G26" s="2665" t="str">
        <f>+IF('Qualitative Disclosures for AS'!G261="","",'Qualitative Disclosures for AS'!G261)</f>
        <v/>
      </c>
      <c r="H26" s="113"/>
      <c r="T26" s="42" t="str">
        <f t="shared" si="0"/>
        <v>Yes</v>
      </c>
    </row>
    <row r="27" spans="3:20" hidden="1" x14ac:dyDescent="0.25">
      <c r="C27" s="125" t="str">
        <f>+IF('Qualitative Disclosures for AS'!C262="","",'Qualitative Disclosures for AS'!C262)</f>
        <v>Inter-segment revenue</v>
      </c>
      <c r="D27" s="2665" t="str">
        <f>+IF('Qualitative Disclosures for AS'!D262="","",'Qualitative Disclosures for AS'!D262)</f>
        <v/>
      </c>
      <c r="E27" s="2665" t="str">
        <f>+IF('Qualitative Disclosures for AS'!E262="","",'Qualitative Disclosures for AS'!E262)</f>
        <v/>
      </c>
      <c r="F27" s="2665" t="str">
        <f>+IF('Qualitative Disclosures for AS'!F262="","",'Qualitative Disclosures for AS'!F262)</f>
        <v/>
      </c>
      <c r="G27" s="2665" t="str">
        <f>+IF('Qualitative Disclosures for AS'!G262="","",'Qualitative Disclosures for AS'!G262)</f>
        <v/>
      </c>
      <c r="H27" s="113"/>
      <c r="T27" s="42" t="str">
        <f t="shared" si="0"/>
        <v>Yes</v>
      </c>
    </row>
    <row r="28" spans="3:20" hidden="1" x14ac:dyDescent="0.25">
      <c r="C28" s="125"/>
      <c r="D28" s="2665" t="str">
        <f>+IF('Qualitative Disclosures for AS'!D263="","",'Qualitative Disclosures for AS'!D263)</f>
        <v/>
      </c>
      <c r="E28" s="2665" t="str">
        <f>+IF('Qualitative Disclosures for AS'!E263="","",'Qualitative Disclosures for AS'!E263)</f>
        <v/>
      </c>
      <c r="F28" s="2665" t="str">
        <f>+IF('Qualitative Disclosures for AS'!F263="","",'Qualitative Disclosures for AS'!F263)</f>
        <v/>
      </c>
      <c r="G28" s="2665" t="str">
        <f>+IF('Qualitative Disclosures for AS'!G263="","",'Qualitative Disclosures for AS'!G263)</f>
        <v/>
      </c>
      <c r="H28" s="113"/>
      <c r="T28" s="42" t="str">
        <f t="shared" si="0"/>
        <v>Yes</v>
      </c>
    </row>
    <row r="29" spans="3:20" x14ac:dyDescent="0.25">
      <c r="C29" s="2611" t="str">
        <f>+IF('Qualitative Disclosures for AS'!C264="","",'Qualitative Disclosures for AS'!C264)</f>
        <v>Total</v>
      </c>
      <c r="D29" s="2666">
        <f>+SUM(D24)+D25</f>
        <v>2628867.3475000006</v>
      </c>
      <c r="E29" s="2666">
        <f>+SUM(E24)+E25</f>
        <v>2557532.0055</v>
      </c>
      <c r="F29" s="2666">
        <v>0</v>
      </c>
      <c r="G29" s="1706">
        <f>+D29+E29</f>
        <v>5186399.3530000001</v>
      </c>
      <c r="H29" s="113"/>
      <c r="T29" s="42" t="str">
        <f t="shared" si="0"/>
        <v>Yes</v>
      </c>
    </row>
    <row r="30" spans="3:20" x14ac:dyDescent="0.25">
      <c r="C30" s="125"/>
      <c r="D30" s="1082" t="str">
        <f>+IF('Qualitative Disclosures for AS'!D265="","",'Qualitative Disclosures for AS'!D265)</f>
        <v/>
      </c>
      <c r="E30" s="1082" t="str">
        <f>+IF('Qualitative Disclosures for AS'!E265="","",'Qualitative Disclosures for AS'!E265)</f>
        <v/>
      </c>
      <c r="F30" s="1082" t="str">
        <f>+IF('Qualitative Disclosures for AS'!F265="","",'Qualitative Disclosures for AS'!F265)</f>
        <v/>
      </c>
      <c r="G30" s="1082" t="str">
        <f>+IF('Qualitative Disclosures for AS'!G265="","",'Qualitative Disclosures for AS'!G265)</f>
        <v/>
      </c>
      <c r="H30" s="113"/>
      <c r="T30" s="42" t="str">
        <f t="shared" si="0"/>
        <v>Yes</v>
      </c>
    </row>
    <row r="31" spans="3:20" hidden="1" x14ac:dyDescent="0.25">
      <c r="C31" s="125" t="str">
        <f>+IF('Qualitative Disclosures for AS'!C266="","",'Qualitative Disclosures for AS'!C266)</f>
        <v>Segment result</v>
      </c>
      <c r="D31" s="1082" t="str">
        <f>+IF('Qualitative Disclosures for AS'!D266="","",'Qualitative Disclosures for AS'!D266)</f>
        <v/>
      </c>
      <c r="E31" s="1082" t="str">
        <f>+IF('Qualitative Disclosures for AS'!E266="","",'Qualitative Disclosures for AS'!E266)</f>
        <v/>
      </c>
      <c r="F31" s="1082" t="str">
        <f>+IF('Qualitative Disclosures for AS'!F266="","",'Qualitative Disclosures for AS'!F266)</f>
        <v/>
      </c>
      <c r="G31" s="1082" t="str">
        <f>+IF('Qualitative Disclosures for AS'!G266="","",'Qualitative Disclosures for AS'!G266)</f>
        <v/>
      </c>
      <c r="H31" s="113"/>
      <c r="T31" s="42" t="str">
        <f t="shared" si="0"/>
        <v>Yes</v>
      </c>
    </row>
    <row r="32" spans="3:20" x14ac:dyDescent="0.25">
      <c r="C32" s="125" t="str">
        <f>+IF('Qualitative Disclosures for AS'!C267="","",'Qualitative Disclosures for AS'!C267)</f>
        <v/>
      </c>
      <c r="D32" s="1082" t="str">
        <f>+IF('Qualitative Disclosures for AS'!D267="","",'Qualitative Disclosures for AS'!D267)</f>
        <v/>
      </c>
      <c r="E32" s="1082" t="str">
        <f>+IF('Qualitative Disclosures for AS'!E267="","",'Qualitative Disclosures for AS'!E267)</f>
        <v/>
      </c>
      <c r="F32" s="1082" t="str">
        <f>+IF('Qualitative Disclosures for AS'!F267="","",'Qualitative Disclosures for AS'!F267)</f>
        <v/>
      </c>
      <c r="G32" s="1082" t="str">
        <f>+IF('Qualitative Disclosures for AS'!G267="","",'Qualitative Disclosures for AS'!G267)</f>
        <v/>
      </c>
      <c r="H32" s="113"/>
      <c r="T32" s="42" t="str">
        <f t="shared" si="0"/>
        <v>Yes</v>
      </c>
    </row>
    <row r="33" spans="3:20" x14ac:dyDescent="0.25">
      <c r="C33" s="2623" t="s">
        <v>3827</v>
      </c>
      <c r="D33" s="1082"/>
      <c r="E33" s="1082"/>
      <c r="F33" s="1082"/>
      <c r="G33" s="1082"/>
      <c r="H33" s="113"/>
      <c r="T33" s="42"/>
    </row>
    <row r="34" spans="3:20" x14ac:dyDescent="0.25">
      <c r="C34" s="125" t="s">
        <v>3502</v>
      </c>
      <c r="D34" s="986">
        <v>0</v>
      </c>
      <c r="E34" s="986">
        <v>0</v>
      </c>
      <c r="F34" s="2664">
        <f>+'Notes To P&amp;L'!E112</f>
        <v>54521.19</v>
      </c>
      <c r="G34" s="2664">
        <f>+SUM(D34:F34)</f>
        <v>54521.19</v>
      </c>
      <c r="H34" s="113"/>
      <c r="T34" s="42"/>
    </row>
    <row r="35" spans="3:20" x14ac:dyDescent="0.25">
      <c r="C35" s="125" t="s">
        <v>3500</v>
      </c>
      <c r="D35" s="986">
        <v>0</v>
      </c>
      <c r="E35" s="986">
        <v>0</v>
      </c>
      <c r="F35" s="2664">
        <f>+'Notes To P&amp;L'!E121</f>
        <v>481.66989999999998</v>
      </c>
      <c r="G35" s="2664">
        <f t="shared" ref="G35:G37" si="1">+SUM(D35:F35)</f>
        <v>481.66989999999998</v>
      </c>
      <c r="H35" s="113"/>
      <c r="T35" s="42"/>
    </row>
    <row r="36" spans="3:20" x14ac:dyDescent="0.25">
      <c r="C36" s="125" t="s">
        <v>3717</v>
      </c>
      <c r="D36" s="986">
        <v>0</v>
      </c>
      <c r="E36" s="986">
        <v>0</v>
      </c>
      <c r="F36" s="2664">
        <f>+'Notes To P&amp;L'!E122</f>
        <v>193.06740000000002</v>
      </c>
      <c r="G36" s="2664">
        <f t="shared" si="1"/>
        <v>193.06740000000002</v>
      </c>
      <c r="H36" s="113"/>
      <c r="T36" s="42"/>
    </row>
    <row r="37" spans="3:20" x14ac:dyDescent="0.25">
      <c r="C37" s="125" t="s">
        <v>3806</v>
      </c>
      <c r="D37" s="986">
        <v>0</v>
      </c>
      <c r="E37" s="986">
        <v>0</v>
      </c>
      <c r="F37" s="2664">
        <f>+'Notes To P&amp;L'!E123</f>
        <v>2515.9904000000001</v>
      </c>
      <c r="G37" s="2664">
        <f t="shared" si="1"/>
        <v>2515.9904000000001</v>
      </c>
      <c r="H37" s="113"/>
      <c r="T37" s="42"/>
    </row>
    <row r="38" spans="3:20" x14ac:dyDescent="0.25">
      <c r="C38" s="125"/>
      <c r="D38" s="1082"/>
      <c r="E38" s="1082"/>
      <c r="F38" s="1082"/>
      <c r="G38" s="1082"/>
      <c r="H38" s="113"/>
      <c r="T38" s="42"/>
    </row>
    <row r="39" spans="3:20" x14ac:dyDescent="0.25">
      <c r="C39" s="2623" t="str">
        <f>+IF('Qualitative Disclosures for AS'!C268="","",'Qualitative Disclosures for AS'!C268)</f>
        <v xml:space="preserve">Unallocable expenses (net) </v>
      </c>
      <c r="D39" s="1082" t="str">
        <f>+IF('Qualitative Disclosures for AS'!D268="","",'Qualitative Disclosures for AS'!D268)</f>
        <v/>
      </c>
      <c r="E39" s="1082" t="str">
        <f>+IF('Qualitative Disclosures for AS'!E268="","",'Qualitative Disclosures for AS'!E268)</f>
        <v/>
      </c>
      <c r="F39" s="1082" t="str">
        <f>+IF('Qualitative Disclosures for AS'!F268="","",'Qualitative Disclosures for AS'!F268)</f>
        <v/>
      </c>
      <c r="G39" s="1082" t="str">
        <f>+IF('Qualitative Disclosures for AS'!G268="","",'Qualitative Disclosures for AS'!G268)</f>
        <v/>
      </c>
      <c r="H39" s="113"/>
      <c r="T39" s="42" t="str">
        <f t="shared" si="0"/>
        <v>Yes</v>
      </c>
    </row>
    <row r="40" spans="3:20" x14ac:dyDescent="0.25">
      <c r="C40" s="125" t="s">
        <v>3828</v>
      </c>
      <c r="D40" s="847">
        <v>0</v>
      </c>
      <c r="E40" s="847">
        <v>0</v>
      </c>
      <c r="F40" s="2664">
        <f>+'Profit and Loss'!F24</f>
        <v>1804494.7194000001</v>
      </c>
      <c r="G40" s="2665">
        <f>+SUM(F40)</f>
        <v>1804494.7194000001</v>
      </c>
      <c r="H40" s="113"/>
      <c r="T40" s="42"/>
    </row>
    <row r="41" spans="3:20" x14ac:dyDescent="0.25">
      <c r="C41" s="125" t="s">
        <v>37</v>
      </c>
      <c r="D41" s="847">
        <v>0</v>
      </c>
      <c r="E41" s="847">
        <v>0</v>
      </c>
      <c r="F41" s="2664">
        <f>+'Profit and Loss'!F26</f>
        <v>890.83</v>
      </c>
      <c r="G41" s="2665">
        <f>+SUM(F41)</f>
        <v>890.83</v>
      </c>
      <c r="H41" s="113"/>
      <c r="T41" s="42"/>
    </row>
    <row r="42" spans="3:20" x14ac:dyDescent="0.25">
      <c r="C42" s="125" t="s">
        <v>3829</v>
      </c>
      <c r="D42" s="847">
        <v>0</v>
      </c>
      <c r="E42" s="847">
        <v>0</v>
      </c>
      <c r="F42" s="2664">
        <f>+'Profit and Loss'!F27</f>
        <v>1408037.1584000001</v>
      </c>
      <c r="G42" s="2665">
        <f>+SUM(F42)</f>
        <v>1408037.1584000001</v>
      </c>
      <c r="H42" s="113"/>
      <c r="T42" s="42"/>
    </row>
    <row r="43" spans="3:20" x14ac:dyDescent="0.25">
      <c r="C43" s="125" t="s">
        <v>1950</v>
      </c>
      <c r="D43" s="847">
        <v>0</v>
      </c>
      <c r="E43" s="847">
        <v>0</v>
      </c>
      <c r="F43" s="2664">
        <f>+'Profit and Loss'!F46</f>
        <v>97671.586061947994</v>
      </c>
      <c r="G43" s="2665">
        <f>+SUM(F43)</f>
        <v>97671.586061947994</v>
      </c>
      <c r="H43" s="113"/>
      <c r="T43" s="42" t="e">
        <f>IF(AND(F43=0,E43=0,#REF!=0,G43=0),"No","Yes")</f>
        <v>#REF!</v>
      </c>
    </row>
    <row r="44" spans="3:20" hidden="1" x14ac:dyDescent="0.25">
      <c r="C44" s="125" t="str">
        <f>+IF('Qualitative Disclosures for AS'!C270="","",'Qualitative Disclosures for AS'!C270)</f>
        <v xml:space="preserve">Operating income </v>
      </c>
      <c r="D44" s="2665" t="str">
        <f>+IF('Qualitative Disclosures for AS'!D270="","",'Qualitative Disclosures for AS'!D270)</f>
        <v/>
      </c>
      <c r="E44" s="2665" t="str">
        <f>+IF('Qualitative Disclosures for AS'!E270="","",'Qualitative Disclosures for AS'!E270)</f>
        <v/>
      </c>
      <c r="F44" s="2665" t="str">
        <f>+IF('Qualitative Disclosures for AS'!F270="","",'Qualitative Disclosures for AS'!F270)</f>
        <v/>
      </c>
      <c r="G44" s="2665" t="str">
        <f>+IF('Qualitative Disclosures for AS'!G270="","",'Qualitative Disclosures for AS'!G270)</f>
        <v/>
      </c>
      <c r="H44" s="113"/>
      <c r="T44" s="42" t="str">
        <f t="shared" si="0"/>
        <v>Yes</v>
      </c>
    </row>
    <row r="45" spans="3:20" hidden="1" x14ac:dyDescent="0.25">
      <c r="C45" s="125" t="str">
        <f>+IF('Qualitative Disclosures for AS'!C271="","",'Qualitative Disclosures for AS'!C271)</f>
        <v/>
      </c>
      <c r="D45" s="2665" t="str">
        <f>+IF('Qualitative Disclosures for AS'!D271="","",'Qualitative Disclosures for AS'!D271)</f>
        <v/>
      </c>
      <c r="E45" s="2665" t="str">
        <f>+IF('Qualitative Disclosures for AS'!E271="","",'Qualitative Disclosures for AS'!E271)</f>
        <v/>
      </c>
      <c r="F45" s="2665" t="str">
        <f>+IF('Qualitative Disclosures for AS'!F271="","",'Qualitative Disclosures for AS'!F271)</f>
        <v/>
      </c>
      <c r="G45" s="2665" t="str">
        <f>+IF('Qualitative Disclosures for AS'!G271="","",'Qualitative Disclosures for AS'!G271)</f>
        <v/>
      </c>
      <c r="H45" s="113"/>
      <c r="T45" s="42" t="str">
        <f t="shared" si="0"/>
        <v>Yes</v>
      </c>
    </row>
    <row r="46" spans="3:20" hidden="1" x14ac:dyDescent="0.25">
      <c r="C46" s="125" t="str">
        <f>+IF('Qualitative Disclosures for AS'!C272="","",'Qualitative Disclosures for AS'!C272)</f>
        <v xml:space="preserve">Other income (net) </v>
      </c>
      <c r="D46" s="2665" t="str">
        <f>+IF('Qualitative Disclosures for AS'!D272="","",'Qualitative Disclosures for AS'!D272)</f>
        <v/>
      </c>
      <c r="E46" s="2665" t="str">
        <f>+IF('Qualitative Disclosures for AS'!E272="","",'Qualitative Disclosures for AS'!E272)</f>
        <v/>
      </c>
      <c r="F46" s="2665" t="str">
        <f>+IF('Qualitative Disclosures for AS'!F272="","",'Qualitative Disclosures for AS'!F272)</f>
        <v/>
      </c>
      <c r="G46" s="2665" t="str">
        <f>+IF('Qualitative Disclosures for AS'!G272="","",'Qualitative Disclosures for AS'!G272)</f>
        <v/>
      </c>
      <c r="H46" s="113"/>
      <c r="T46" s="42" t="str">
        <f t="shared" si="0"/>
        <v>Yes</v>
      </c>
    </row>
    <row r="47" spans="3:20" hidden="1" x14ac:dyDescent="0.25">
      <c r="C47" s="125" t="str">
        <f>+IF('Qualitative Disclosures for AS'!C273="","",'Qualitative Disclosures for AS'!C273)</f>
        <v/>
      </c>
      <c r="D47" s="2665" t="str">
        <f>+IF('Qualitative Disclosures for AS'!D273="","",'Qualitative Disclosures for AS'!D273)</f>
        <v/>
      </c>
      <c r="E47" s="2665" t="str">
        <f>+IF('Qualitative Disclosures for AS'!E273="","",'Qualitative Disclosures for AS'!E273)</f>
        <v/>
      </c>
      <c r="F47" s="2665" t="str">
        <f>+IF('Qualitative Disclosures for AS'!F273="","",'Qualitative Disclosures for AS'!F273)</f>
        <v/>
      </c>
      <c r="G47" s="2665" t="str">
        <f>+IF('Qualitative Disclosures for AS'!G273="","",'Qualitative Disclosures for AS'!G273)</f>
        <v/>
      </c>
      <c r="H47" s="113"/>
      <c r="T47" s="42" t="str">
        <f t="shared" si="0"/>
        <v>Yes</v>
      </c>
    </row>
    <row r="48" spans="3:20" hidden="1" x14ac:dyDescent="0.25">
      <c r="C48" s="125" t="str">
        <f>+IF('Qualitative Disclosures for AS'!C274="","",'Qualitative Disclosures for AS'!C274)</f>
        <v xml:space="preserve">Profit before taxes </v>
      </c>
      <c r="D48" s="2665" t="str">
        <f>+IF('Qualitative Disclosures for AS'!D274="","",'Qualitative Disclosures for AS'!D274)</f>
        <v>ff</v>
      </c>
      <c r="E48" s="2665" t="str">
        <f>+IF('Qualitative Disclosures for AS'!E274="","",'Qualitative Disclosures for AS'!E274)</f>
        <v/>
      </c>
      <c r="F48" s="2665" t="str">
        <f>+IF('Qualitative Disclosures for AS'!F274="","",'Qualitative Disclosures for AS'!F274)</f>
        <v/>
      </c>
      <c r="G48" s="2665" t="str">
        <f>+IF('Qualitative Disclosures for AS'!G274="","",'Qualitative Disclosures for AS'!G274)</f>
        <v/>
      </c>
      <c r="H48" s="113"/>
      <c r="T48" s="42" t="str">
        <f t="shared" si="0"/>
        <v>Yes</v>
      </c>
    </row>
    <row r="49" spans="3:20" hidden="1" x14ac:dyDescent="0.25">
      <c r="C49" s="125" t="str">
        <f>+IF('Qualitative Disclosures for AS'!C275="","",'Qualitative Disclosures for AS'!C275)</f>
        <v/>
      </c>
      <c r="D49" s="2665" t="str">
        <f>+IF('Qualitative Disclosures for AS'!D275="","",'Qualitative Disclosures for AS'!D275)</f>
        <v/>
      </c>
      <c r="E49" s="2665" t="str">
        <f>+IF('Qualitative Disclosures for AS'!E275="","",'Qualitative Disclosures for AS'!E275)</f>
        <v/>
      </c>
      <c r="F49" s="2665" t="str">
        <f>+IF('Qualitative Disclosures for AS'!F275="","",'Qualitative Disclosures for AS'!F275)</f>
        <v/>
      </c>
      <c r="G49" s="2665" t="str">
        <f>+IF('Qualitative Disclosures for AS'!G275="","",'Qualitative Disclosures for AS'!G275)</f>
        <v/>
      </c>
      <c r="H49" s="113"/>
      <c r="T49" s="42" t="str">
        <f t="shared" si="0"/>
        <v>Yes</v>
      </c>
    </row>
    <row r="50" spans="3:20" hidden="1" x14ac:dyDescent="0.25">
      <c r="C50" s="125" t="str">
        <f>+IF('Qualitative Disclosures for AS'!C276="","",'Qualitative Disclosures for AS'!C276)</f>
        <v xml:space="preserve">Tax expense </v>
      </c>
      <c r="D50" s="2665" t="str">
        <f>+IF('Qualitative Disclosures for AS'!D276="","",'Qualitative Disclosures for AS'!D276)</f>
        <v/>
      </c>
      <c r="E50" s="2665" t="str">
        <f>+IF('Qualitative Disclosures for AS'!E276="","",'Qualitative Disclosures for AS'!E276)</f>
        <v/>
      </c>
      <c r="F50" s="2665" t="str">
        <f>+IF('Qualitative Disclosures for AS'!F276="","",'Qualitative Disclosures for AS'!F276)</f>
        <v/>
      </c>
      <c r="G50" s="2665" t="str">
        <f>+IF('Qualitative Disclosures for AS'!G276="","",'Qualitative Disclosures for AS'!G276)</f>
        <v/>
      </c>
      <c r="H50" s="113"/>
      <c r="T50" s="42" t="str">
        <f t="shared" si="0"/>
        <v>Yes</v>
      </c>
    </row>
    <row r="51" spans="3:20" hidden="1" x14ac:dyDescent="0.25">
      <c r="C51" s="125" t="str">
        <f>+IF('Qualitative Disclosures for AS'!C277="","",'Qualitative Disclosures for AS'!C277)</f>
        <v/>
      </c>
      <c r="D51" s="2665" t="str">
        <f>+IF('Qualitative Disclosures for AS'!D277="","",'Qualitative Disclosures for AS'!D277)</f>
        <v/>
      </c>
      <c r="E51" s="2665" t="str">
        <f>+IF('Qualitative Disclosures for AS'!E277="","",'Qualitative Disclosures for AS'!E277)</f>
        <v/>
      </c>
      <c r="F51" s="2665" t="str">
        <f>+IF('Qualitative Disclosures for AS'!F277="","",'Qualitative Disclosures for AS'!F277)</f>
        <v/>
      </c>
      <c r="G51" s="2665" t="str">
        <f>+IF('Qualitative Disclosures for AS'!G277="","",'Qualitative Disclosures for AS'!G277)</f>
        <v/>
      </c>
      <c r="H51" s="113"/>
      <c r="T51" s="42" t="str">
        <f t="shared" si="0"/>
        <v>Yes</v>
      </c>
    </row>
    <row r="52" spans="3:20" hidden="1" x14ac:dyDescent="0.25">
      <c r="C52" s="125" t="str">
        <f>+IF('Qualitative Disclosures for AS'!C278="","",'Qualitative Disclosures for AS'!C278)</f>
        <v>Profit for the year</v>
      </c>
      <c r="D52" s="2665" t="str">
        <f>+IF('Qualitative Disclosures for AS'!D278="","",'Qualitative Disclosures for AS'!D278)</f>
        <v/>
      </c>
      <c r="E52" s="2665" t="str">
        <f>+IF('Qualitative Disclosures for AS'!E278="","",'Qualitative Disclosures for AS'!E278)</f>
        <v/>
      </c>
      <c r="F52" s="2665" t="str">
        <f>+IF('Qualitative Disclosures for AS'!F278="","",'Qualitative Disclosures for AS'!F278)</f>
        <v/>
      </c>
      <c r="G52" s="2665" t="str">
        <f>+IF('Qualitative Disclosures for AS'!G278="","",'Qualitative Disclosures for AS'!G278)</f>
        <v/>
      </c>
      <c r="H52" s="113"/>
      <c r="T52" s="42" t="str">
        <f t="shared" si="0"/>
        <v>Yes</v>
      </c>
    </row>
    <row r="53" spans="3:20" hidden="1" x14ac:dyDescent="0.25">
      <c r="C53" s="125" t="str">
        <f>+IF('Qualitative Disclosures for AS'!C279="","",'Qualitative Disclosures for AS'!C279)</f>
        <v/>
      </c>
      <c r="D53" s="2665" t="str">
        <f>+IF('Qualitative Disclosures for AS'!D279="","",'Qualitative Disclosures for AS'!D279)</f>
        <v/>
      </c>
      <c r="E53" s="2665" t="str">
        <f>+IF('Qualitative Disclosures for AS'!E279="","",'Qualitative Disclosures for AS'!E279)</f>
        <v/>
      </c>
      <c r="F53" s="2665" t="str">
        <f>+IF('Qualitative Disclosures for AS'!F279="","",'Qualitative Disclosures for AS'!F279)</f>
        <v/>
      </c>
      <c r="G53" s="2665" t="str">
        <f>+IF('Qualitative Disclosures for AS'!G279="","",'Qualitative Disclosures for AS'!G279)</f>
        <v/>
      </c>
      <c r="H53" s="113"/>
      <c r="T53" s="42" t="str">
        <f t="shared" si="0"/>
        <v>Yes</v>
      </c>
    </row>
    <row r="54" spans="3:20" hidden="1" x14ac:dyDescent="0.25">
      <c r="C54" s="125" t="str">
        <f>+IF('Qualitative Disclosures for AS'!C280="","",'Qualitative Disclosures for AS'!C280)</f>
        <v>Segment assets</v>
      </c>
      <c r="D54" s="2665" t="str">
        <f>+IF('Qualitative Disclosures for AS'!D280="","",'Qualitative Disclosures for AS'!D280)</f>
        <v/>
      </c>
      <c r="E54" s="2665" t="str">
        <f>+IF('Qualitative Disclosures for AS'!E280="","",'Qualitative Disclosures for AS'!E280)</f>
        <v/>
      </c>
      <c r="F54" s="2665" t="str">
        <f>+IF('Qualitative Disclosures for AS'!F280="","",'Qualitative Disclosures for AS'!F280)</f>
        <v/>
      </c>
      <c r="G54" s="1969" t="str">
        <f>+IF('Qualitative Disclosures for AS'!G280="","",'Qualitative Disclosures for AS'!G280)</f>
        <v/>
      </c>
      <c r="T54" s="42" t="str">
        <f t="shared" si="0"/>
        <v>Yes</v>
      </c>
    </row>
    <row r="55" spans="3:20" x14ac:dyDescent="0.25">
      <c r="C55" s="125" t="str">
        <f>+IF('Qualitative Disclosures for AS'!C281="","",'Qualitative Disclosures for AS'!C281)</f>
        <v/>
      </c>
      <c r="D55" s="2665" t="str">
        <f>+IF('Qualitative Disclosures for AS'!D281="","",'Qualitative Disclosures for AS'!D281)</f>
        <v/>
      </c>
      <c r="E55" s="2665" t="str">
        <f>+IF('Qualitative Disclosures for AS'!E281="","",'Qualitative Disclosures for AS'!E281)</f>
        <v/>
      </c>
      <c r="F55" s="2665" t="str">
        <f>+IF('Qualitative Disclosures for AS'!F281="","",'Qualitative Disclosures for AS'!F281)</f>
        <v/>
      </c>
      <c r="G55" s="1969" t="str">
        <f>+IF('Qualitative Disclosures for AS'!G281="","",'Qualitative Disclosures for AS'!G281)</f>
        <v/>
      </c>
      <c r="T55" s="42" t="str">
        <f t="shared" si="0"/>
        <v>Yes</v>
      </c>
    </row>
    <row r="56" spans="3:20" x14ac:dyDescent="0.25">
      <c r="C56" s="2623" t="s">
        <v>3830</v>
      </c>
      <c r="D56" s="2665"/>
      <c r="E56" s="2665"/>
      <c r="F56" s="2665"/>
      <c r="G56" s="1969"/>
      <c r="T56" s="42"/>
    </row>
    <row r="57" spans="3:20" x14ac:dyDescent="0.25">
      <c r="C57" s="2623"/>
      <c r="D57" s="2665"/>
      <c r="E57" s="2665"/>
      <c r="F57" s="2665"/>
      <c r="G57" s="1969"/>
      <c r="T57" s="42"/>
    </row>
    <row r="58" spans="3:20" x14ac:dyDescent="0.25">
      <c r="C58" s="125" t="s">
        <v>3831</v>
      </c>
      <c r="D58" s="847">
        <v>0</v>
      </c>
      <c r="E58" s="2664">
        <v>0</v>
      </c>
      <c r="F58" s="2664">
        <f>+'Balance Sheet'!F65-E59</f>
        <v>1612486.7287380516</v>
      </c>
      <c r="G58" s="1969">
        <f>+SUM(D58:F58)</f>
        <v>1612486.7287380516</v>
      </c>
      <c r="T58" s="42"/>
    </row>
    <row r="59" spans="3:20" x14ac:dyDescent="0.25">
      <c r="C59" s="125" t="s">
        <v>3833</v>
      </c>
      <c r="D59" s="847">
        <v>0</v>
      </c>
      <c r="E59" s="2664">
        <f>+Assets!D335</f>
        <v>400044.04979999998</v>
      </c>
      <c r="F59" s="2665">
        <v>0</v>
      </c>
      <c r="G59" s="1969">
        <f>+SUM(D59:F59)</f>
        <v>400044.04979999998</v>
      </c>
      <c r="T59" s="42"/>
    </row>
    <row r="60" spans="3:20" hidden="1" x14ac:dyDescent="0.25">
      <c r="C60" s="125" t="str">
        <f>+IF('Qualitative Disclosures for AS'!C282="","",'Qualitative Disclosures for AS'!C282)</f>
        <v>Unallocable assets</v>
      </c>
      <c r="D60" s="1969"/>
      <c r="E60" s="2665" t="str">
        <f>+IF('Qualitative Disclosures for AS'!E282="","",'Qualitative Disclosures for AS'!E282)</f>
        <v/>
      </c>
      <c r="F60" s="2665" t="str">
        <f>+IF('Qualitative Disclosures for AS'!D282="","",'Qualitative Disclosures for AS'!D282)</f>
        <v/>
      </c>
      <c r="G60" s="1969">
        <f t="shared" ref="G60:G61" si="2">+SUM(D60:E60)</f>
        <v>0</v>
      </c>
      <c r="T60" s="42" t="e">
        <f>IF(AND(F60=0,E60=0,#REF!=0,G60=0),"No","Yes")</f>
        <v>#REF!</v>
      </c>
    </row>
    <row r="61" spans="3:20" hidden="1" x14ac:dyDescent="0.25">
      <c r="C61" s="125" t="str">
        <f>+IF('Qualitative Disclosures for AS'!C283="","",'Qualitative Disclosures for AS'!C283)</f>
        <v/>
      </c>
      <c r="D61" s="1969"/>
      <c r="E61" s="2665" t="str">
        <f>+IF('Qualitative Disclosures for AS'!E283="","",'Qualitative Disclosures for AS'!E283)</f>
        <v/>
      </c>
      <c r="F61" s="2665" t="str">
        <f>+IF('Qualitative Disclosures for AS'!D283="","",'Qualitative Disclosures for AS'!D283)</f>
        <v/>
      </c>
      <c r="G61" s="1969">
        <f t="shared" si="2"/>
        <v>0</v>
      </c>
      <c r="T61" s="42" t="e">
        <f>IF(AND(F61=0,E61=0,#REF!=0,G61=0),"No","Yes")</f>
        <v>#REF!</v>
      </c>
    </row>
    <row r="62" spans="3:20" x14ac:dyDescent="0.25">
      <c r="C62" s="2623" t="str">
        <f>+IF('Qualitative Disclosures for AS'!C284="","",'Qualitative Disclosures for AS'!C284)</f>
        <v>Total assets</v>
      </c>
      <c r="D62" s="1969"/>
      <c r="E62" s="2666">
        <f>+SUM(E58:E59)</f>
        <v>400044.04979999998</v>
      </c>
      <c r="F62" s="2666">
        <f>+SUM(F58:F59)</f>
        <v>1612486.7287380516</v>
      </c>
      <c r="G62" s="2667">
        <f>+SUM(G58:G59)</f>
        <v>2012530.7785380515</v>
      </c>
      <c r="T62" s="42" t="e">
        <f>IF(AND(F62=0,E62=0,#REF!=0,G62=0),"No","Yes")</f>
        <v>#REF!</v>
      </c>
    </row>
    <row r="63" spans="3:20" x14ac:dyDescent="0.25">
      <c r="C63" s="125" t="str">
        <f>+IF('Qualitative Disclosures for AS'!C285="","",'Qualitative Disclosures for AS'!C285)</f>
        <v/>
      </c>
      <c r="D63" s="1082" t="str">
        <f>+IF('Qualitative Disclosures for AS'!D285="","",'Qualitative Disclosures for AS'!D285)</f>
        <v/>
      </c>
      <c r="E63" s="1082" t="str">
        <f>+IF('Qualitative Disclosures for AS'!E285="","",'Qualitative Disclosures for AS'!E285)</f>
        <v/>
      </c>
      <c r="F63" s="1082" t="str">
        <f>+IF('Qualitative Disclosures for AS'!F285="","",'Qualitative Disclosures for AS'!F285)</f>
        <v/>
      </c>
      <c r="G63" s="125" t="str">
        <f>+IF('Qualitative Disclosures for AS'!G285="","",'Qualitative Disclosures for AS'!G285)</f>
        <v/>
      </c>
      <c r="T63" s="42" t="str">
        <f t="shared" si="0"/>
        <v>Yes</v>
      </c>
    </row>
    <row r="64" spans="3:20" hidden="1" x14ac:dyDescent="0.25">
      <c r="C64" s="125" t="str">
        <f>+IF('Qualitative Disclosures for AS'!C286="","",'Qualitative Disclosures for AS'!C286)</f>
        <v>Segment liabilities</v>
      </c>
      <c r="D64" s="1082" t="str">
        <f>+IF('Qualitative Disclosures for AS'!D286="","",'Qualitative Disclosures for AS'!D286)</f>
        <v/>
      </c>
      <c r="E64" s="1082" t="str">
        <f>+IF('Qualitative Disclosures for AS'!E286="","",'Qualitative Disclosures for AS'!E286)</f>
        <v/>
      </c>
      <c r="F64" s="1082" t="str">
        <f>+IF('Qualitative Disclosures for AS'!F286="","",'Qualitative Disclosures for AS'!F286)</f>
        <v/>
      </c>
      <c r="G64" s="125" t="str">
        <f>+IF('Qualitative Disclosures for AS'!G286="","",'Qualitative Disclosures for AS'!G286)</f>
        <v/>
      </c>
      <c r="T64" s="42" t="str">
        <f t="shared" si="0"/>
        <v>Yes</v>
      </c>
    </row>
    <row r="65" spans="3:20" hidden="1" x14ac:dyDescent="0.25">
      <c r="C65" s="125" t="str">
        <f>+IF('Qualitative Disclosures for AS'!C287="","",'Qualitative Disclosures for AS'!C287)</f>
        <v/>
      </c>
      <c r="D65" s="1082" t="str">
        <f>+IF('Qualitative Disclosures for AS'!D287="","",'Qualitative Disclosures for AS'!D287)</f>
        <v/>
      </c>
      <c r="E65" s="1082" t="str">
        <f>+IF('Qualitative Disclosures for AS'!E287="","",'Qualitative Disclosures for AS'!E287)</f>
        <v/>
      </c>
      <c r="F65" s="1082" t="str">
        <f>+IF('Qualitative Disclosures for AS'!F287="","",'Qualitative Disclosures for AS'!F287)</f>
        <v/>
      </c>
      <c r="G65" s="125" t="str">
        <f>+IF('Qualitative Disclosures for AS'!G287="","",'Qualitative Disclosures for AS'!G287)</f>
        <v/>
      </c>
      <c r="T65" s="42" t="str">
        <f t="shared" si="0"/>
        <v>Yes</v>
      </c>
    </row>
    <row r="66" spans="3:20" x14ac:dyDescent="0.25">
      <c r="C66" s="125" t="str">
        <f>+IF('Qualitative Disclosures for AS'!C288="","",'Qualitative Disclosures for AS'!C288)</f>
        <v>Unallocable liabilities</v>
      </c>
      <c r="D66" s="847">
        <v>0</v>
      </c>
      <c r="E66" s="2664">
        <v>0</v>
      </c>
      <c r="F66" s="2664">
        <f>+'Balance Sheet'!F39-SUM(E67,E68)</f>
        <v>1981895.0162380496</v>
      </c>
      <c r="G66" s="847">
        <f>+SUM(D66:F66)</f>
        <v>1981895.0162380496</v>
      </c>
      <c r="T66" s="42" t="e">
        <f>IF(AND(F66=0,E66=0,#REF!=0,G66=0),"No","Yes")</f>
        <v>#REF!</v>
      </c>
    </row>
    <row r="67" spans="3:20" x14ac:dyDescent="0.25">
      <c r="C67" s="125" t="s">
        <v>3832</v>
      </c>
      <c r="D67" s="847">
        <v>0</v>
      </c>
      <c r="E67" s="2664">
        <f>-('TB Grouping'!F319+'TB Grouping'!F273)/100</f>
        <v>3897.2291999999998</v>
      </c>
      <c r="F67" s="2664">
        <v>0</v>
      </c>
      <c r="G67" s="847">
        <f t="shared" ref="G67:G68" si="3">+SUM(D67:F67)</f>
        <v>3897.2291999999998</v>
      </c>
      <c r="T67" s="42" t="e">
        <f>IF(AND(F67=0,E67=0,#REF!=0,G67=0),"No","Yes")</f>
        <v>#REF!</v>
      </c>
    </row>
    <row r="68" spans="3:20" x14ac:dyDescent="0.25">
      <c r="C68" s="125" t="s">
        <v>3618</v>
      </c>
      <c r="D68" s="847">
        <v>0</v>
      </c>
      <c r="E68" s="2664">
        <f>+Liabilities!E698</f>
        <v>26738.636500000001</v>
      </c>
      <c r="F68" s="2664">
        <v>0</v>
      </c>
      <c r="G68" s="847">
        <f t="shared" si="3"/>
        <v>26738.636500000001</v>
      </c>
      <c r="T68" s="42"/>
    </row>
    <row r="69" spans="3:20" x14ac:dyDescent="0.25">
      <c r="C69" s="2623" t="str">
        <f>+IF('Qualitative Disclosures for AS'!C290="","",'Qualitative Disclosures for AS'!C290)</f>
        <v>Total liabilities</v>
      </c>
      <c r="D69" s="847"/>
      <c r="E69" s="1706">
        <f>+SUM(E66:E68)</f>
        <v>30635.865700000002</v>
      </c>
      <c r="F69" s="1706">
        <f>+SUM(F66:F68)</f>
        <v>1981895.0162380496</v>
      </c>
      <c r="G69" s="1679">
        <f>+SUM(G66:G68)</f>
        <v>2012530.8819380496</v>
      </c>
      <c r="T69" s="42" t="e">
        <f>IF(AND(F69=0,E69=0,#REF!=0,G69=0),"No","Yes")</f>
        <v>#REF!</v>
      </c>
    </row>
    <row r="70" spans="3:20" x14ac:dyDescent="0.25">
      <c r="C70" s="125" t="str">
        <f>+IF('Qualitative Disclosures for AS'!C291="","",'Qualitative Disclosures for AS'!C291)</f>
        <v/>
      </c>
      <c r="D70" s="1082" t="str">
        <f>+IF('Qualitative Disclosures for AS'!D291="","",'Qualitative Disclosures for AS'!D291)</f>
        <v/>
      </c>
      <c r="E70" s="1082" t="str">
        <f>+IF('Qualitative Disclosures for AS'!E291="","",'Qualitative Disclosures for AS'!E291)</f>
        <v/>
      </c>
      <c r="F70" s="1082" t="str">
        <f>+IF('Qualitative Disclosures for AS'!F291="","",'Qualitative Disclosures for AS'!F291)</f>
        <v/>
      </c>
      <c r="G70" s="125" t="str">
        <f>+IF('Qualitative Disclosures for AS'!G291="","",'Qualitative Disclosures for AS'!G291)</f>
        <v/>
      </c>
      <c r="T70" s="42" t="str">
        <f t="shared" si="0"/>
        <v>Yes</v>
      </c>
    </row>
    <row r="71" spans="3:20" hidden="1" x14ac:dyDescent="0.25">
      <c r="C71" s="88" t="str">
        <f>+IF('Qualitative Disclosures for AS'!C292="","",'Qualitative Disclosures for AS'!C292)</f>
        <v/>
      </c>
      <c r="D71" s="105" t="str">
        <f>+IF('Qualitative Disclosures for AS'!D292="","",'Qualitative Disclosures for AS'!D292)</f>
        <v/>
      </c>
      <c r="E71" s="105" t="str">
        <f>+IF('Qualitative Disclosures for AS'!E292="","",'Qualitative Disclosures for AS'!E292)</f>
        <v/>
      </c>
      <c r="F71" s="105" t="str">
        <f>+IF('Qualitative Disclosures for AS'!F292="","",'Qualitative Disclosures for AS'!F292)</f>
        <v/>
      </c>
      <c r="G71" s="87" t="str">
        <f>+IF('Qualitative Disclosures for AS'!G292="","",'Qualitative Disclosures for AS'!G292)</f>
        <v/>
      </c>
      <c r="T71" s="42" t="str">
        <f t="shared" si="0"/>
        <v>Yes</v>
      </c>
    </row>
    <row r="72" spans="3:20" hidden="1" x14ac:dyDescent="0.25">
      <c r="C72" s="874" t="str">
        <f>+IF('Qualitative Disclosures for AS'!C293="","",'Qualitative Disclosures for AS'!C293)</f>
        <v>Other information</v>
      </c>
      <c r="D72" s="105" t="str">
        <f>+IF('Qualitative Disclosures for AS'!D293="","",'Qualitative Disclosures for AS'!D293)</f>
        <v/>
      </c>
      <c r="E72" s="105" t="str">
        <f>+IF('Qualitative Disclosures for AS'!E293="","",'Qualitative Disclosures for AS'!E293)</f>
        <v/>
      </c>
      <c r="F72" s="105" t="str">
        <f>+IF('Qualitative Disclosures for AS'!F293="","",'Qualitative Disclosures for AS'!F293)</f>
        <v/>
      </c>
      <c r="G72" s="87" t="str">
        <f>+IF('Qualitative Disclosures for AS'!G293="","",'Qualitative Disclosures for AS'!G293)</f>
        <v/>
      </c>
      <c r="T72" s="42" t="str">
        <f t="shared" si="0"/>
        <v>Yes</v>
      </c>
    </row>
    <row r="73" spans="3:20" hidden="1" x14ac:dyDescent="0.25">
      <c r="C73" s="88" t="str">
        <f>+IF('Qualitative Disclosures for AS'!C294="","",'Qualitative Disclosures for AS'!C294)</f>
        <v>Capital expenditure (allocable)</v>
      </c>
      <c r="D73" s="105" t="str">
        <f>+IF('Qualitative Disclosures for AS'!D294="","",'Qualitative Disclosures for AS'!D294)</f>
        <v/>
      </c>
      <c r="E73" s="105" t="str">
        <f>+IF('Qualitative Disclosures for AS'!E294="","",'Qualitative Disclosures for AS'!E294)</f>
        <v/>
      </c>
      <c r="F73" s="105" t="str">
        <f>+IF('Qualitative Disclosures for AS'!F294="","",'Qualitative Disclosures for AS'!F294)</f>
        <v/>
      </c>
      <c r="G73" s="87" t="str">
        <f>+IF('Qualitative Disclosures for AS'!G294="","",'Qualitative Disclosures for AS'!G294)</f>
        <v/>
      </c>
      <c r="T73" s="42" t="str">
        <f t="shared" si="0"/>
        <v>Yes</v>
      </c>
    </row>
    <row r="74" spans="3:20" hidden="1" x14ac:dyDescent="0.25">
      <c r="C74" s="88" t="str">
        <f>+IF('Qualitative Disclosures for AS'!C295="","",'Qualitative Disclosures for AS'!C295)</f>
        <v/>
      </c>
      <c r="D74" s="105" t="str">
        <f>+IF('Qualitative Disclosures for AS'!D295="","",'Qualitative Disclosures for AS'!D295)</f>
        <v/>
      </c>
      <c r="E74" s="105" t="str">
        <f>+IF('Qualitative Disclosures for AS'!E295="","",'Qualitative Disclosures for AS'!E295)</f>
        <v/>
      </c>
      <c r="F74" s="105" t="str">
        <f>+IF('Qualitative Disclosures for AS'!F295="","",'Qualitative Disclosures for AS'!F295)</f>
        <v/>
      </c>
      <c r="G74" s="87" t="str">
        <f>+IF('Qualitative Disclosures for AS'!G295="","",'Qualitative Disclosures for AS'!G295)</f>
        <v/>
      </c>
      <c r="T74" s="42" t="str">
        <f t="shared" si="0"/>
        <v>Yes</v>
      </c>
    </row>
    <row r="75" spans="3:20" hidden="1" x14ac:dyDescent="0.25">
      <c r="C75" s="88" t="str">
        <f>+IF('Qualitative Disclosures for AS'!C296="","",'Qualitative Disclosures for AS'!C296)</f>
        <v>Capital expenditure (unallocable)</v>
      </c>
      <c r="D75" s="105" t="str">
        <f>+IF('Qualitative Disclosures for AS'!D296="","",'Qualitative Disclosures for AS'!D296)</f>
        <v/>
      </c>
      <c r="E75" s="105" t="str">
        <f>+IF('Qualitative Disclosures for AS'!E296="","",'Qualitative Disclosures for AS'!E296)</f>
        <v/>
      </c>
      <c r="F75" s="105" t="str">
        <f>+IF('Qualitative Disclosures for AS'!F296="","",'Qualitative Disclosures for AS'!F296)</f>
        <v/>
      </c>
      <c r="G75" s="87" t="str">
        <f>+IF('Qualitative Disclosures for AS'!G296="","",'Qualitative Disclosures for AS'!G296)</f>
        <v/>
      </c>
      <c r="T75" s="42" t="str">
        <f t="shared" si="0"/>
        <v>Yes</v>
      </c>
    </row>
    <row r="76" spans="3:20" hidden="1" x14ac:dyDescent="0.25">
      <c r="C76" s="88" t="str">
        <f>+IF('Qualitative Disclosures for AS'!C297="","",'Qualitative Disclosures for AS'!C297)</f>
        <v/>
      </c>
      <c r="D76" s="105" t="str">
        <f>+IF('Qualitative Disclosures for AS'!D297="","",'Qualitative Disclosures for AS'!D297)</f>
        <v/>
      </c>
      <c r="E76" s="105" t="str">
        <f>+IF('Qualitative Disclosures for AS'!E297="","",'Qualitative Disclosures for AS'!E297)</f>
        <v/>
      </c>
      <c r="F76" s="105" t="str">
        <f>+IF('Qualitative Disclosures for AS'!F297="","",'Qualitative Disclosures for AS'!F297)</f>
        <v/>
      </c>
      <c r="G76" s="87" t="str">
        <f>+IF('Qualitative Disclosures for AS'!G297="","",'Qualitative Disclosures for AS'!G297)</f>
        <v/>
      </c>
      <c r="T76" s="42" t="str">
        <f t="shared" si="0"/>
        <v>Yes</v>
      </c>
    </row>
    <row r="77" spans="3:20" hidden="1" x14ac:dyDescent="0.25">
      <c r="C77" s="88" t="str">
        <f>+IF('Qualitative Disclosures for AS'!C298="","",'Qualitative Disclosures for AS'!C298)</f>
        <v>Depreciation and amortisation (allocable)</v>
      </c>
      <c r="D77" s="105" t="str">
        <f>+IF('Qualitative Disclosures for AS'!D298="","",'Qualitative Disclosures for AS'!D298)</f>
        <v/>
      </c>
      <c r="E77" s="105" t="str">
        <f>+IF('Qualitative Disclosures for AS'!E298="","",'Qualitative Disclosures for AS'!E298)</f>
        <v/>
      </c>
      <c r="F77" s="105" t="str">
        <f>+IF('Qualitative Disclosures for AS'!F298="","",'Qualitative Disclosures for AS'!F298)</f>
        <v/>
      </c>
      <c r="G77" s="87" t="str">
        <f>+IF('Qualitative Disclosures for AS'!G298="","",'Qualitative Disclosures for AS'!G298)</f>
        <v/>
      </c>
      <c r="T77" s="42" t="str">
        <f t="shared" si="0"/>
        <v>Yes</v>
      </c>
    </row>
    <row r="78" spans="3:20" hidden="1" x14ac:dyDescent="0.25">
      <c r="C78" s="88" t="str">
        <f>+IF('Qualitative Disclosures for AS'!C299="","",'Qualitative Disclosures for AS'!C299)</f>
        <v/>
      </c>
      <c r="D78" s="105" t="str">
        <f>+IF('Qualitative Disclosures for AS'!D299="","",'Qualitative Disclosures for AS'!D299)</f>
        <v/>
      </c>
      <c r="E78" s="105" t="str">
        <f>+IF('Qualitative Disclosures for AS'!E299="","",'Qualitative Disclosures for AS'!E299)</f>
        <v/>
      </c>
      <c r="F78" s="105" t="str">
        <f>+IF('Qualitative Disclosures for AS'!F299="","",'Qualitative Disclosures for AS'!F299)</f>
        <v/>
      </c>
      <c r="G78" s="87" t="str">
        <f>+IF('Qualitative Disclosures for AS'!G299="","",'Qualitative Disclosures for AS'!G299)</f>
        <v/>
      </c>
      <c r="T78" s="42" t="str">
        <f t="shared" si="0"/>
        <v>Yes</v>
      </c>
    </row>
    <row r="79" spans="3:20" hidden="1" x14ac:dyDescent="0.25">
      <c r="C79" s="88" t="str">
        <f>+IF('Qualitative Disclosures for AS'!C300="","",'Qualitative Disclosures for AS'!C300)</f>
        <v>Depreciation and amortisation (unallocable)</v>
      </c>
      <c r="D79" s="105" t="str">
        <f>+IF('Qualitative Disclosures for AS'!D300="","",'Qualitative Disclosures for AS'!D300)</f>
        <v/>
      </c>
      <c r="E79" s="105" t="str">
        <f>+IF('Qualitative Disclosures for AS'!E300="","",'Qualitative Disclosures for AS'!E300)</f>
        <v/>
      </c>
      <c r="F79" s="105" t="str">
        <f>+IF('Qualitative Disclosures for AS'!F300="","",'Qualitative Disclosures for AS'!F300)</f>
        <v/>
      </c>
      <c r="G79" s="87" t="str">
        <f>+IF('Qualitative Disclosures for AS'!G300="","",'Qualitative Disclosures for AS'!G300)</f>
        <v/>
      </c>
      <c r="T79" s="42" t="str">
        <f t="shared" si="0"/>
        <v>Yes</v>
      </c>
    </row>
    <row r="80" spans="3:20" hidden="1" x14ac:dyDescent="0.25">
      <c r="C80" s="88" t="str">
        <f>+IF('Qualitative Disclosures for AS'!C301="","",'Qualitative Disclosures for AS'!C301)</f>
        <v/>
      </c>
      <c r="D80" s="105" t="str">
        <f>+IF('Qualitative Disclosures for AS'!D301="","",'Qualitative Disclosures for AS'!D301)</f>
        <v/>
      </c>
      <c r="E80" s="105" t="str">
        <f>+IF('Qualitative Disclosures for AS'!E301="","",'Qualitative Disclosures for AS'!E301)</f>
        <v/>
      </c>
      <c r="F80" s="105" t="str">
        <f>+IF('Qualitative Disclosures for AS'!F301="","",'Qualitative Disclosures for AS'!F301)</f>
        <v/>
      </c>
      <c r="G80" s="87" t="str">
        <f>+IF('Qualitative Disclosures for AS'!G301="","",'Qualitative Disclosures for AS'!G301)</f>
        <v/>
      </c>
      <c r="T80" s="42" t="str">
        <f t="shared" si="0"/>
        <v>Yes</v>
      </c>
    </row>
    <row r="81" spans="3:20" hidden="1" x14ac:dyDescent="0.25">
      <c r="C81" s="870" t="str">
        <f>+IF('Qualitative Disclosures for AS'!C302="","",'Qualitative Disclosures for AS'!C302)</f>
        <v>Other significant non-cash expenses (allocable) (give details)</v>
      </c>
      <c r="D81" s="105" t="str">
        <f>+IF('Qualitative Disclosures for AS'!D302="","",'Qualitative Disclosures for AS'!D302)</f>
        <v/>
      </c>
      <c r="E81" s="105" t="str">
        <f>+IF('Qualitative Disclosures for AS'!E302="","",'Qualitative Disclosures for AS'!E302)</f>
        <v/>
      </c>
      <c r="F81" s="105" t="str">
        <f>+IF('Qualitative Disclosures for AS'!F302="","",'Qualitative Disclosures for AS'!F302)</f>
        <v/>
      </c>
      <c r="G81" s="87" t="str">
        <f>+IF('Qualitative Disclosures for AS'!G302="","",'Qualitative Disclosures for AS'!G302)</f>
        <v/>
      </c>
      <c r="T81" s="42" t="str">
        <f t="shared" si="0"/>
        <v>Yes</v>
      </c>
    </row>
    <row r="82" spans="3:20" hidden="1" x14ac:dyDescent="0.25">
      <c r="C82" s="88" t="str">
        <f>+IF('Qualitative Disclosures for AS'!C303="","",'Qualitative Disclosures for AS'!C303)</f>
        <v/>
      </c>
      <c r="D82" s="105" t="str">
        <f>+IF('Qualitative Disclosures for AS'!D303="","",'Qualitative Disclosures for AS'!D303)</f>
        <v/>
      </c>
      <c r="E82" s="105" t="str">
        <f>+IF('Qualitative Disclosures for AS'!E303="","",'Qualitative Disclosures for AS'!E303)</f>
        <v/>
      </c>
      <c r="F82" s="105" t="str">
        <f>+IF('Qualitative Disclosures for AS'!F303="","",'Qualitative Disclosures for AS'!F303)</f>
        <v/>
      </c>
      <c r="G82" s="87" t="str">
        <f>+IF('Qualitative Disclosures for AS'!G303="","",'Qualitative Disclosures for AS'!G303)</f>
        <v/>
      </c>
      <c r="T82" s="42" t="str">
        <f t="shared" si="0"/>
        <v>Yes</v>
      </c>
    </row>
    <row r="83" spans="3:20" hidden="1" x14ac:dyDescent="0.25">
      <c r="C83" s="88" t="str">
        <f>+IF('Qualitative Disclosures for AS'!C304="","",'Qualitative Disclosures for AS'!C304)</f>
        <v>Other significant non-cash expenses (unallocable)</v>
      </c>
      <c r="D83" s="105" t="str">
        <f>+IF('Qualitative Disclosures for AS'!D304="","",'Qualitative Disclosures for AS'!D304)</f>
        <v/>
      </c>
      <c r="E83" s="105" t="str">
        <f>+IF('Qualitative Disclosures for AS'!E304="","",'Qualitative Disclosures for AS'!E304)</f>
        <v/>
      </c>
      <c r="F83" s="105" t="str">
        <f>+IF('Qualitative Disclosures for AS'!F304="","",'Qualitative Disclosures for AS'!F304)</f>
        <v/>
      </c>
      <c r="G83" s="87" t="str">
        <f>+IF('Qualitative Disclosures for AS'!G304="","",'Qualitative Disclosures for AS'!G304)</f>
        <v/>
      </c>
      <c r="T83" s="42" t="str">
        <f t="shared" si="0"/>
        <v>Yes</v>
      </c>
    </row>
    <row r="84" spans="3:20" hidden="1" x14ac:dyDescent="0.25">
      <c r="C84" s="88" t="str">
        <f>+IF('Qualitative Disclosures for AS'!C305="","",'Qualitative Disclosures for AS'!C305)</f>
        <v/>
      </c>
      <c r="D84" s="105" t="str">
        <f>+IF('Qualitative Disclosures for AS'!D305="","",'Qualitative Disclosures for AS'!D305)</f>
        <v/>
      </c>
      <c r="E84" s="105" t="str">
        <f>+IF('Qualitative Disclosures for AS'!E305="","",'Qualitative Disclosures for AS'!E305)</f>
        <v/>
      </c>
      <c r="F84" s="105" t="str">
        <f>+IF('Qualitative Disclosures for AS'!F305="","",'Qualitative Disclosures for AS'!F305)</f>
        <v/>
      </c>
      <c r="G84" s="87" t="str">
        <f>+IF('Qualitative Disclosures for AS'!G305="","",'Qualitative Disclosures for AS'!G305)</f>
        <v/>
      </c>
      <c r="T84" s="42" t="str">
        <f t="shared" si="0"/>
        <v>Yes</v>
      </c>
    </row>
    <row r="85" spans="3:20" ht="17.25" hidden="1" thickBot="1" x14ac:dyDescent="0.3">
      <c r="C85" s="110" t="str">
        <f>+IF('Qualitative Disclosures for AS'!C306="","",'Qualitative Disclosures for AS'!C306)</f>
        <v/>
      </c>
      <c r="D85" s="875" t="str">
        <f>+IF('Qualitative Disclosures for AS'!D306="","",'Qualitative Disclosures for AS'!D306)</f>
        <v/>
      </c>
      <c r="E85" s="875" t="str">
        <f>+IF('Qualitative Disclosures for AS'!E306="","",'Qualitative Disclosures for AS'!E306)</f>
        <v/>
      </c>
      <c r="F85" s="875" t="str">
        <f>+IF('Qualitative Disclosures for AS'!F306="","",'Qualitative Disclosures for AS'!F306)</f>
        <v/>
      </c>
      <c r="G85" s="112" t="str">
        <f>+IF('Qualitative Disclosures for AS'!G306="","",'Qualitative Disclosures for AS'!G306)</f>
        <v/>
      </c>
      <c r="T85" s="42" t="str">
        <f t="shared" si="0"/>
        <v>Yes</v>
      </c>
    </row>
    <row r="86" spans="3:20" x14ac:dyDescent="0.25">
      <c r="C86" s="81"/>
      <c r="D86" s="41"/>
      <c r="E86" s="41"/>
      <c r="F86" s="41"/>
    </row>
    <row r="87" spans="3:20" ht="15" hidden="1" customHeight="1" x14ac:dyDescent="0.25">
      <c r="C87" s="2918" t="s">
        <v>20</v>
      </c>
      <c r="D87" s="2919"/>
      <c r="E87" s="2919"/>
      <c r="F87" s="2919"/>
      <c r="G87" s="2920"/>
      <c r="H87" s="102"/>
    </row>
    <row r="88" spans="3:20" hidden="1" x14ac:dyDescent="0.25">
      <c r="C88" s="2967"/>
      <c r="D88" s="2922"/>
      <c r="E88" s="2922"/>
      <c r="F88" s="2922"/>
      <c r="G88" s="2923"/>
    </row>
    <row r="89" spans="3:20" ht="19.899999999999999" hidden="1" customHeight="1" x14ac:dyDescent="0.25">
      <c r="C89" s="2968" t="str">
        <f>+IF('Qualitative Disclosures for AS'!C309="","",'Qualitative Disclosures for AS'!C309)</f>
        <v>The geographical segments individually contributing 10 percent or more of the Company’s revenues and segment assets are shown separately:</v>
      </c>
      <c r="D89" s="2969" t="str">
        <f>+IF('Qualitative Disclosures for AS'!D310="","",'Qualitative Disclosures for AS'!D310)</f>
        <v/>
      </c>
      <c r="E89" s="2969" t="str">
        <f>+IF('Qualitative Disclosures for AS'!E310="","",'Qualitative Disclosures for AS'!E310)</f>
        <v/>
      </c>
      <c r="F89" s="2969" t="str">
        <f>+IF('Qualitative Disclosures for AS'!F310="","",'Qualitative Disclosures for AS'!F310)</f>
        <v/>
      </c>
      <c r="G89" s="87"/>
    </row>
    <row r="90" spans="3:20" hidden="1" x14ac:dyDescent="0.25">
      <c r="C90" s="866"/>
      <c r="D90" s="121"/>
      <c r="E90" s="121"/>
      <c r="F90" s="121"/>
      <c r="G90" s="87"/>
    </row>
    <row r="91" spans="3:20" ht="89.45" hidden="1" customHeight="1" x14ac:dyDescent="0.25">
      <c r="C91" s="2970" t="str">
        <f>+IF('Qualitative Disclosures for AS'!C311="","",'Qualitative Disclosures for AS'!C311)</f>
        <v xml:space="preserve">Geographical Segment </v>
      </c>
      <c r="D91" s="2972" t="str">
        <f>+IF('Qualitative Disclosures for AS'!D311="","",'Qualitative Disclosures for AS'!D311)</f>
        <v xml:space="preserve">Revenues
for the year ended 
31 March, </v>
      </c>
      <c r="E91" s="2972" t="str">
        <f>+IF('Qualitative Disclosures for AS'!E311="","",'Qualitative Disclosures for AS'!E311)</f>
        <v xml:space="preserve">Segment assets
as at 
31 March, </v>
      </c>
      <c r="F91" s="2974" t="str">
        <f>+IF('Qualitative Disclosures for AS'!F311="","",'Qualitative Disclosures for AS'!F311)</f>
        <v xml:space="preserve">Capital expenditure incurred during the year ended </v>
      </c>
      <c r="G91" s="87"/>
    </row>
    <row r="92" spans="3:20" ht="10.15" hidden="1" customHeight="1" thickBot="1" x14ac:dyDescent="0.3">
      <c r="C92" s="2971" t="str">
        <f>+IF('Qualitative Disclosures for AS'!C312="","",'Qualitative Disclosures for AS'!C312)</f>
        <v/>
      </c>
      <c r="D92" s="2973" t="str">
        <f>+IF('Qualitative Disclosures for AS'!D313="","",'Qualitative Disclosures for AS'!D313)</f>
        <v/>
      </c>
      <c r="E92" s="2973" t="str">
        <f>+IF('Qualitative Disclosures for AS'!E313="","",'Qualitative Disclosures for AS'!E313)</f>
        <v/>
      </c>
      <c r="F92" s="2975" t="str">
        <f>+IF('Qualitative Disclosures for AS'!F313="","",'Qualitative Disclosures for AS'!F313)</f>
        <v/>
      </c>
      <c r="G92" s="87"/>
    </row>
    <row r="93" spans="3:20" hidden="1" x14ac:dyDescent="0.25">
      <c r="C93" s="88" t="str">
        <f>+IF('Qualitative Disclosures for AS'!C313="","",'Qualitative Disclosures for AS'!C313)</f>
        <v/>
      </c>
      <c r="D93" s="106" t="str">
        <f>+IF('Qualitative Disclosures for AS'!D313="","",'Qualitative Disclosures for AS'!D313)</f>
        <v/>
      </c>
      <c r="E93" s="106" t="str">
        <f>+IF('Qualitative Disclosures for AS'!E313="","",'Qualitative Disclosures for AS'!E313)</f>
        <v/>
      </c>
      <c r="F93" s="115" t="str">
        <f>+IF('Qualitative Disclosures for AS'!F313="","",'Qualitative Disclosures for AS'!F313)</f>
        <v/>
      </c>
      <c r="G93" s="87"/>
      <c r="T93" s="101" t="str">
        <f t="shared" ref="T93:T117" si="4">IF(AND(D93=0,E93=0,F93=0),"No","Yes")</f>
        <v>Yes</v>
      </c>
    </row>
    <row r="94" spans="3:20" hidden="1" x14ac:dyDescent="0.25">
      <c r="C94" s="88" t="str">
        <f>+IF('Qualitative Disclosures for AS'!C314="","",'Qualitative Disclosures for AS'!C314)</f>
        <v/>
      </c>
      <c r="D94" s="105" t="str">
        <f>+IF('Qualitative Disclosures for AS'!D314="","",'Qualitative Disclosures for AS'!D314)</f>
        <v/>
      </c>
      <c r="E94" s="105" t="str">
        <f>+IF('Qualitative Disclosures for AS'!E314="","",'Qualitative Disclosures for AS'!E314)</f>
        <v/>
      </c>
      <c r="F94" s="152" t="str">
        <f>+IF('Qualitative Disclosures for AS'!F314="","",'Qualitative Disclosures for AS'!F314)</f>
        <v/>
      </c>
      <c r="G94" s="87"/>
      <c r="T94" s="42" t="str">
        <f t="shared" si="4"/>
        <v>Yes</v>
      </c>
    </row>
    <row r="95" spans="3:20" hidden="1" x14ac:dyDescent="0.25">
      <c r="C95" s="88" t="str">
        <f>+IF('Qualitative Disclosures for AS'!C315="","",'Qualitative Disclosures for AS'!C315)</f>
        <v/>
      </c>
      <c r="D95" s="105" t="str">
        <f>+IF('Qualitative Disclosures for AS'!D315="","",'Qualitative Disclosures for AS'!D315)</f>
        <v/>
      </c>
      <c r="E95" s="105" t="str">
        <f>+IF('Qualitative Disclosures for AS'!E315="","",'Qualitative Disclosures for AS'!E315)</f>
        <v/>
      </c>
      <c r="F95" s="152" t="str">
        <f>+IF('Qualitative Disclosures for AS'!F315="","",'Qualitative Disclosures for AS'!F315)</f>
        <v/>
      </c>
      <c r="G95" s="87"/>
      <c r="T95" s="42" t="str">
        <f t="shared" si="4"/>
        <v>Yes</v>
      </c>
    </row>
    <row r="96" spans="3:20" hidden="1" x14ac:dyDescent="0.25">
      <c r="C96" s="88" t="str">
        <f>+IF('Qualitative Disclosures for AS'!C316="","",'Qualitative Disclosures for AS'!C316)</f>
        <v/>
      </c>
      <c r="D96" s="105" t="str">
        <f>+IF('Qualitative Disclosures for AS'!D316="","",'Qualitative Disclosures for AS'!D316)</f>
        <v/>
      </c>
      <c r="E96" s="105" t="str">
        <f>+IF('Qualitative Disclosures for AS'!E316="","",'Qualitative Disclosures for AS'!E316)</f>
        <v/>
      </c>
      <c r="F96" s="152" t="str">
        <f>+IF('Qualitative Disclosures for AS'!F316="","",'Qualitative Disclosures for AS'!F316)</f>
        <v/>
      </c>
      <c r="G96" s="87"/>
      <c r="T96" s="42" t="str">
        <f t="shared" si="4"/>
        <v>Yes</v>
      </c>
    </row>
    <row r="97" spans="3:20" hidden="1" x14ac:dyDescent="0.25">
      <c r="C97" s="88" t="str">
        <f>+IF('Qualitative Disclosures for AS'!C317="","",'Qualitative Disclosures for AS'!C317)</f>
        <v/>
      </c>
      <c r="D97" s="105" t="str">
        <f>+IF('Qualitative Disclosures for AS'!D317="","",'Qualitative Disclosures for AS'!D317)</f>
        <v/>
      </c>
      <c r="E97" s="105" t="str">
        <f>+IF('Qualitative Disclosures for AS'!E317="","",'Qualitative Disclosures for AS'!E317)</f>
        <v/>
      </c>
      <c r="F97" s="152" t="str">
        <f>+IF('Qualitative Disclosures for AS'!F317="","",'Qualitative Disclosures for AS'!F317)</f>
        <v/>
      </c>
      <c r="G97" s="87"/>
      <c r="T97" s="42" t="str">
        <f t="shared" si="4"/>
        <v>Yes</v>
      </c>
    </row>
    <row r="98" spans="3:20" hidden="1" x14ac:dyDescent="0.25">
      <c r="C98" s="88" t="str">
        <f>+IF('Qualitative Disclosures for AS'!C318="","",'Qualitative Disclosures for AS'!C318)</f>
        <v/>
      </c>
      <c r="D98" s="105" t="str">
        <f>+IF('Qualitative Disclosures for AS'!D318="","",'Qualitative Disclosures for AS'!D318)</f>
        <v/>
      </c>
      <c r="E98" s="105" t="str">
        <f>+IF('Qualitative Disclosures for AS'!E318="","",'Qualitative Disclosures for AS'!E318)</f>
        <v/>
      </c>
      <c r="F98" s="152" t="str">
        <f>+IF('Qualitative Disclosures for AS'!F318="","",'Qualitative Disclosures for AS'!F318)</f>
        <v/>
      </c>
      <c r="G98" s="87"/>
      <c r="T98" s="42" t="str">
        <f t="shared" si="4"/>
        <v>Yes</v>
      </c>
    </row>
    <row r="99" spans="3:20" hidden="1" x14ac:dyDescent="0.25">
      <c r="C99" s="88" t="str">
        <f>+IF('Qualitative Disclosures for AS'!C319="","",'Qualitative Disclosures for AS'!C319)</f>
        <v/>
      </c>
      <c r="D99" s="105" t="str">
        <f>+IF('Qualitative Disclosures for AS'!D319="","",'Qualitative Disclosures for AS'!D319)</f>
        <v/>
      </c>
      <c r="E99" s="105" t="str">
        <f>+IF('Qualitative Disclosures for AS'!E319="","",'Qualitative Disclosures for AS'!E319)</f>
        <v/>
      </c>
      <c r="F99" s="152" t="str">
        <f>+IF('Qualitative Disclosures for AS'!F319="","",'Qualitative Disclosures for AS'!F319)</f>
        <v/>
      </c>
      <c r="G99" s="87"/>
      <c r="T99" s="42" t="str">
        <f t="shared" si="4"/>
        <v>Yes</v>
      </c>
    </row>
    <row r="100" spans="3:20" hidden="1" x14ac:dyDescent="0.25">
      <c r="C100" s="88" t="str">
        <f>+IF('Qualitative Disclosures for AS'!C320="","",'Qualitative Disclosures for AS'!C320)</f>
        <v/>
      </c>
      <c r="D100" s="105" t="str">
        <f>+IF('Qualitative Disclosures for AS'!D320="","",'Qualitative Disclosures for AS'!D320)</f>
        <v/>
      </c>
      <c r="E100" s="105" t="str">
        <f>+IF('Qualitative Disclosures for AS'!E320="","",'Qualitative Disclosures for AS'!E320)</f>
        <v/>
      </c>
      <c r="F100" s="152" t="str">
        <f>+IF('Qualitative Disclosures for AS'!F320="","",'Qualitative Disclosures for AS'!F320)</f>
        <v/>
      </c>
      <c r="G100" s="87"/>
      <c r="T100" s="42" t="str">
        <f t="shared" si="4"/>
        <v>Yes</v>
      </c>
    </row>
    <row r="101" spans="3:20" hidden="1" x14ac:dyDescent="0.25">
      <c r="C101" s="88" t="str">
        <f>+IF('Qualitative Disclosures for AS'!C321="","",'Qualitative Disclosures for AS'!C321)</f>
        <v/>
      </c>
      <c r="D101" s="105" t="str">
        <f>+IF('Qualitative Disclosures for AS'!D321="","",'Qualitative Disclosures for AS'!D321)</f>
        <v/>
      </c>
      <c r="E101" s="105" t="str">
        <f>+IF('Qualitative Disclosures for AS'!E321="","",'Qualitative Disclosures for AS'!E321)</f>
        <v/>
      </c>
      <c r="F101" s="152" t="str">
        <f>+IF('Qualitative Disclosures for AS'!F321="","",'Qualitative Disclosures for AS'!F321)</f>
        <v/>
      </c>
      <c r="G101" s="87"/>
      <c r="T101" s="42" t="str">
        <f t="shared" si="4"/>
        <v>Yes</v>
      </c>
    </row>
    <row r="102" spans="3:20" hidden="1" x14ac:dyDescent="0.25">
      <c r="C102" s="88" t="str">
        <f>+IF('Qualitative Disclosures for AS'!C322="","",'Qualitative Disclosures for AS'!C322)</f>
        <v/>
      </c>
      <c r="D102" s="105" t="str">
        <f>+IF('Qualitative Disclosures for AS'!D322="","",'Qualitative Disclosures for AS'!D322)</f>
        <v/>
      </c>
      <c r="E102" s="105" t="str">
        <f>+IF('Qualitative Disclosures for AS'!E322="","",'Qualitative Disclosures for AS'!E322)</f>
        <v/>
      </c>
      <c r="F102" s="152" t="str">
        <f>+IF('Qualitative Disclosures for AS'!F322="","",'Qualitative Disclosures for AS'!F322)</f>
        <v/>
      </c>
      <c r="G102" s="87"/>
      <c r="T102" s="42" t="str">
        <f t="shared" si="4"/>
        <v>Yes</v>
      </c>
    </row>
    <row r="103" spans="3:20" hidden="1" x14ac:dyDescent="0.25">
      <c r="C103" s="88" t="str">
        <f>+IF('Qualitative Disclosures for AS'!C323="","",'Qualitative Disclosures for AS'!C323)</f>
        <v/>
      </c>
      <c r="D103" s="105" t="str">
        <f>+IF('Qualitative Disclosures for AS'!D323="","",'Qualitative Disclosures for AS'!D323)</f>
        <v/>
      </c>
      <c r="E103" s="105" t="str">
        <f>+IF('Qualitative Disclosures for AS'!E323="","",'Qualitative Disclosures for AS'!E323)</f>
        <v/>
      </c>
      <c r="F103" s="152" t="str">
        <f>+IF('Qualitative Disclosures for AS'!F323="","",'Qualitative Disclosures for AS'!F323)</f>
        <v/>
      </c>
      <c r="G103" s="87"/>
      <c r="T103" s="42" t="str">
        <f t="shared" si="4"/>
        <v>Yes</v>
      </c>
    </row>
    <row r="104" spans="3:20" hidden="1" x14ac:dyDescent="0.25">
      <c r="C104" s="88" t="str">
        <f>+IF('Qualitative Disclosures for AS'!C324="","",'Qualitative Disclosures for AS'!C324)</f>
        <v/>
      </c>
      <c r="D104" s="105" t="str">
        <f>+IF('Qualitative Disclosures for AS'!D324="","",'Qualitative Disclosures for AS'!D324)</f>
        <v/>
      </c>
      <c r="E104" s="105" t="str">
        <f>+IF('Qualitative Disclosures for AS'!E324="","",'Qualitative Disclosures for AS'!E324)</f>
        <v/>
      </c>
      <c r="F104" s="152" t="str">
        <f>+IF('Qualitative Disclosures for AS'!F324="","",'Qualitative Disclosures for AS'!F324)</f>
        <v/>
      </c>
      <c r="G104" s="87"/>
      <c r="T104" s="42" t="str">
        <f t="shared" si="4"/>
        <v>Yes</v>
      </c>
    </row>
    <row r="105" spans="3:20" hidden="1" x14ac:dyDescent="0.25">
      <c r="C105" s="88" t="str">
        <f>+IF('Qualitative Disclosures for AS'!C325="","",'Qualitative Disclosures for AS'!C325)</f>
        <v/>
      </c>
      <c r="D105" s="105" t="str">
        <f>+IF('Qualitative Disclosures for AS'!D325="","",'Qualitative Disclosures for AS'!D325)</f>
        <v/>
      </c>
      <c r="E105" s="105" t="str">
        <f>+IF('Qualitative Disclosures for AS'!E325="","",'Qualitative Disclosures for AS'!E325)</f>
        <v/>
      </c>
      <c r="F105" s="152" t="str">
        <f>+IF('Qualitative Disclosures for AS'!F325="","",'Qualitative Disclosures for AS'!F325)</f>
        <v/>
      </c>
      <c r="G105" s="87"/>
      <c r="T105" s="42" t="str">
        <f t="shared" si="4"/>
        <v>Yes</v>
      </c>
    </row>
    <row r="106" spans="3:20" hidden="1" x14ac:dyDescent="0.25">
      <c r="C106" s="88" t="str">
        <f>+IF('Qualitative Disclosures for AS'!C326="","",'Qualitative Disclosures for AS'!C326)</f>
        <v/>
      </c>
      <c r="D106" s="105" t="str">
        <f>+IF('Qualitative Disclosures for AS'!D326="","",'Qualitative Disclosures for AS'!D326)</f>
        <v/>
      </c>
      <c r="E106" s="105" t="str">
        <f>+IF('Qualitative Disclosures for AS'!E326="","",'Qualitative Disclosures for AS'!E326)</f>
        <v/>
      </c>
      <c r="F106" s="152" t="str">
        <f>+IF('Qualitative Disclosures for AS'!F326="","",'Qualitative Disclosures for AS'!F326)</f>
        <v/>
      </c>
      <c r="G106" s="87"/>
      <c r="T106" s="42" t="str">
        <f t="shared" si="4"/>
        <v>Yes</v>
      </c>
    </row>
    <row r="107" spans="3:20" hidden="1" x14ac:dyDescent="0.25">
      <c r="C107" s="88" t="str">
        <f>+IF('Qualitative Disclosures for AS'!C327="","",'Qualitative Disclosures for AS'!C327)</f>
        <v/>
      </c>
      <c r="D107" s="105" t="str">
        <f>+IF('Qualitative Disclosures for AS'!D327="","",'Qualitative Disclosures for AS'!D327)</f>
        <v/>
      </c>
      <c r="E107" s="105" t="str">
        <f>+IF('Qualitative Disclosures for AS'!E327="","",'Qualitative Disclosures for AS'!E327)</f>
        <v/>
      </c>
      <c r="F107" s="152" t="str">
        <f>+IF('Qualitative Disclosures for AS'!F327="","",'Qualitative Disclosures for AS'!F327)</f>
        <v/>
      </c>
      <c r="G107" s="87"/>
      <c r="T107" s="42" t="str">
        <f t="shared" si="4"/>
        <v>Yes</v>
      </c>
    </row>
    <row r="108" spans="3:20" hidden="1" x14ac:dyDescent="0.25">
      <c r="C108" s="88" t="str">
        <f>+IF('Qualitative Disclosures for AS'!C328="","",'Qualitative Disclosures for AS'!C328)</f>
        <v/>
      </c>
      <c r="D108" s="105" t="str">
        <f>+IF('Qualitative Disclosures for AS'!D328="","",'Qualitative Disclosures for AS'!D328)</f>
        <v/>
      </c>
      <c r="E108" s="105" t="str">
        <f>+IF('Qualitative Disclosures for AS'!E328="","",'Qualitative Disclosures for AS'!E328)</f>
        <v/>
      </c>
      <c r="F108" s="152" t="str">
        <f>+IF('Qualitative Disclosures for AS'!F328="","",'Qualitative Disclosures for AS'!F328)</f>
        <v/>
      </c>
      <c r="G108" s="87"/>
      <c r="T108" s="42" t="str">
        <f t="shared" si="4"/>
        <v>Yes</v>
      </c>
    </row>
    <row r="109" spans="3:20" hidden="1" x14ac:dyDescent="0.25">
      <c r="C109" s="88" t="str">
        <f>+IF('Qualitative Disclosures for AS'!C329="","",'Qualitative Disclosures for AS'!C329)</f>
        <v/>
      </c>
      <c r="D109" s="105" t="str">
        <f>+IF('Qualitative Disclosures for AS'!D329="","",'Qualitative Disclosures for AS'!D329)</f>
        <v/>
      </c>
      <c r="E109" s="105" t="str">
        <f>+IF('Qualitative Disclosures for AS'!E329="","",'Qualitative Disclosures for AS'!E329)</f>
        <v/>
      </c>
      <c r="F109" s="152" t="str">
        <f>+IF('Qualitative Disclosures for AS'!F329="","",'Qualitative Disclosures for AS'!F329)</f>
        <v/>
      </c>
      <c r="G109" s="87"/>
      <c r="T109" s="42" t="str">
        <f t="shared" si="4"/>
        <v>Yes</v>
      </c>
    </row>
    <row r="110" spans="3:20" hidden="1" x14ac:dyDescent="0.25">
      <c r="C110" s="88" t="str">
        <f>+IF('Qualitative Disclosures for AS'!C330="","",'Qualitative Disclosures for AS'!C330)</f>
        <v/>
      </c>
      <c r="D110" s="105" t="str">
        <f>+IF('Qualitative Disclosures for AS'!D330="","",'Qualitative Disclosures for AS'!D330)</f>
        <v/>
      </c>
      <c r="E110" s="105" t="str">
        <f>+IF('Qualitative Disclosures for AS'!E330="","",'Qualitative Disclosures for AS'!E330)</f>
        <v/>
      </c>
      <c r="F110" s="152" t="str">
        <f>+IF('Qualitative Disclosures for AS'!F330="","",'Qualitative Disclosures for AS'!F330)</f>
        <v/>
      </c>
      <c r="G110" s="87"/>
      <c r="T110" s="42" t="str">
        <f t="shared" si="4"/>
        <v>Yes</v>
      </c>
    </row>
    <row r="111" spans="3:20" hidden="1" x14ac:dyDescent="0.25">
      <c r="C111" s="88" t="str">
        <f>+IF('Qualitative Disclosures for AS'!C331="","",'Qualitative Disclosures for AS'!C331)</f>
        <v/>
      </c>
      <c r="D111" s="105" t="str">
        <f>+IF('Qualitative Disclosures for AS'!D331="","",'Qualitative Disclosures for AS'!D331)</f>
        <v/>
      </c>
      <c r="E111" s="105" t="str">
        <f>+IF('Qualitative Disclosures for AS'!E331="","",'Qualitative Disclosures for AS'!E331)</f>
        <v/>
      </c>
      <c r="F111" s="152" t="str">
        <f>+IF('Qualitative Disclosures for AS'!F331="","",'Qualitative Disclosures for AS'!F331)</f>
        <v/>
      </c>
      <c r="G111" s="87"/>
      <c r="T111" s="42" t="str">
        <f t="shared" si="4"/>
        <v>Yes</v>
      </c>
    </row>
    <row r="112" spans="3:20" hidden="1" x14ac:dyDescent="0.25">
      <c r="C112" s="88" t="str">
        <f>+IF('Qualitative Disclosures for AS'!C332="","",'Qualitative Disclosures for AS'!C332)</f>
        <v/>
      </c>
      <c r="D112" s="105" t="str">
        <f>+IF('Qualitative Disclosures for AS'!D332="","",'Qualitative Disclosures for AS'!D332)</f>
        <v/>
      </c>
      <c r="E112" s="105" t="str">
        <f>+IF('Qualitative Disclosures for AS'!E332="","",'Qualitative Disclosures for AS'!E332)</f>
        <v/>
      </c>
      <c r="F112" s="152" t="str">
        <f>+IF('Qualitative Disclosures for AS'!F332="","",'Qualitative Disclosures for AS'!F332)</f>
        <v/>
      </c>
      <c r="G112" s="87"/>
      <c r="T112" s="42" t="str">
        <f t="shared" si="4"/>
        <v>Yes</v>
      </c>
    </row>
    <row r="113" spans="3:20" hidden="1" x14ac:dyDescent="0.25">
      <c r="C113" s="88" t="str">
        <f>+IF('Qualitative Disclosures for AS'!C333="","",'Qualitative Disclosures for AS'!C333)</f>
        <v/>
      </c>
      <c r="D113" s="105" t="str">
        <f>+IF('Qualitative Disclosures for AS'!D333="","",'Qualitative Disclosures for AS'!D333)</f>
        <v/>
      </c>
      <c r="E113" s="105" t="str">
        <f>+IF('Qualitative Disclosures for AS'!E333="","",'Qualitative Disclosures for AS'!E333)</f>
        <v/>
      </c>
      <c r="F113" s="152" t="str">
        <f>+IF('Qualitative Disclosures for AS'!F333="","",'Qualitative Disclosures for AS'!F333)</f>
        <v/>
      </c>
      <c r="G113" s="87"/>
      <c r="T113" s="42" t="str">
        <f t="shared" si="4"/>
        <v>Yes</v>
      </c>
    </row>
    <row r="114" spans="3:20" hidden="1" x14ac:dyDescent="0.25">
      <c r="C114" s="88" t="str">
        <f>+IF('Qualitative Disclosures for AS'!C334="","",'Qualitative Disclosures for AS'!C334)</f>
        <v/>
      </c>
      <c r="D114" s="105" t="str">
        <f>+IF('Qualitative Disclosures for AS'!D334="","",'Qualitative Disclosures for AS'!D334)</f>
        <v/>
      </c>
      <c r="E114" s="105" t="str">
        <f>+IF('Qualitative Disclosures for AS'!E334="","",'Qualitative Disclosures for AS'!E334)</f>
        <v/>
      </c>
      <c r="F114" s="152" t="str">
        <f>+IF('Qualitative Disclosures for AS'!F334="","",'Qualitative Disclosures for AS'!F334)</f>
        <v/>
      </c>
      <c r="G114" s="87"/>
      <c r="T114" s="42" t="str">
        <f t="shared" si="4"/>
        <v>Yes</v>
      </c>
    </row>
    <row r="115" spans="3:20" hidden="1" x14ac:dyDescent="0.25">
      <c r="C115" s="88" t="str">
        <f>+IF('Qualitative Disclosures for AS'!C335="","",'Qualitative Disclosures for AS'!C335)</f>
        <v/>
      </c>
      <c r="D115" s="105" t="str">
        <f>+IF('Qualitative Disclosures for AS'!D335="","",'Qualitative Disclosures for AS'!D335)</f>
        <v/>
      </c>
      <c r="E115" s="105" t="str">
        <f>+IF('Qualitative Disclosures for AS'!E335="","",'Qualitative Disclosures for AS'!E335)</f>
        <v/>
      </c>
      <c r="F115" s="152" t="str">
        <f>+IF('Qualitative Disclosures for AS'!F335="","",'Qualitative Disclosures for AS'!F335)</f>
        <v/>
      </c>
      <c r="G115" s="87"/>
      <c r="T115" s="42" t="str">
        <f t="shared" si="4"/>
        <v>Yes</v>
      </c>
    </row>
    <row r="116" spans="3:20" hidden="1" x14ac:dyDescent="0.25">
      <c r="C116" s="88" t="str">
        <f>+IF('Qualitative Disclosures for AS'!C336="","",'Qualitative Disclosures for AS'!C336)</f>
        <v/>
      </c>
      <c r="D116" s="105" t="str">
        <f>+IF('Qualitative Disclosures for AS'!D336="","",'Qualitative Disclosures for AS'!D336)</f>
        <v/>
      </c>
      <c r="E116" s="105" t="str">
        <f>+IF('Qualitative Disclosures for AS'!E336="","",'Qualitative Disclosures for AS'!E336)</f>
        <v/>
      </c>
      <c r="F116" s="152" t="str">
        <f>+IF('Qualitative Disclosures for AS'!F336="","",'Qualitative Disclosures for AS'!F336)</f>
        <v/>
      </c>
      <c r="G116" s="87"/>
      <c r="T116" s="42" t="str">
        <f t="shared" si="4"/>
        <v>Yes</v>
      </c>
    </row>
    <row r="117" spans="3:20" ht="17.25" hidden="1" thickBot="1" x14ac:dyDescent="0.3">
      <c r="C117" s="110" t="str">
        <f>+IF('Qualitative Disclosures for AS'!C337="","",'Qualitative Disclosures for AS'!C337)</f>
        <v/>
      </c>
      <c r="D117" s="117" t="str">
        <f>+IF('Qualitative Disclosures for AS'!D337="","",'Qualitative Disclosures for AS'!D337)</f>
        <v/>
      </c>
      <c r="E117" s="117" t="str">
        <f>+IF('Qualitative Disclosures for AS'!E337="","",'Qualitative Disclosures for AS'!E337)</f>
        <v/>
      </c>
      <c r="F117" s="118" t="str">
        <f>+IF('Qualitative Disclosures for AS'!F337="","",'Qualitative Disclosures for AS'!F337)</f>
        <v/>
      </c>
      <c r="G117" s="87"/>
      <c r="T117" s="42" t="str">
        <f t="shared" si="4"/>
        <v>Yes</v>
      </c>
    </row>
    <row r="118" spans="3:20" hidden="1" x14ac:dyDescent="0.25">
      <c r="C118" s="867" t="str">
        <f>+IF('Qualitative Disclosures for AS'!C338="","",'Qualitative Disclosures for AS'!C338)</f>
        <v>Note: Figures in bracket relate to the previous year</v>
      </c>
      <c r="D118" s="18" t="str">
        <f>+IF('Qualitative Disclosures for AS'!D338="","",'Qualitative Disclosures for AS'!D338)</f>
        <v/>
      </c>
      <c r="E118" s="18" t="str">
        <f>+IF('Qualitative Disclosures for AS'!E338="","",'Qualitative Disclosures for AS'!E338)</f>
        <v/>
      </c>
      <c r="F118" s="18" t="str">
        <f>+IF('Qualitative Disclosures for AS'!F338="","",'Qualitative Disclosures for AS'!F338)</f>
        <v/>
      </c>
      <c r="G118" s="87" t="str">
        <f>+IF('Qualitative Disclosures for AS'!G338="","",'Qualitative Disclosures for AS'!G338)</f>
        <v/>
      </c>
      <c r="I118" s="42"/>
    </row>
    <row r="119" spans="3:20" ht="34.9" hidden="1" customHeight="1" x14ac:dyDescent="0.25">
      <c r="C119" s="2963" t="str">
        <f>+IF('Qualitative Disclosures for AS'!C339="","",'Qualitative Disclosures for AS'!C339)</f>
        <v xml:space="preserve">Inter-segment revenue is included only for Segment reporting and not considered as Revenue in the Statement of Profit and Loss. When determining reportable segments under AS 17 Segment Reporting, disclosures under Management Discussion &amp; Analysis in the Annual Report may be considered. </v>
      </c>
      <c r="D119" s="2964" t="str">
        <f>+IF('Qualitative Disclosures for AS'!D339="","",'Qualitative Disclosures for AS'!D339)</f>
        <v/>
      </c>
      <c r="E119" s="2964" t="str">
        <f>+IF('Qualitative Disclosures for AS'!E339="","",'Qualitative Disclosures for AS'!E339)</f>
        <v/>
      </c>
      <c r="F119" s="2964" t="str">
        <f>+IF('Qualitative Disclosures for AS'!F339="","",'Qualitative Disclosures for AS'!F339)</f>
        <v/>
      </c>
      <c r="G119" s="2965" t="str">
        <f>+IF('Qualitative Disclosures for AS'!G339="","",'Qualitative Disclosures for AS'!G339)</f>
        <v/>
      </c>
      <c r="H119" s="852"/>
    </row>
    <row r="120" spans="3:20" ht="49.9" hidden="1" customHeight="1" thickBot="1" x14ac:dyDescent="0.3">
      <c r="C120" s="2966" t="str">
        <f>+IF('Qualitative Disclosures for AS'!C340="","",'Qualitative Disclosures for AS'!C340)</f>
        <v xml:space="preserve">If a single financial report contains both CFS and the separate financial statements of the Company, segment information needs to be presented only on the basis of the CFS. </v>
      </c>
      <c r="D120" s="2740" t="str">
        <f>+IF('Qualitative Disclosures for AS'!D340="","",'Qualitative Disclosures for AS'!D340)</f>
        <v/>
      </c>
      <c r="E120" s="2740" t="str">
        <f>+IF('Qualitative Disclosures for AS'!E340="","",'Qualitative Disclosures for AS'!E340)</f>
        <v/>
      </c>
      <c r="F120" s="2740" t="str">
        <f>+IF('Qualitative Disclosures for AS'!F340="","",'Qualitative Disclosures for AS'!F340)</f>
        <v/>
      </c>
      <c r="G120" s="2741" t="str">
        <f>+IF('Qualitative Disclosures for AS'!G340="","",'Qualitative Disclosures for AS'!G340)</f>
        <v/>
      </c>
      <c r="H120" s="852"/>
    </row>
    <row r="121" spans="3:20" ht="26.25" hidden="1" customHeight="1" x14ac:dyDescent="0.25">
      <c r="D121" s="878" t="s">
        <v>1811</v>
      </c>
      <c r="E121" s="852"/>
      <c r="F121" s="852"/>
      <c r="G121" s="852"/>
      <c r="H121" s="852"/>
    </row>
    <row r="122" spans="3:20" ht="26.25" customHeight="1" x14ac:dyDescent="0.25">
      <c r="D122" s="852"/>
      <c r="E122" s="852"/>
      <c r="F122" s="852"/>
      <c r="G122" s="852"/>
      <c r="H122" s="852"/>
    </row>
  </sheetData>
  <sheetProtection formatCells="0" formatColumns="0" formatRows="0"/>
  <mergeCells count="17">
    <mergeCell ref="C13:G14"/>
    <mergeCell ref="C16:G16"/>
    <mergeCell ref="C18:C21"/>
    <mergeCell ref="D18:G18"/>
    <mergeCell ref="D19:E19"/>
    <mergeCell ref="F19:F21"/>
    <mergeCell ref="G19:G21"/>
    <mergeCell ref="D20:D21"/>
    <mergeCell ref="E20:E21"/>
    <mergeCell ref="C119:G119"/>
    <mergeCell ref="C120:G120"/>
    <mergeCell ref="C87:G88"/>
    <mergeCell ref="C89:F89"/>
    <mergeCell ref="C91:C92"/>
    <mergeCell ref="D91:D92"/>
    <mergeCell ref="E91:E92"/>
    <mergeCell ref="F91:F92"/>
  </mergeCells>
  <pageMargins left="0.5" right="0.5" top="0.5" bottom="0.5" header="0.5" footer="0.5"/>
  <pageSetup scale="72"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nhiderow50">
    <tabColor theme="5" tint="0.39997558519241921"/>
    <pageSetUpPr fitToPage="1"/>
  </sheetPr>
  <dimension ref="C8:T84"/>
  <sheetViews>
    <sheetView showGridLines="0" view="pageBreakPreview" topLeftCell="A34" zoomScale="80" zoomScaleNormal="90" zoomScaleSheetLayoutView="80" workbookViewId="0">
      <selection activeCell="J49" sqref="J49"/>
    </sheetView>
  </sheetViews>
  <sheetFormatPr defaultColWidth="9.140625" defaultRowHeight="16.5" x14ac:dyDescent="0.25"/>
  <cols>
    <col min="1" max="2" width="3.7109375" style="41" customWidth="1"/>
    <col min="3" max="3" width="7.140625" style="41" bestFit="1" customWidth="1"/>
    <col min="4" max="4" width="65.85546875" style="41" customWidth="1"/>
    <col min="5" max="5" width="10.140625" style="41" customWidth="1"/>
    <col min="6" max="6" width="26" style="841" customWidth="1"/>
    <col min="7" max="7" width="25.42578125" style="1210" bestFit="1" customWidth="1"/>
    <col min="8" max="8" width="3.7109375" style="41" customWidth="1"/>
    <col min="9" max="9" width="13.42578125" style="41" customWidth="1"/>
    <col min="10" max="10" width="19" style="41" bestFit="1" customWidth="1"/>
    <col min="11" max="11" width="16.5703125" style="41" bestFit="1" customWidth="1"/>
    <col min="12" max="12" width="10.7109375" style="41" customWidth="1"/>
    <col min="13" max="13" width="16.28515625" style="41" bestFit="1" customWidth="1"/>
    <col min="14" max="14" width="17" style="41" bestFit="1" customWidth="1"/>
    <col min="15" max="15" width="11.5703125" style="41" bestFit="1" customWidth="1"/>
    <col min="16" max="17" width="9.140625" style="41" customWidth="1"/>
    <col min="18" max="18" width="23.140625" customWidth="1"/>
    <col min="19" max="19" width="17.140625" customWidth="1"/>
    <col min="20" max="20" width="18.140625" style="41" bestFit="1" customWidth="1"/>
    <col min="21" max="21" width="12.7109375" style="41" bestFit="1" customWidth="1"/>
    <col min="22" max="22" width="13.7109375" style="41" bestFit="1" customWidth="1"/>
    <col min="23" max="16384" width="9.140625" style="41"/>
  </cols>
  <sheetData>
    <row r="8" spans="3:11" x14ac:dyDescent="0.25">
      <c r="I8" s="41" t="s">
        <v>1022</v>
      </c>
    </row>
    <row r="9" spans="3:11" x14ac:dyDescent="0.25">
      <c r="C9" s="42" t="s">
        <v>3289</v>
      </c>
      <c r="I9" s="41" t="s">
        <v>990</v>
      </c>
      <c r="J9" s="41" t="str">
        <f>IF(AND(I14="No",I41="No"),"No","Yes")</f>
        <v>Yes</v>
      </c>
    </row>
    <row r="10" spans="3:11" x14ac:dyDescent="0.25">
      <c r="C10" s="42" t="s">
        <v>3551</v>
      </c>
    </row>
    <row r="11" spans="3:11" x14ac:dyDescent="0.25">
      <c r="C11" s="42" t="s">
        <v>3552</v>
      </c>
      <c r="I11" s="41" t="s">
        <v>990</v>
      </c>
      <c r="J11" s="41" t="str">
        <f>IF(AND(I14="No",I41="No"),"No","Yes")</f>
        <v>Yes</v>
      </c>
    </row>
    <row r="12" spans="3:11" x14ac:dyDescent="0.25">
      <c r="G12" s="1211"/>
      <c r="H12" s="214"/>
      <c r="I12" s="41" t="s">
        <v>990</v>
      </c>
      <c r="J12" s="41" t="str">
        <f>IF(AND(I14="No",I41="No"),"No","Yes")</f>
        <v>Yes</v>
      </c>
    </row>
    <row r="13" spans="3:11" ht="30" x14ac:dyDescent="0.25">
      <c r="C13" s="2711" t="s">
        <v>20</v>
      </c>
      <c r="D13" s="2712"/>
      <c r="E13" s="1935" t="s">
        <v>0</v>
      </c>
      <c r="F13" s="1960" t="s">
        <v>1348</v>
      </c>
      <c r="G13" s="1951" t="s">
        <v>1349</v>
      </c>
      <c r="H13" s="172"/>
      <c r="I13" s="289" t="str">
        <f>IF(AND(I14="No",I41="No"),"No","Yes")</f>
        <v>Yes</v>
      </c>
      <c r="J13" s="289"/>
      <c r="K13" s="2411" t="s">
        <v>3283</v>
      </c>
    </row>
    <row r="14" spans="3:11" hidden="1" x14ac:dyDescent="0.25">
      <c r="C14" s="684" t="str">
        <f>IF(I14="No","A","A")</f>
        <v>A</v>
      </c>
      <c r="D14" s="210" t="s">
        <v>3</v>
      </c>
      <c r="E14" s="48"/>
      <c r="F14" s="845"/>
      <c r="G14" s="1213"/>
      <c r="I14" s="41" t="str">
        <f>IF(AND(I16="No",I21="No",I23="No",I30="No"),"No","Yes")</f>
        <v>Yes</v>
      </c>
      <c r="K14" s="893"/>
    </row>
    <row r="15" spans="3:11" hidden="1" x14ac:dyDescent="0.25">
      <c r="C15" s="48"/>
      <c r="D15" s="210"/>
      <c r="E15" s="48"/>
      <c r="F15" s="845"/>
      <c r="G15" s="1213"/>
      <c r="I15" s="41" t="str">
        <f>IF(AND(I16="No",I21="No",I28="No",I37="No"),"No","Yes")</f>
        <v>Yes</v>
      </c>
      <c r="K15" s="893"/>
    </row>
    <row r="16" spans="3:11" x14ac:dyDescent="0.25">
      <c r="C16" s="246">
        <f>IF(I15="No",0,1)</f>
        <v>1</v>
      </c>
      <c r="D16" s="210" t="s">
        <v>4</v>
      </c>
      <c r="E16" s="48"/>
      <c r="F16" s="845"/>
      <c r="G16" s="1213"/>
      <c r="I16" s="41" t="str">
        <f>IF(AND(I17="No",I18="No",I19="No"),"No","Yes")</f>
        <v>Yes</v>
      </c>
      <c r="K16" s="893"/>
    </row>
    <row r="17" spans="3:19" x14ac:dyDescent="0.25">
      <c r="C17" s="48"/>
      <c r="D17" s="286" t="s">
        <v>5</v>
      </c>
      <c r="E17" s="285">
        <v>3</v>
      </c>
      <c r="F17" s="845">
        <v>150000</v>
      </c>
      <c r="G17" s="1213">
        <v>150000</v>
      </c>
      <c r="H17" s="291"/>
      <c r="I17" s="41" t="str">
        <f>IF(AND(F17=0,G17=0),"No","Yes")</f>
        <v>Yes</v>
      </c>
      <c r="J17" s="291"/>
      <c r="K17" s="893">
        <f>+'Balance Sheet'!G17</f>
        <v>150000</v>
      </c>
      <c r="M17" s="840">
        <f>+K17-F17</f>
        <v>0</v>
      </c>
    </row>
    <row r="18" spans="3:19" x14ac:dyDescent="0.25">
      <c r="C18" s="48"/>
      <c r="D18" s="286" t="str">
        <f>IF(I18="No","(b) Reserves and surplus",IF(COUNTIF(I17,"Yes")=0,"(a) Reserves and surplus",IF(COUNTIF(I17,"Yes")=1,"(b) Reserves and surplus","(b) Reserves and surplus")))</f>
        <v>(b) Reserves and surplus</v>
      </c>
      <c r="E18" s="285">
        <f>IF(I18="No",E17,E17+1)</f>
        <v>4</v>
      </c>
      <c r="F18" s="845">
        <v>599398.21249999839</v>
      </c>
      <c r="G18" s="831">
        <v>201966.56</v>
      </c>
      <c r="H18" s="291"/>
      <c r="I18" s="41" t="str">
        <f>IF(AND(F18=0,G18=0),"No","Yes")</f>
        <v>Yes</v>
      </c>
      <c r="J18" s="291"/>
      <c r="K18" s="893">
        <f>+'Balance Sheet'!G18</f>
        <v>808742.69529999793</v>
      </c>
      <c r="M18" s="2581">
        <f>+K18-F18</f>
        <v>209344.48279999953</v>
      </c>
    </row>
    <row r="19" spans="3:19" x14ac:dyDescent="0.25">
      <c r="C19" s="48"/>
      <c r="D19" s="286" t="str">
        <f>IF(I19="No","(c) Money received against share warrants",IF(COUNTIF($I$17:$I$18,"Yes")=0,"(a) Money received against share warrants",IF(COUNTIF($I$17:$I$18,"Yes")=1,"(b) Money received against share warrants",IF(COUNTIF($I$17:$I$18,"Yes")=2,"(c) Money received against share warrants","(c) Money received against share warrants"))))</f>
        <v>(c) Money received against share warrants</v>
      </c>
      <c r="E19" s="285">
        <f>IF(I19="No",E18,E18+1)</f>
        <v>4</v>
      </c>
      <c r="F19" s="942"/>
      <c r="G19" s="1213"/>
      <c r="I19" s="41" t="str">
        <f>IF(AND(F19=0,G19=0),"No","Yes")</f>
        <v>No</v>
      </c>
      <c r="K19" s="893">
        <f>+'Balance Sheet'!G19</f>
        <v>0</v>
      </c>
    </row>
    <row r="20" spans="3:19" x14ac:dyDescent="0.25">
      <c r="C20" s="48"/>
      <c r="D20" s="141"/>
      <c r="E20" s="48"/>
      <c r="F20" s="1505">
        <f>SUM(F17:F19)</f>
        <v>749398.21249999839</v>
      </c>
      <c r="G20" s="1214">
        <f>SUM(G17:G19)</f>
        <v>351966.56</v>
      </c>
      <c r="I20" s="41" t="str">
        <f>IF(AND(F20=0,G20=0),"No","Yes")</f>
        <v>Yes</v>
      </c>
      <c r="K20" s="893">
        <f>+'Balance Sheet'!G20</f>
        <v>958742.69529999793</v>
      </c>
    </row>
    <row r="21" spans="3:19" x14ac:dyDescent="0.25">
      <c r="C21" s="246">
        <f>IF(I21="Yes",C16+1,C16)</f>
        <v>1</v>
      </c>
      <c r="D21" s="210" t="s">
        <v>6</v>
      </c>
      <c r="E21" s="285">
        <f>IF(I21="No",E19,E19+1)</f>
        <v>4</v>
      </c>
      <c r="F21" s="845"/>
      <c r="G21" s="1213"/>
      <c r="I21" s="41" t="str">
        <f>IF(AND(F21=0,G21=0),"No","Yes")</f>
        <v>No</v>
      </c>
      <c r="K21" s="893">
        <f>+'Balance Sheet'!G21</f>
        <v>0</v>
      </c>
    </row>
    <row r="22" spans="3:19" x14ac:dyDescent="0.25">
      <c r="C22" s="246"/>
      <c r="D22" s="210"/>
      <c r="E22" s="48"/>
      <c r="F22" s="845"/>
      <c r="G22" s="1213"/>
      <c r="I22" s="41" t="str">
        <f>IF(I21="No","No","Yes")</f>
        <v>No</v>
      </c>
      <c r="K22" s="893">
        <f>+'Balance Sheet'!G22</f>
        <v>0</v>
      </c>
    </row>
    <row r="23" spans="3:19" x14ac:dyDescent="0.25">
      <c r="C23" s="246">
        <f>IF(I23="No",C21,C21+1)</f>
        <v>1</v>
      </c>
      <c r="D23" s="210" t="s">
        <v>7</v>
      </c>
      <c r="E23" s="48"/>
      <c r="F23" s="845"/>
      <c r="G23" s="1213"/>
      <c r="I23" s="41" t="str">
        <f>IF(I28="No","No","Yes")</f>
        <v>No</v>
      </c>
      <c r="K23" s="893">
        <f>+'Balance Sheet'!G23</f>
        <v>0</v>
      </c>
    </row>
    <row r="24" spans="3:19" s="307" customFormat="1" x14ac:dyDescent="0.25">
      <c r="C24" s="685"/>
      <c r="D24" s="567" t="str">
        <f>IF(I24="No","(a) Long-term borrowings","(a) Long-term borrowings")</f>
        <v>(a) Long-term borrowings</v>
      </c>
      <c r="E24" s="285">
        <f>IF(I24="No",E21,E21+1)</f>
        <v>4</v>
      </c>
      <c r="F24" s="1506">
        <v>0</v>
      </c>
      <c r="G24" s="1215">
        <v>0</v>
      </c>
      <c r="H24" s="455"/>
      <c r="I24" s="41" t="str">
        <f>IF(AND(F24=0,G24=0),"No","Yes")</f>
        <v>No</v>
      </c>
      <c r="J24" s="565"/>
      <c r="K24" s="893">
        <f>+'Balance Sheet'!G24</f>
        <v>0</v>
      </c>
      <c r="R24"/>
      <c r="S24"/>
    </row>
    <row r="25" spans="3:19" s="307" customFormat="1" x14ac:dyDescent="0.25">
      <c r="C25" s="685"/>
      <c r="D25" s="567" t="str">
        <f>IF(I25="No","(b) Deferred tax liabilities (net)",IF(COUNTIF(I24,"Yes")=0,"(a) Deferred tax liabilities (net)",IF(COUNTIF(I24,"Yes")=1,"(b) Deferred tax liabilities (net)","(b) Deferred tax liabilities (net)")))</f>
        <v>(b) Deferred tax liabilities (net)</v>
      </c>
      <c r="E25" s="285" t="s">
        <v>3298</v>
      </c>
      <c r="F25" s="1506">
        <v>0</v>
      </c>
      <c r="G25" s="1215">
        <v>0</v>
      </c>
      <c r="I25" s="41" t="str">
        <f>IF(AND(F25=0,G25=0),"No","Yes")</f>
        <v>No</v>
      </c>
      <c r="J25" s="565"/>
      <c r="K25" s="893">
        <f>+'Balance Sheet'!G25</f>
        <v>0</v>
      </c>
      <c r="R25"/>
      <c r="S25"/>
    </row>
    <row r="26" spans="3:19" s="307" customFormat="1" x14ac:dyDescent="0.25">
      <c r="C26" s="685"/>
      <c r="D26" s="567" t="str">
        <f>IF(I26="No","(c) Other long-term liabilities",IF(COUNTIF($I$24:$I$25,"Yes")=0,"(a) Other long-term liabilities",IF(COUNTIF($I$24:$I$25,"Yes")=1,"(b) Other long-term liabilities",IF(COUNTIF($I$24:$I$25,"Yes")=2,"(c) Other long-term liabilities","(c) Other long-term liabilities"))))</f>
        <v>(c) Other long-term liabilities</v>
      </c>
      <c r="E26" s="285">
        <f>IF(I26="No",E24,E24+1)</f>
        <v>4</v>
      </c>
      <c r="F26" s="1506">
        <v>0</v>
      </c>
      <c r="G26" s="1216">
        <v>0</v>
      </c>
      <c r="I26" s="41" t="str">
        <f>IF(AND(F26=0,G26=0),"No","Yes")</f>
        <v>No</v>
      </c>
      <c r="J26" s="565"/>
      <c r="K26" s="893">
        <f>+'Balance Sheet'!G26</f>
        <v>0</v>
      </c>
      <c r="R26"/>
      <c r="S26"/>
    </row>
    <row r="27" spans="3:19" s="307" customFormat="1" x14ac:dyDescent="0.25">
      <c r="C27" s="685"/>
      <c r="D27" s="567" t="str">
        <f>IF(I27="No","(d) Long-term provisions", IF(COUNTIF($I$24:$I$26,"Yes")=0,"(a) Long-term provisions", IF(COUNTIF($I$24:$I$26,"Yes")=1,"(b) Long-term provisions", IF(COUNTIF($I$24:$I$26,"Yes")=2,"(c) Long-term provisions", IF(COUNTIF($I$24:$I$26,"Yes")=3,"(d) Long-term provisions", "(d) Long-term provisions")))))</f>
        <v>(d) Long-term provisions</v>
      </c>
      <c r="E27" s="285">
        <f>IF(I27="No",E26,E26+1)</f>
        <v>4</v>
      </c>
      <c r="F27" s="1506">
        <v>0</v>
      </c>
      <c r="G27" s="1216">
        <v>0</v>
      </c>
      <c r="I27" s="41" t="str">
        <f>IF(AND(F27=0,G27=0),"No","Yes")</f>
        <v>No</v>
      </c>
      <c r="J27" s="565"/>
      <c r="K27" s="893">
        <f>+'Balance Sheet'!G27</f>
        <v>0</v>
      </c>
      <c r="R27"/>
      <c r="S27"/>
    </row>
    <row r="28" spans="3:19" x14ac:dyDescent="0.25">
      <c r="C28" s="48"/>
      <c r="D28" s="141"/>
      <c r="E28" s="48"/>
      <c r="F28" s="1505">
        <f>SUM(F24:F27)</f>
        <v>0</v>
      </c>
      <c r="G28" s="843">
        <f>SUM(G24:G27)</f>
        <v>0</v>
      </c>
      <c r="I28" s="41" t="str">
        <f>IF(AND(F28=0,G28=0),"No","Yes")</f>
        <v>No</v>
      </c>
      <c r="K28" s="893">
        <f>+'Balance Sheet'!G28</f>
        <v>0</v>
      </c>
    </row>
    <row r="29" spans="3:19" x14ac:dyDescent="0.25">
      <c r="C29" s="48"/>
      <c r="D29" s="141"/>
      <c r="E29" s="48"/>
      <c r="F29" s="845"/>
      <c r="G29" s="1213"/>
      <c r="I29" s="41" t="str">
        <f>IF(I27="No","No","Yes")</f>
        <v>No</v>
      </c>
      <c r="K29" s="893">
        <f>+'Balance Sheet'!G29</f>
        <v>0</v>
      </c>
    </row>
    <row r="30" spans="3:19" x14ac:dyDescent="0.25">
      <c r="C30" s="246">
        <f>IF(I30="No",C23,C23+1)</f>
        <v>2</v>
      </c>
      <c r="D30" s="210" t="s">
        <v>8</v>
      </c>
      <c r="E30" s="48"/>
      <c r="F30" s="845"/>
      <c r="G30" s="1213"/>
      <c r="I30" s="41" t="str">
        <f>IF(I37="No","No","Yes")</f>
        <v>Yes</v>
      </c>
      <c r="K30" s="893">
        <f>+'Balance Sheet'!G30</f>
        <v>0</v>
      </c>
    </row>
    <row r="31" spans="3:19" x14ac:dyDescent="0.25">
      <c r="C31" s="48"/>
      <c r="D31" s="286" t="str">
        <f>IF(I31="No","(a) Short-term borrowings","(a) Short-term borrowings")</f>
        <v>(a) Short-term borrowings</v>
      </c>
      <c r="E31" s="285">
        <f>IF(I31="No",E27,IF(I24="Yes",E24,E27+1))</f>
        <v>4</v>
      </c>
      <c r="F31" s="845">
        <v>0</v>
      </c>
      <c r="G31" s="1213">
        <v>0</v>
      </c>
      <c r="I31" s="41" t="str">
        <f>IF(AND(F31=0,G31=0),"No","Yes")</f>
        <v>No</v>
      </c>
      <c r="J31" s="565"/>
      <c r="K31" s="893">
        <f>+'Balance Sheet'!G31</f>
        <v>0</v>
      </c>
    </row>
    <row r="32" spans="3:19" x14ac:dyDescent="0.25">
      <c r="C32" s="48"/>
      <c r="D32" s="567" t="str">
        <f>IF(I32="No","(b) Trade Payables",IF(COUNTIF(I31,"Yes")=0,"(a) Trade Payables",IF(COUNTIF(I31,"Yes")=1,"(b) Trade Payables","(b) Trade Payables")))</f>
        <v>(a) Trade Payables</v>
      </c>
      <c r="E32" s="285">
        <f>IF(I32="No",IF(AND(I31="Yes",I24="Yes"),E27,IF(AND(I31="Yes",I24="No"),E31,IF(AND(I31="No",I24="Yes"),E31,E31))),IF(AND(I31="Yes",I24="Yes"),E27+1,IF(AND(I31="Yes",I24="No"),E31+1,IF(AND(I31="No",I24="Yes"),E31+1,E31+1))))</f>
        <v>5</v>
      </c>
      <c r="F32" s="845"/>
      <c r="G32" s="1213"/>
      <c r="I32" s="41" t="str">
        <f>IF(AND(I33="No",I34="No"),"No","Yes")</f>
        <v>Yes</v>
      </c>
      <c r="J32" s="565"/>
      <c r="K32" s="893">
        <f>+'Balance Sheet'!G32</f>
        <v>0</v>
      </c>
    </row>
    <row r="33" spans="3:14" ht="33" x14ac:dyDescent="0.25">
      <c r="C33" s="48"/>
      <c r="D33" s="605" t="str">
        <f>IF(I33="No","(i) total outstanding dues of micro enterprises and small enterprises","(i) total outstanding dues of micro enterprises and small enterprises")</f>
        <v>(i) total outstanding dues of micro enterprises and small enterprises</v>
      </c>
      <c r="E33" s="285"/>
      <c r="F33" s="845">
        <f>18580.5*0</f>
        <v>0</v>
      </c>
      <c r="G33" s="1213">
        <v>0</v>
      </c>
      <c r="I33" s="41" t="str">
        <f>IF(AND(F33=0,G33=0),"No","Yes")</f>
        <v>No</v>
      </c>
      <c r="J33" s="252"/>
      <c r="K33" s="893">
        <f>+'Balance Sheet'!G33</f>
        <v>0</v>
      </c>
      <c r="M33" s="2412">
        <f>+K33-F33</f>
        <v>0</v>
      </c>
    </row>
    <row r="34" spans="3:14" ht="33" x14ac:dyDescent="0.25">
      <c r="C34" s="48"/>
      <c r="D34" s="605" t="str">
        <f>IF(I34="No","(ii) total outstanding dues of creditors other than micro enterprises and small enterprises",IF(COUNTIF(I33,"Yes")=0,"(i) total outstanding dues of creditors other than micro enterprises and small enterprises",IF(COUNTIF(I33,"Yes")=1,"(ii) total outstanding dues of creditors other than micro enterprises and small enterprises","(ii) total outstanding dues of creditors other than micro enterprises and small enterprises")))</f>
        <v>(i) total outstanding dues of creditors other than micro enterprises and small enterprises</v>
      </c>
      <c r="E34" s="285"/>
      <c r="F34" s="845">
        <v>393927.37589999998</v>
      </c>
      <c r="G34" s="1213">
        <v>0</v>
      </c>
      <c r="I34" s="41" t="str">
        <f>IF(AND(F34=0,G34=0),"No","Yes")</f>
        <v>Yes</v>
      </c>
      <c r="J34" s="252"/>
      <c r="K34" s="893">
        <f>+'Balance Sheet'!G34</f>
        <v>296883.98800000007</v>
      </c>
      <c r="M34" s="2412">
        <f>+K34-F34</f>
        <v>-97043.387899999914</v>
      </c>
    </row>
    <row r="35" spans="3:14" x14ac:dyDescent="0.25">
      <c r="C35" s="48"/>
      <c r="D35" s="567" t="str">
        <f>IF(I35="No","(c) Other current liabilities",IF(COUNTIF($I$31:$I$32,"Yes")=0,"(a) Other current liabilities",IF(COUNTIF($I$31:$I$32,"Yes")=1,"(b) Other current liabilities",IF(COUNTIF($I$31:$I$32,"Yes")=2,"(c) Other current liabilities","(c) Other current liabilities"))))</f>
        <v>(b) Other current liabilities</v>
      </c>
      <c r="E35" s="285">
        <f>IF(I35="No",E32,E32+1)</f>
        <v>6</v>
      </c>
      <c r="F35" s="845">
        <v>55048.294000000009</v>
      </c>
      <c r="G35" s="1213">
        <v>0</v>
      </c>
      <c r="I35" s="41" t="str">
        <f>IF(AND(F35=0,G35=0),"No","Yes")</f>
        <v>Yes</v>
      </c>
      <c r="J35" s="565"/>
      <c r="K35" s="893">
        <f>+'Balance Sheet'!G35</f>
        <v>70069.877300000007</v>
      </c>
      <c r="L35" s="680"/>
      <c r="M35" s="2412">
        <f>+K35-F35</f>
        <v>15021.583299999998</v>
      </c>
    </row>
    <row r="36" spans="3:14" x14ac:dyDescent="0.25">
      <c r="C36" s="48"/>
      <c r="D36" s="567" t="str">
        <f>IF(I36="No","(d) Short-term provisions",IF(AND(I31="No",I32="No",I35="No"),"(a) Short-term provisions",IF(AND(I31="Yes",I32="No",I35="No"),"(b) Short-term provisions",IF(AND(I31="No",I32="Yes",I35="No"),"(b) Short-term provisions",IF(AND(I31="No",I32="No",I35="Yes"),"(b) Short-term provisions",IF(AND(I31="No",I32="Yes",I35="Yes"),"(c) Short-term provisions",IF(AND(I31="Yes",I32="Yes",I35="No"),"(c) Short-term provisions",IF(AND(I31="Yes",I32="No",I35="Yes"),"(c) Short-term provisions",IF(AND(I31="Yes",I32="Yes",I35="Yes"),"(d) Short-term provisions")))))))))</f>
        <v>(c) Short-term provisions</v>
      </c>
      <c r="E36" s="285">
        <f>+IF(I36="No",E35,IF(I27="Yes",E27,E35+1))</f>
        <v>7</v>
      </c>
      <c r="F36" s="845">
        <v>68156.66</v>
      </c>
      <c r="G36" s="1213">
        <v>0</v>
      </c>
      <c r="I36" s="41" t="str">
        <f>IF(AND(F36=0,G36=0),"No","Yes")</f>
        <v>Yes</v>
      </c>
      <c r="J36" s="1911"/>
      <c r="K36" s="893">
        <f>+'Balance Sheet'!G36</f>
        <v>62771.850299999991</v>
      </c>
      <c r="M36" s="2412">
        <f>+K36-F36</f>
        <v>-5384.8097000000125</v>
      </c>
    </row>
    <row r="37" spans="3:14" x14ac:dyDescent="0.25">
      <c r="C37" s="48"/>
      <c r="D37" s="141"/>
      <c r="E37" s="48"/>
      <c r="F37" s="1505">
        <f>SUM(F31:F36)</f>
        <v>517132.32990000001</v>
      </c>
      <c r="G37" s="843">
        <f>SUM(G31:G36)</f>
        <v>0</v>
      </c>
      <c r="I37" s="41" t="str">
        <f>IF(AND(F37=0,G37=0),"No","Yes")</f>
        <v>Yes</v>
      </c>
      <c r="J37" s="2378"/>
      <c r="K37" s="893">
        <f>+'Balance Sheet'!G37</f>
        <v>429725.71560000005</v>
      </c>
    </row>
    <row r="38" spans="3:14" x14ac:dyDescent="0.25">
      <c r="C38" s="48"/>
      <c r="D38" s="141"/>
      <c r="E38" s="48"/>
      <c r="F38" s="846"/>
      <c r="G38" s="1213"/>
      <c r="I38" s="41" t="str">
        <f>IF(I37="No","No","Yes")</f>
        <v>Yes</v>
      </c>
      <c r="J38" s="1778"/>
      <c r="K38" s="893">
        <f>+'Balance Sheet'!G38</f>
        <v>0</v>
      </c>
    </row>
    <row r="39" spans="3:14" ht="17.25" thickBot="1" x14ac:dyDescent="0.3">
      <c r="C39" s="48"/>
      <c r="D39" s="141"/>
      <c r="E39" s="48"/>
      <c r="F39" s="1507">
        <f>F20+F21+F28+F37</f>
        <v>1266530.5423999983</v>
      </c>
      <c r="G39" s="1217">
        <f>G20+G21+G28+G37</f>
        <v>351966.56</v>
      </c>
      <c r="I39" s="41" t="str">
        <f>IF(AND(F39=0,G39=0),"No","Yes")</f>
        <v>Yes</v>
      </c>
      <c r="K39" s="893">
        <f>+'Balance Sheet'!G39</f>
        <v>1388468.4108999979</v>
      </c>
    </row>
    <row r="40" spans="3:14" x14ac:dyDescent="0.25">
      <c r="C40" s="48"/>
      <c r="D40" s="141"/>
      <c r="E40" s="48"/>
      <c r="F40" s="845"/>
      <c r="G40" s="1213"/>
      <c r="I40" s="41" t="str">
        <f>IF(I39="No","No","Yes")</f>
        <v>Yes</v>
      </c>
      <c r="K40" s="893">
        <f>+'Balance Sheet'!G40</f>
        <v>0</v>
      </c>
    </row>
    <row r="41" spans="3:14" x14ac:dyDescent="0.25">
      <c r="C41" s="246" t="str">
        <f>IF(I41="No","A","B")</f>
        <v>B</v>
      </c>
      <c r="D41" s="210" t="s">
        <v>10</v>
      </c>
      <c r="E41" s="48"/>
      <c r="F41" s="845"/>
      <c r="G41" s="1213"/>
      <c r="I41" s="41" t="str">
        <f>IF(AND(I43="No",I56="No"),"No","Yes")</f>
        <v>Yes</v>
      </c>
      <c r="K41" s="893">
        <f>+'Balance Sheet'!G41</f>
        <v>0</v>
      </c>
    </row>
    <row r="42" spans="3:14" x14ac:dyDescent="0.25">
      <c r="C42" s="48"/>
      <c r="D42" s="141"/>
      <c r="E42" s="48"/>
      <c r="F42" s="845"/>
      <c r="G42" s="1213"/>
      <c r="I42" s="41" t="str">
        <f>IF(AND(I43="No",I56="No"),"No","Yes")</f>
        <v>Yes</v>
      </c>
      <c r="K42" s="893">
        <f>+'Balance Sheet'!G42</f>
        <v>0</v>
      </c>
    </row>
    <row r="43" spans="3:14" x14ac:dyDescent="0.25">
      <c r="C43" s="48">
        <f>IF(I43="No",1,1)</f>
        <v>1</v>
      </c>
      <c r="D43" s="210" t="s">
        <v>11</v>
      </c>
      <c r="E43" s="48"/>
      <c r="F43" s="845"/>
      <c r="G43" s="1213"/>
      <c r="I43" s="41" t="str">
        <f>IF(AND(F54=0,G54=0),"No","Yes")</f>
        <v>Yes</v>
      </c>
      <c r="K43" s="893">
        <f>+'Balance Sheet'!G43</f>
        <v>0</v>
      </c>
    </row>
    <row r="44" spans="3:14" x14ac:dyDescent="0.25">
      <c r="C44" s="48"/>
      <c r="D44" s="686" t="str">
        <f>IF(I44="No","(a) Property, Plant and Equipment and Intangible assets","(a) Property, Plant and Equipment and Intangible assets")</f>
        <v>(a) Property, Plant and Equipment and Intangible assets</v>
      </c>
      <c r="E44" s="285"/>
      <c r="F44" s="845"/>
      <c r="G44" s="1213"/>
      <c r="I44" s="41" t="str">
        <f>IF(AND(I45="No",I46="No",I47="No",I48="No"),"No","Yes")</f>
        <v>Yes</v>
      </c>
      <c r="K44" s="893">
        <f>+'Balance Sheet'!G44</f>
        <v>0</v>
      </c>
    </row>
    <row r="45" spans="3:14" x14ac:dyDescent="0.25">
      <c r="C45" s="48"/>
      <c r="D45" s="317" t="str">
        <f>IF(I45="No","(i) Property, Plant and Equipment","(i) Property, Plant and Equipment")</f>
        <v>(i) Property, Plant and Equipment</v>
      </c>
      <c r="E45" s="48">
        <f>+IF(I45="No",IF(AND(I36="Yes",I27="Yes"),E35,IF(AND(I36="Yes",I27="No"),E36,IF(AND(I36="No",I27="Yes"),E36,E36))),IF(AND(I36="Yes",I27="Yes"),E35+1,IF(AND(I36="Yes",I27="No"),E36+1,IF(AND(I36="No",I27="Yes"),E36+1,E36+1))))</f>
        <v>8</v>
      </c>
      <c r="F45" s="831">
        <v>1291.5057000000002</v>
      </c>
      <c r="G45" s="1213">
        <v>0</v>
      </c>
      <c r="I45" s="41" t="str">
        <f>IF(AND(F45=0,G45=0),"No","Yes")</f>
        <v>Yes</v>
      </c>
      <c r="J45" s="2378"/>
      <c r="K45" s="893">
        <f>+'Balance Sheet'!G45</f>
        <v>701</v>
      </c>
      <c r="M45" s="844">
        <f>+F45-K45</f>
        <v>590.50570000000016</v>
      </c>
      <c r="N45" s="935"/>
    </row>
    <row r="46" spans="3:14" x14ac:dyDescent="0.25">
      <c r="C46" s="48"/>
      <c r="D46" s="290" t="str">
        <f>IF(I46="No","(ii) Intangible assets",IF(COUNTIF(I45,"Yes")=0,"(i) Intangible assets",IF(COUNTIF(I45,"Yes")=1,"(ii) Intangible assets")))</f>
        <v>(ii) Intangible assets</v>
      </c>
      <c r="E46" s="48" t="str">
        <f>IF(I46="No",E45,E45&amp;"B")</f>
        <v>8B</v>
      </c>
      <c r="F46" s="831">
        <v>325.98</v>
      </c>
      <c r="G46" s="1213">
        <v>0</v>
      </c>
      <c r="I46" s="41" t="str">
        <f>IF(AND(F46=0,G46=0),"No","Yes")</f>
        <v>Yes</v>
      </c>
      <c r="K46" s="893">
        <f>+'Balance Sheet'!G46</f>
        <v>114</v>
      </c>
      <c r="M46" s="844">
        <f>+F46-K46</f>
        <v>211.98000000000002</v>
      </c>
      <c r="N46" s="935"/>
    </row>
    <row r="47" spans="3:14" x14ac:dyDescent="0.25">
      <c r="C47" s="48"/>
      <c r="D47" s="290" t="str">
        <f>IF(I47="No","(iii) Capital work-in-progress",IF(COUNTIF($I$45:$I$46,"Yes")=0,"(i) Capital work-in-progress",IF(COUNTIF($I$45:$I$46,"Yes")=1,"(ii) Capital work-in-progress",IF(COUNTIF($I$45:$I$46,"Yes")=2,"(iii) Capital work-in-progress","(iii) Capital work-in-progress"))))</f>
        <v>(iii) Capital work-in-progress</v>
      </c>
      <c r="E47" s="48">
        <f>IF(I47="No",E45,E45+1)</f>
        <v>8</v>
      </c>
      <c r="F47" s="845">
        <v>0</v>
      </c>
      <c r="G47" s="1213">
        <v>0</v>
      </c>
      <c r="I47" s="41" t="str">
        <f>IF(AND(F47=0,G47=0),"No","Yes")</f>
        <v>No</v>
      </c>
      <c r="J47" s="290"/>
      <c r="K47" s="893">
        <f>+'Balance Sheet'!G47</f>
        <v>0</v>
      </c>
      <c r="N47" s="935"/>
    </row>
    <row r="48" spans="3:14" x14ac:dyDescent="0.25">
      <c r="C48" s="48"/>
      <c r="D48" s="290" t="str">
        <f>IF(I48="No","(iv) Intangible assets under development",IF(COUNTIF($I$45:$I47,"Yes")=0,"(i) Intangible assets under development",IF(COUNTIF($I$45:$I47,"Yes")=1,"(ii) Intangible assets under development",IF(COUNTIF($I$45:$I47,"Yes")=2,"(iii) Intangible assets under development",IF(COUNTIF($I$45:$I47,"Yes")=3,"(iv) Intangible assets under development","(iv) Intangible assets under development")))))</f>
        <v>(iv) Intangible assets under development</v>
      </c>
      <c r="E48" s="48">
        <f>IF(I48="No",E47,E47+1)</f>
        <v>8</v>
      </c>
      <c r="F48" s="845">
        <v>0</v>
      </c>
      <c r="G48" s="1213">
        <v>0</v>
      </c>
      <c r="I48" s="41" t="str">
        <f>IF(AND(F48=0,G48=0),"No","Yes")</f>
        <v>No</v>
      </c>
      <c r="K48" s="893">
        <f>+'Balance Sheet'!G48</f>
        <v>0</v>
      </c>
      <c r="N48" s="935"/>
    </row>
    <row r="49" spans="3:20" x14ac:dyDescent="0.25">
      <c r="C49" s="48"/>
      <c r="D49" s="286"/>
      <c r="E49" s="48"/>
      <c r="F49" s="1508"/>
      <c r="G49" s="831"/>
      <c r="I49" s="41" t="str">
        <f>+IF(COUNTIF($I$45:$I$48,"Yes")&gt;0,"Yes","No")</f>
        <v>Yes</v>
      </c>
      <c r="K49" s="893">
        <f>+'Balance Sheet'!G49</f>
        <v>0</v>
      </c>
      <c r="N49" s="935"/>
    </row>
    <row r="50" spans="3:20" x14ac:dyDescent="0.25">
      <c r="C50" s="48"/>
      <c r="D50" s="286" t="str">
        <f>+IF(I50="No","(b) Non-current investments",IF(COUNTIF(I49,"Yes")=0,"(a) Non-current investments",IF(COUNTIF(I49,"Yes")=1,"(b) Non-current investments","(b) Non-current investments")))</f>
        <v>(b) Non-current investments</v>
      </c>
      <c r="E50" s="285">
        <f>IF(I50="No",E48,E48+1)</f>
        <v>8</v>
      </c>
      <c r="F50" s="845">
        <v>0</v>
      </c>
      <c r="G50" s="831">
        <v>0</v>
      </c>
      <c r="I50" s="41" t="str">
        <f>IF(AND(F50=0,G50=0),"No","Yes")</f>
        <v>No</v>
      </c>
      <c r="K50" s="893">
        <f>+'Balance Sheet'!G50</f>
        <v>0</v>
      </c>
      <c r="N50" s="935"/>
    </row>
    <row r="51" spans="3:20" x14ac:dyDescent="0.25">
      <c r="C51" s="48"/>
      <c r="D51" s="286" t="str">
        <f>IF(I51="No","(c) Deferred tax assets (net)",IF(COUNTIF($I$49:$I50,"Yes")=0,"(a) Deferred tax assets (net)",IF(COUNTIF($I$49:$I50,"Yes")=1,"(b) Deferred tax assets (net)",IF(COUNTIF($I$49:$I50,"Yes")=2,"(c) Deferred tax assets (net)","(c) Deferred tax assets (net)"))))</f>
        <v>(b) Deferred tax assets (net)</v>
      </c>
      <c r="E51" s="48" t="s">
        <v>3298</v>
      </c>
      <c r="F51" s="845">
        <v>378.8</v>
      </c>
      <c r="G51" s="831">
        <v>0</v>
      </c>
      <c r="I51" s="41" t="str">
        <f>IF(AND(F51=0,G51=0),"No","Yes")</f>
        <v>Yes</v>
      </c>
      <c r="K51" s="893">
        <f>+'Balance Sheet'!G51</f>
        <v>359.41</v>
      </c>
      <c r="M51" s="2568">
        <f>+F51-K51</f>
        <v>19.389999999999986</v>
      </c>
      <c r="N51" s="935"/>
    </row>
    <row r="52" spans="3:20" x14ac:dyDescent="0.25">
      <c r="C52" s="48"/>
      <c r="D52" s="286" t="str">
        <f>IF(I52="No","(d) Long-term loans and advances",IF(COUNTIF($I$49:$I51,"Yes")=0,"(a) Long-term loans and advances",IF(COUNTIF($I$49:$I51,"Yes")=1,"(b) Long-term loans and advances",IF(COUNTIF($I$49:$I51,"Yes")=2,"(c) Long-term loans and advances",IF(COUNTIF($I$49:$I51,"Yes")=3,"(d) Long-term loans and advances","(d) Long-term loans and advances")))))</f>
        <v>(d) Long-term loans and advances</v>
      </c>
      <c r="E52" s="48">
        <f>IF(I52="No",E50,E50+1)</f>
        <v>8</v>
      </c>
      <c r="F52" s="845">
        <v>0</v>
      </c>
      <c r="G52" s="831">
        <v>0</v>
      </c>
      <c r="H52" s="291"/>
      <c r="I52" s="41" t="str">
        <f>IF(AND(F52=0,G52=0),"No","Yes")</f>
        <v>No</v>
      </c>
      <c r="K52" s="893">
        <f>+'Balance Sheet'!G52</f>
        <v>0</v>
      </c>
      <c r="M52" s="2568">
        <f t="shared" ref="M52:M62" si="0">+F52-K52</f>
        <v>0</v>
      </c>
      <c r="N52" s="935"/>
    </row>
    <row r="53" spans="3:20" x14ac:dyDescent="0.25">
      <c r="C53" s="48"/>
      <c r="D53" s="286" t="str">
        <f>IF(I53="No","(e) Other non-current assets",IF(COUNTIF($I$49:$I52,"Yes")=0,"(a) Other non-current assets",IF(COUNTIF($I$49:$I52,"Yes")=1,"(b) Other non-current assets",IF(COUNTIF($I$49:$I52,"Yes")=2,"(c) Other non-current assets",IF(COUNTIF($I$49:$I52,"Yes")=3,"(d) Other non-current assets",IF(COUNTIF($I$49:$I52,"Yes")=4,"(e) Other non-current assets","(e) Other non-current assets"))))))</f>
        <v>(c) Other non-current assets</v>
      </c>
      <c r="E53" s="48">
        <f>IF(I53="No",E52,E52+1)</f>
        <v>9</v>
      </c>
      <c r="F53" s="845">
        <v>16640</v>
      </c>
      <c r="G53" s="831">
        <v>0</v>
      </c>
      <c r="H53" s="291"/>
      <c r="I53" s="41" t="str">
        <f>IF(AND(F53=0,G53=0),"No","Yes")</f>
        <v>Yes</v>
      </c>
      <c r="J53" s="840"/>
      <c r="K53" s="893">
        <f>+'Balance Sheet'!G53</f>
        <v>16640</v>
      </c>
      <c r="M53" s="2568">
        <f t="shared" si="0"/>
        <v>0</v>
      </c>
      <c r="N53" s="935"/>
    </row>
    <row r="54" spans="3:20" x14ac:dyDescent="0.25">
      <c r="C54" s="48"/>
      <c r="D54" s="141"/>
      <c r="E54" s="48"/>
      <c r="F54" s="1505">
        <f>SUM(F45:F53)</f>
        <v>18636.2857</v>
      </c>
      <c r="G54" s="843">
        <f>SUM(G45:G53)</f>
        <v>0</v>
      </c>
      <c r="I54" s="41" t="str">
        <f>IF(AND(F54=0,G54=0),"No","Yes")</f>
        <v>Yes</v>
      </c>
      <c r="K54" s="893">
        <f>+'Balance Sheet'!G54</f>
        <v>17814.41</v>
      </c>
      <c r="M54" s="2412"/>
    </row>
    <row r="55" spans="3:20" x14ac:dyDescent="0.25">
      <c r="C55" s="48"/>
      <c r="D55" s="141"/>
      <c r="E55" s="48"/>
      <c r="F55" s="845"/>
      <c r="G55" s="1213"/>
      <c r="I55" s="41" t="str">
        <f>IF(AND(F54=0,G54=0),"No","Yes")</f>
        <v>Yes</v>
      </c>
      <c r="K55" s="893">
        <f>+'Balance Sheet'!G55</f>
        <v>0</v>
      </c>
      <c r="M55" s="2568">
        <f t="shared" si="0"/>
        <v>0</v>
      </c>
    </row>
    <row r="56" spans="3:20" x14ac:dyDescent="0.25">
      <c r="C56" s="246">
        <f>IF(I56="No",C43,C43+1)</f>
        <v>2</v>
      </c>
      <c r="D56" s="210" t="s">
        <v>12</v>
      </c>
      <c r="E56" s="48"/>
      <c r="F56" s="845"/>
      <c r="G56" s="1213"/>
      <c r="I56" s="41" t="str">
        <f>IF(I63="No","No","Yes")</f>
        <v>Yes</v>
      </c>
      <c r="J56" s="565"/>
      <c r="K56" s="893">
        <f>+'Balance Sheet'!G56</f>
        <v>0</v>
      </c>
      <c r="M56" s="2412">
        <f t="shared" si="0"/>
        <v>0</v>
      </c>
      <c r="O56" s="41">
        <f>+O57*100</f>
        <v>-63732194.600000001</v>
      </c>
    </row>
    <row r="57" spans="3:20" x14ac:dyDescent="0.25">
      <c r="C57" s="48"/>
      <c r="D57" s="686" t="str">
        <f>IF(I57="No","(a) Current investments","(a) Current investments")</f>
        <v>(a) Current investments</v>
      </c>
      <c r="E57" s="285">
        <f>IF(I57="No",E53,E53+1)</f>
        <v>9</v>
      </c>
      <c r="F57" s="845"/>
      <c r="G57" s="831"/>
      <c r="H57" s="291"/>
      <c r="I57" s="41" t="str">
        <f t="shared" ref="I57:I63" si="1">IF(AND(F57=0,G57=0),"No","Yes")</f>
        <v>No</v>
      </c>
      <c r="J57" s="565"/>
      <c r="K57" s="893">
        <f>+'Balance Sheet'!G57</f>
        <v>0</v>
      </c>
      <c r="M57" s="2412">
        <f t="shared" si="0"/>
        <v>0</v>
      </c>
      <c r="N57" s="935"/>
      <c r="O57" s="935">
        <f>+O60-O58</f>
        <v>-637321.946</v>
      </c>
    </row>
    <row r="58" spans="3:20" x14ac:dyDescent="0.25">
      <c r="C58" s="134"/>
      <c r="D58" s="286" t="str">
        <f>IF(I58="No","(b) Inventories",IF(COUNTIF(I57,"Yes")=0,"(a) Inventories",IF(COUNTIF(I57,"Yes")=1,"(b) Inventories","(b) Inventories")))</f>
        <v>(a) Inventories</v>
      </c>
      <c r="E58" s="48">
        <f>IF(I58="No",E57,E57+1)</f>
        <v>10</v>
      </c>
      <c r="F58" s="845">
        <v>152859.7971</v>
      </c>
      <c r="G58" s="831">
        <v>0</v>
      </c>
      <c r="H58" s="291"/>
      <c r="I58" s="41" t="str">
        <f t="shared" si="1"/>
        <v>Yes</v>
      </c>
      <c r="J58" s="2683"/>
      <c r="K58" s="893">
        <f>+'Balance Sheet'!G58</f>
        <v>25264.693599999999</v>
      </c>
      <c r="M58" s="2412">
        <f t="shared" si="0"/>
        <v>127595.1035</v>
      </c>
      <c r="N58" s="935"/>
      <c r="O58" s="840">
        <v>318662</v>
      </c>
    </row>
    <row r="59" spans="3:20" x14ac:dyDescent="0.25">
      <c r="C59" s="134"/>
      <c r="D59" s="286" t="str">
        <f>IF(I59="No","(c) Trade receivables",IF(COUNTIF($I$57:$I58,"Yes")=0,"(a) Trade receivables",IF(COUNTIF($I$57:$I58,"Yes")=1,"(b) Trade receivables",IF(COUNTIF($I$57:$I58,"Yes")=2,"(c) Trade receivables","(c) Trade receivables"))))</f>
        <v>(b) Trade receivables</v>
      </c>
      <c r="E59" s="48">
        <f>IF(I59="No",E58,E58+1)</f>
        <v>11</v>
      </c>
      <c r="F59" s="2680">
        <v>235436.72120000006</v>
      </c>
      <c r="G59" s="831">
        <v>0</v>
      </c>
      <c r="I59" s="41" t="str">
        <f t="shared" si="1"/>
        <v>Yes</v>
      </c>
      <c r="J59" s="2683"/>
      <c r="K59" s="893">
        <f>+'Balance Sheet'!G59</f>
        <v>326708.79410000006</v>
      </c>
      <c r="M59" s="2412">
        <f t="shared" si="0"/>
        <v>-91272.072899999999</v>
      </c>
      <c r="N59" s="935"/>
      <c r="O59" s="2378"/>
    </row>
    <row r="60" spans="3:20" x14ac:dyDescent="0.25">
      <c r="C60" s="134"/>
      <c r="D60" s="286" t="str">
        <f>IF(I60="No","(d) Cash and cash equivalents",IF(COUNTIF($I$57:$I59,"Yes")=0,"(a) Cash and cash equivalents",IF(COUNTIF($I$57:$I59,"Yes")=1,"(b) Cash and cash equivalents",IF(COUNTIF($I$57:$I59,"Yes")=2,"(c) Cash and cash equivalents",IF(COUNTIF($I$57:$I59,"Yes")=3,"(d) Cash and cash equivalents","(d) Cash and cash equivalents")))))</f>
        <v>(c) Cash and cash equivalents</v>
      </c>
      <c r="E60" s="48">
        <f>IF(I60="No",E59,E59+1)</f>
        <v>12</v>
      </c>
      <c r="F60" s="845">
        <f>665643.8822+326</f>
        <v>665969.88219999999</v>
      </c>
      <c r="G60" s="831">
        <v>0</v>
      </c>
      <c r="H60" s="291"/>
      <c r="I60" s="41" t="str">
        <f t="shared" si="1"/>
        <v>Yes</v>
      </c>
      <c r="J60" s="2679"/>
      <c r="K60" s="893">
        <f>+'Balance Sheet'!G60</f>
        <v>984629.82819999999</v>
      </c>
      <c r="M60" s="2412">
        <f t="shared" si="0"/>
        <v>-318659.946</v>
      </c>
      <c r="N60" s="935"/>
      <c r="O60" s="840">
        <f>+M60-H60</f>
        <v>-318659.946</v>
      </c>
    </row>
    <row r="61" spans="3:20" x14ac:dyDescent="0.25">
      <c r="C61" s="134"/>
      <c r="D61" s="286" t="str">
        <f>IF(I61="No","(e) Short-term loans and advances",IF(COUNTIF($I$57:$I60,"Yes")=0,"(a) Short-term loans and advances",IF(COUNTIF($I$57:$I60,"Yes")=1,"(b) Short-term loans and advances",IF(COUNTIF($I$57:$I60,"Yes")=2,"(c) Short-term loans and advances",IF(COUNTIF($I$57:$I60,"Yes")=3,"(d) Short-term loans and advances",IF(COUNTIF($I$57:$I60,"Yes")=4,"(e) Short-term loans and advances","(e) Short-term loans and advances"))))))</f>
        <v>(d) Short-term loans and advances</v>
      </c>
      <c r="E61" s="48">
        <f>IF(I61="No",E60,E60+1)</f>
        <v>13</v>
      </c>
      <c r="F61" s="2680">
        <f>187659.564-326</f>
        <v>187333.56400000001</v>
      </c>
      <c r="G61" s="831">
        <v>0</v>
      </c>
      <c r="H61" s="291"/>
      <c r="I61" s="41" t="str">
        <f t="shared" si="1"/>
        <v>Yes</v>
      </c>
      <c r="J61" s="2683"/>
      <c r="K61" s="893">
        <f ca="1">+'Balance Sheet'!G61</f>
        <v>19213.338000000003</v>
      </c>
      <c r="M61" s="2412">
        <f t="shared" ca="1" si="0"/>
        <v>168120.22600000002</v>
      </c>
      <c r="N61" s="935"/>
      <c r="T61" s="680"/>
    </row>
    <row r="62" spans="3:20" x14ac:dyDescent="0.25">
      <c r="C62" s="134"/>
      <c r="D62" s="286" t="str">
        <f>IF(I62="No","(f) Other current assets",IF(COUNTIF($I$57:$I61,"Yes")=0,"(a) Other current assets",IF(COUNTIF($I$57:$I61,"Yes")=1,"(b) Other current assets",IF(COUNTIF($I$57:$I61,"Yes")=2,"(c) Other current assets",IF(COUNTIF($I$57:$I61,"Yes")=3,"(d) Other current assets",IF(COUNTIF($I$57:$I61,"Yes")=4,"(e) Other current assets",IF(COUNTIF($I$57:$I61,"Yes")=5,"(f) Other current assets","(f) Other current assets")))))))</f>
        <v>(e) Other current assets</v>
      </c>
      <c r="E62" s="48">
        <f>IF(I62="No",E61,E61+1)</f>
        <v>14</v>
      </c>
      <c r="F62" s="2680">
        <v>6294.29</v>
      </c>
      <c r="G62" s="831">
        <v>0</v>
      </c>
      <c r="I62" s="41" t="str">
        <f t="shared" si="1"/>
        <v>Yes</v>
      </c>
      <c r="J62" s="2378"/>
      <c r="K62" s="893">
        <f>+'Balance Sheet'!G62</f>
        <v>14837.4</v>
      </c>
      <c r="M62" s="2412">
        <f t="shared" si="0"/>
        <v>-8543.11</v>
      </c>
      <c r="N62" s="935"/>
    </row>
    <row r="63" spans="3:20" x14ac:dyDescent="0.25">
      <c r="C63" s="134"/>
      <c r="D63" s="141"/>
      <c r="E63" s="285"/>
      <c r="F63" s="1505">
        <f>SUM(F57:F62)</f>
        <v>1247894.2545</v>
      </c>
      <c r="G63" s="843">
        <f>SUM(G57:G62)</f>
        <v>0</v>
      </c>
      <c r="I63" s="41" t="str">
        <f t="shared" si="1"/>
        <v>Yes</v>
      </c>
      <c r="K63" s="893">
        <f ca="1">+'Balance Sheet'!G63</f>
        <v>1370654.0538999999</v>
      </c>
      <c r="M63" s="2412"/>
      <c r="N63" s="935"/>
    </row>
    <row r="64" spans="3:20" x14ac:dyDescent="0.25">
      <c r="C64" s="134"/>
      <c r="D64" s="141"/>
      <c r="E64" s="48"/>
      <c r="F64" s="845"/>
      <c r="G64" s="1213"/>
      <c r="I64" s="41" t="str">
        <f>IF(I63="No","No","Yes")</f>
        <v>Yes</v>
      </c>
      <c r="K64" s="893">
        <f>+'Balance Sheet'!G64</f>
        <v>0</v>
      </c>
      <c r="N64" s="935">
        <f t="shared" ref="N64" si="2">+F64-J64</f>
        <v>0</v>
      </c>
    </row>
    <row r="65" spans="3:19" ht="17.25" thickBot="1" x14ac:dyDescent="0.3">
      <c r="C65" s="134"/>
      <c r="D65" s="141"/>
      <c r="E65" s="48"/>
      <c r="F65" s="1507">
        <f>F54+F63</f>
        <v>1266530.5401999999</v>
      </c>
      <c r="G65" s="1217">
        <f>G54+G63</f>
        <v>0</v>
      </c>
      <c r="I65" s="41" t="str">
        <f>IF(AND(F65=0,G65=0),"No","Yes")</f>
        <v>Yes</v>
      </c>
      <c r="J65" s="444">
        <f>+F65-F39</f>
        <v>-2.1999983582645655E-3</v>
      </c>
      <c r="K65" s="893">
        <f ca="1">+'Balance Sheet'!G65</f>
        <v>1388468.4638999999</v>
      </c>
    </row>
    <row r="66" spans="3:19" ht="30" x14ac:dyDescent="0.25">
      <c r="C66" s="169"/>
      <c r="D66" s="687" t="s">
        <v>579</v>
      </c>
      <c r="E66" s="96"/>
      <c r="F66" s="942"/>
      <c r="G66" s="1218"/>
      <c r="I66" s="41" t="str">
        <f>+$I$65</f>
        <v>Yes</v>
      </c>
      <c r="K66" s="935"/>
      <c r="M66" s="2378"/>
      <c r="R66" s="932">
        <f>+F65-F39</f>
        <v>-2.1999983582645655E-3</v>
      </c>
      <c r="S66" s="933"/>
    </row>
    <row r="67" spans="3:19" x14ac:dyDescent="0.25">
      <c r="C67" s="604" t="s">
        <v>13</v>
      </c>
      <c r="D67" s="529"/>
      <c r="E67" s="459"/>
      <c r="F67" s="1509"/>
      <c r="G67" s="1199"/>
      <c r="H67" s="318"/>
      <c r="I67" s="41" t="s">
        <v>990</v>
      </c>
      <c r="M67" s="935"/>
      <c r="N67" s="844"/>
    </row>
    <row r="68" spans="3:19" x14ac:dyDescent="0.25">
      <c r="C68" s="210" t="s">
        <v>816</v>
      </c>
      <c r="D68" s="292"/>
      <c r="F68" s="1510" t="s">
        <v>14</v>
      </c>
      <c r="G68" s="1219"/>
      <c r="H68" s="42"/>
      <c r="I68" s="41" t="str">
        <f t="shared" ref="I68:I83" si="3">+$I$67</f>
        <v>Yes</v>
      </c>
    </row>
    <row r="69" spans="3:19" x14ac:dyDescent="0.25">
      <c r="C69" s="141" t="s">
        <v>15</v>
      </c>
      <c r="D69" s="292"/>
      <c r="E69" s="278" t="s">
        <v>16</v>
      </c>
      <c r="F69" s="1771" t="str">
        <f>+C9</f>
        <v>XYZ private Limited</v>
      </c>
      <c r="G69" s="1200"/>
      <c r="H69" s="279"/>
      <c r="I69" s="41" t="str">
        <f t="shared" si="3"/>
        <v>Yes</v>
      </c>
    </row>
    <row r="70" spans="3:19" x14ac:dyDescent="0.25">
      <c r="C70" s="141" t="s">
        <v>817</v>
      </c>
      <c r="D70" s="292"/>
      <c r="E70" s="278"/>
      <c r="F70" s="836"/>
      <c r="G70" s="1200"/>
      <c r="H70" s="279"/>
      <c r="I70" s="41" t="str">
        <f t="shared" si="3"/>
        <v>Yes</v>
      </c>
    </row>
    <row r="71" spans="3:19" x14ac:dyDescent="0.3">
      <c r="C71" s="186" t="s">
        <v>3290</v>
      </c>
      <c r="D71" s="1"/>
      <c r="E71" s="1"/>
      <c r="F71" s="9"/>
      <c r="G71" s="1220"/>
      <c r="H71" s="279"/>
      <c r="I71" s="41" t="str">
        <f t="shared" si="3"/>
        <v>Yes</v>
      </c>
    </row>
    <row r="72" spans="3:19" x14ac:dyDescent="0.3">
      <c r="C72" s="186"/>
      <c r="D72" s="1"/>
      <c r="E72" s="1"/>
      <c r="F72" s="9"/>
      <c r="G72" s="1220"/>
      <c r="H72" s="281"/>
      <c r="I72" s="41" t="str">
        <f t="shared" si="3"/>
        <v>Yes</v>
      </c>
    </row>
    <row r="73" spans="3:19" x14ac:dyDescent="0.3">
      <c r="C73" s="186"/>
      <c r="D73" s="1"/>
      <c r="E73" s="1"/>
      <c r="F73" s="9"/>
      <c r="G73" s="1220"/>
      <c r="H73" s="282"/>
      <c r="I73" s="41" t="str">
        <f t="shared" si="3"/>
        <v>Yes</v>
      </c>
    </row>
    <row r="74" spans="3:19" x14ac:dyDescent="0.3">
      <c r="C74" s="186"/>
      <c r="D74" s="1"/>
      <c r="E74" s="1"/>
      <c r="F74" s="9"/>
      <c r="G74" s="1220"/>
      <c r="H74" s="42"/>
      <c r="I74" s="41" t="str">
        <f t="shared" si="3"/>
        <v>Yes</v>
      </c>
      <c r="M74" s="217"/>
    </row>
    <row r="75" spans="3:19" x14ac:dyDescent="0.3">
      <c r="C75" s="186"/>
      <c r="D75" s="1"/>
      <c r="E75" s="1"/>
      <c r="F75" s="9"/>
      <c r="G75" s="1220"/>
      <c r="I75" s="41" t="str">
        <f t="shared" si="3"/>
        <v>Yes</v>
      </c>
    </row>
    <row r="76" spans="3:19" x14ac:dyDescent="0.3">
      <c r="C76" s="186"/>
      <c r="D76" s="1"/>
      <c r="E76" s="1"/>
      <c r="F76" s="9"/>
      <c r="G76" s="1220"/>
      <c r="H76" s="17"/>
      <c r="I76" s="41" t="str">
        <f t="shared" si="3"/>
        <v>Yes</v>
      </c>
    </row>
    <row r="77" spans="3:19" x14ac:dyDescent="0.25">
      <c r="C77" s="742" t="s">
        <v>1115</v>
      </c>
      <c r="D77" s="743"/>
      <c r="F77" s="1510" t="s">
        <v>2044</v>
      </c>
      <c r="G77" s="1221" t="s">
        <v>1698</v>
      </c>
      <c r="H77" s="279"/>
      <c r="I77" s="41" t="str">
        <f t="shared" si="3"/>
        <v>Yes</v>
      </c>
    </row>
    <row r="78" spans="3:19" x14ac:dyDescent="0.25">
      <c r="C78" s="2713" t="s">
        <v>18</v>
      </c>
      <c r="D78" s="2714"/>
      <c r="F78" s="1510" t="s">
        <v>1699</v>
      </c>
      <c r="G78" s="1219" t="s">
        <v>1699</v>
      </c>
      <c r="H78" s="281"/>
      <c r="I78" s="41" t="str">
        <f t="shared" si="3"/>
        <v>Yes</v>
      </c>
    </row>
    <row r="79" spans="3:19" x14ac:dyDescent="0.3">
      <c r="C79" s="744" t="s">
        <v>3291</v>
      </c>
      <c r="D79" s="745"/>
      <c r="E79" s="14"/>
      <c r="F79" s="1371" t="s">
        <v>3292</v>
      </c>
      <c r="G79" s="1222" t="s">
        <v>3293</v>
      </c>
      <c r="H79" s="281"/>
      <c r="I79" s="41" t="str">
        <f t="shared" si="3"/>
        <v>Yes</v>
      </c>
    </row>
    <row r="80" spans="3:19" x14ac:dyDescent="0.3">
      <c r="C80" s="746" t="s">
        <v>3294</v>
      </c>
      <c r="D80" s="747"/>
      <c r="E80" s="14"/>
      <c r="F80" s="1511" t="s">
        <v>3294</v>
      </c>
      <c r="G80" s="1223" t="s">
        <v>3295</v>
      </c>
      <c r="I80" s="41" t="str">
        <f t="shared" si="3"/>
        <v>Yes</v>
      </c>
    </row>
    <row r="81" spans="3:9" x14ac:dyDescent="0.3">
      <c r="C81" s="746" t="s">
        <v>3296</v>
      </c>
      <c r="D81" s="748"/>
      <c r="E81" s="14"/>
      <c r="F81" s="1511" t="s">
        <v>3297</v>
      </c>
      <c r="G81" s="1223" t="s">
        <v>3297</v>
      </c>
      <c r="I81" s="41" t="str">
        <f t="shared" si="3"/>
        <v>Yes</v>
      </c>
    </row>
    <row r="82" spans="3:9" x14ac:dyDescent="0.3">
      <c r="C82" s="746"/>
      <c r="D82" s="14"/>
      <c r="E82" s="14"/>
      <c r="F82" s="1511"/>
      <c r="G82" s="1222"/>
      <c r="I82" s="41" t="str">
        <f t="shared" si="3"/>
        <v>Yes</v>
      </c>
    </row>
    <row r="83" spans="3:9" x14ac:dyDescent="0.25">
      <c r="C83" s="142"/>
      <c r="D83" s="97"/>
      <c r="E83" s="97"/>
      <c r="F83" s="1512"/>
      <c r="G83" s="1218"/>
      <c r="I83" s="41" t="str">
        <f t="shared" si="3"/>
        <v>Yes</v>
      </c>
    </row>
    <row r="84" spans="3:9" x14ac:dyDescent="0.25">
      <c r="I84" s="41" t="s">
        <v>990</v>
      </c>
    </row>
  </sheetData>
  <mergeCells count="2">
    <mergeCell ref="C13:D13"/>
    <mergeCell ref="C78:D78"/>
  </mergeCells>
  <pageMargins left="0.5" right="0.5" top="0.5" bottom="0.5" header="0.5" footer="0.5"/>
  <pageSetup paperSize="9" scale="61"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XEP289"/>
  <sheetViews>
    <sheetView showGridLines="0" view="pageBreakPreview" topLeftCell="A6" zoomScale="80" zoomScaleNormal="100" zoomScaleSheetLayoutView="80" workbookViewId="0">
      <selection activeCell="A6" sqref="A6"/>
    </sheetView>
  </sheetViews>
  <sheetFormatPr defaultColWidth="8.85546875" defaultRowHeight="16.5" x14ac:dyDescent="0.3"/>
  <cols>
    <col min="1" max="2" width="3.7109375" style="1" customWidth="1"/>
    <col min="3" max="3" width="9.28515625" style="179" bestFit="1" customWidth="1"/>
    <col min="4" max="4" width="31.140625" style="1" customWidth="1"/>
    <col min="5" max="5" width="27.140625" style="1" customWidth="1"/>
    <col min="6" max="6" width="24.7109375" style="1" customWidth="1"/>
    <col min="7" max="7" width="16" style="1" bestFit="1" customWidth="1"/>
    <col min="8" max="8" width="17" style="1" bestFit="1" customWidth="1"/>
    <col min="9" max="9" width="12.42578125" style="1" bestFit="1" customWidth="1"/>
    <col min="10" max="10" width="41.85546875" style="1" customWidth="1"/>
    <col min="11" max="11" width="3.7109375" style="1" customWidth="1"/>
    <col min="12" max="12" width="16.7109375" style="1" bestFit="1" customWidth="1"/>
    <col min="13" max="13" width="9.5703125" style="1" hidden="1" customWidth="1"/>
    <col min="14" max="14" width="9.5703125" style="1" bestFit="1" customWidth="1"/>
    <col min="15" max="15" width="18.5703125" style="1" bestFit="1" customWidth="1"/>
    <col min="16" max="16" width="16" style="1" bestFit="1" customWidth="1"/>
    <col min="17" max="19" width="8.85546875" style="1"/>
    <col min="20" max="20" width="13.7109375" style="1" bestFit="1" customWidth="1"/>
    <col min="21" max="21" width="132.7109375" style="1" bestFit="1" customWidth="1"/>
    <col min="22" max="22" width="13" style="1" bestFit="1" customWidth="1"/>
    <col min="23" max="16384" width="8.85546875" style="1"/>
  </cols>
  <sheetData>
    <row r="1" spans="1:26 16370:16370" x14ac:dyDescent="0.3">
      <c r="XEP1" s="1" t="s">
        <v>990</v>
      </c>
    </row>
    <row r="2" spans="1:26 16370:16370" x14ac:dyDescent="0.3">
      <c r="XEP2" s="1" t="s">
        <v>840</v>
      </c>
    </row>
    <row r="6" spans="1:26 16370:16370" x14ac:dyDescent="0.3">
      <c r="A6" s="1" t="s">
        <v>19</v>
      </c>
    </row>
    <row r="8" spans="1:26 16370:16370" x14ac:dyDescent="0.3">
      <c r="C8" s="893" t="str">
        <f>Company_Name</f>
        <v>Sample Company</v>
      </c>
    </row>
    <row r="9" spans="1:26 16370:16370" x14ac:dyDescent="0.3">
      <c r="C9" s="894" t="s">
        <v>90</v>
      </c>
    </row>
    <row r="10" spans="1:26 16370:16370" x14ac:dyDescent="0.3">
      <c r="C10" s="895"/>
      <c r="L10" s="177"/>
    </row>
    <row r="11" spans="1:26 16370:16370" x14ac:dyDescent="0.3">
      <c r="C11" s="894" t="s">
        <v>3904</v>
      </c>
      <c r="M11" s="2297" t="str">
        <f>+IF(COUNTIF('Master Data'!$N$10:$N$31,"Yes")&gt;0,"Yes","No")</f>
        <v>Yes</v>
      </c>
    </row>
    <row r="12" spans="1:26 16370:16370" x14ac:dyDescent="0.3">
      <c r="C12" s="894"/>
      <c r="M12" s="42"/>
      <c r="W12" s="961" t="s">
        <v>1150</v>
      </c>
      <c r="X12" s="961" t="s">
        <v>1150</v>
      </c>
      <c r="Y12" s="961" t="s">
        <v>1150</v>
      </c>
      <c r="Z12" s="961" t="s">
        <v>1150</v>
      </c>
    </row>
    <row r="13" spans="1:26 16370:16370" s="4" customFormat="1" ht="15" x14ac:dyDescent="0.25">
      <c r="C13" s="896">
        <f>+'Master Data'!L10</f>
        <v>33.01</v>
      </c>
      <c r="D13" s="4" t="str">
        <f>+IF('Qualitative Disclosures for AS'!C828="","",'Qualitative Disclosures for AS'!C828)</f>
        <v>Title deeds of Immovable Property not held in name of the Company</v>
      </c>
      <c r="F13" s="4" t="str">
        <f>+IF('Qualitative Disclosures for AS'!E828="","",'Qualitative Disclosures for AS'!E828)</f>
        <v/>
      </c>
      <c r="G13" s="4" t="str">
        <f>+IF('Qualitative Disclosures for AS'!F828="","",'Qualitative Disclosures for AS'!F828)</f>
        <v/>
      </c>
      <c r="H13" s="4" t="str">
        <f>+IF('Qualitative Disclosures for AS'!G828="","",'Qualitative Disclosures for AS'!G828)</f>
        <v/>
      </c>
      <c r="I13" s="4" t="str">
        <f>+IF('Qualitative Disclosures for AS'!H828="","",'Qualitative Disclosures for AS'!H828)</f>
        <v/>
      </c>
      <c r="J13" s="4" t="str">
        <f>+IF('Qualitative Disclosures for AS'!I828="","",'Qualitative Disclosures for AS'!I828)</f>
        <v/>
      </c>
      <c r="W13" s="4" t="s">
        <v>1150</v>
      </c>
      <c r="X13" s="4" t="s">
        <v>1150</v>
      </c>
      <c r="Y13" s="4" t="s">
        <v>1150</v>
      </c>
      <c r="Z13" s="4" t="s">
        <v>1150</v>
      </c>
    </row>
    <row r="14" spans="1:26 16370:16370" x14ac:dyDescent="0.3">
      <c r="D14" s="1" t="str">
        <f>+IF('Qualitative Disclosures for AS'!C830="","",'Qualitative Disclosures for AS'!C830)</f>
        <v>The Company does not have any such immovable property.</v>
      </c>
      <c r="F14" s="1" t="str">
        <f>+IF('Qualitative Disclosures for AS'!E830="","",'Qualitative Disclosures for AS'!E830)</f>
        <v/>
      </c>
      <c r="G14" s="1" t="str">
        <f>+IF('Qualitative Disclosures for AS'!F830="","",'Qualitative Disclosures for AS'!F830)</f>
        <v/>
      </c>
      <c r="H14" s="1" t="str">
        <f>+IF('Qualitative Disclosures for AS'!G830="","",'Qualitative Disclosures for AS'!G830)</f>
        <v/>
      </c>
      <c r="I14" s="1" t="str">
        <f>+IF('Qualitative Disclosures for AS'!H830="","",'Qualitative Disclosures for AS'!H830)</f>
        <v/>
      </c>
      <c r="J14" s="1" t="str">
        <f>+IF('Qualitative Disclosures for AS'!I830="","",'Qualitative Disclosures for AS'!I830)</f>
        <v/>
      </c>
      <c r="M14" s="177"/>
    </row>
    <row r="15" spans="1:26 16370:16370" s="5" customFormat="1" ht="150.75" hidden="1" thickBot="1" x14ac:dyDescent="0.3">
      <c r="C15" s="897"/>
      <c r="D15" s="898" t="str">
        <f>+IF('Qualitative Disclosures for AS'!C831="","",'Qualitative Disclosures for AS'!C831)</f>
        <v>Relevant line item in the Balance sheet</v>
      </c>
      <c r="E15" s="899" t="str">
        <f>+IF('Qualitative Disclosures for AS'!D831="","",'Qualitative Disclosures for AS'!D831)</f>
        <v>Description of item of property</v>
      </c>
      <c r="F15" s="899" t="str">
        <f>+IF('Qualitative Disclosures for AS'!E831="","",'Qualitative Disclosures for AS'!E831)</f>
        <v>Gross carrying value</v>
      </c>
      <c r="G15" s="899" t="str">
        <f>+IF('Qualitative Disclosures for AS'!F831="","",'Qualitative Disclosures for AS'!F831)</f>
        <v>Title deeds held in the name of</v>
      </c>
      <c r="H15" s="899" t="str">
        <f>+IF('Qualitative Disclosures for AS'!G831="","",'Qualitative Disclosures for AS'!G831)</f>
        <v>Whether title deed holder is a promoter, director or relative of promoter*/director or employee of promoter/director</v>
      </c>
      <c r="I15" s="899" t="str">
        <f>+IF('Qualitative Disclosures for AS'!H831="","",'Qualitative Disclosures for AS'!H831)</f>
        <v>Property held since which date</v>
      </c>
      <c r="J15" s="900" t="str">
        <f>+IF('Qualitative Disclosures for AS'!I831="","",'Qualitative Disclosures for AS'!I831)</f>
        <v>Reason for not being held in the name of the company**</v>
      </c>
    </row>
    <row r="16" spans="1:26 16370:16370" s="30" customFormat="1" hidden="1" x14ac:dyDescent="0.25">
      <c r="C16" s="901"/>
      <c r="D16" s="902" t="str">
        <f>+IF('Qualitative Disclosures for AS'!C832="","",'Qualitative Disclosures for AS'!C832)</f>
        <v>PPE</v>
      </c>
      <c r="E16" s="903" t="str">
        <f>+IF('Qualitative Disclosures for AS'!D832="","",'Qualitative Disclosures for AS'!D832)</f>
        <v>Land Building</v>
      </c>
      <c r="F16" s="1783">
        <v>0</v>
      </c>
      <c r="G16" s="1783">
        <v>0</v>
      </c>
      <c r="H16" s="1783">
        <v>0</v>
      </c>
      <c r="I16" s="1783">
        <v>0</v>
      </c>
      <c r="J16" s="1783">
        <v>0</v>
      </c>
      <c r="M16" s="42"/>
    </row>
    <row r="17" spans="3:26" hidden="1" x14ac:dyDescent="0.3">
      <c r="D17" s="904" t="str">
        <f>+IF('Qualitative Disclosures for AS'!C833="","",'Qualitative Disclosures for AS'!C833)</f>
        <v>Investment property</v>
      </c>
      <c r="E17" s="29" t="str">
        <f>+IF('Qualitative Disclosures for AS'!D833="","",'Qualitative Disclosures for AS'!D833)</f>
        <v>Land Building</v>
      </c>
      <c r="F17" s="1783">
        <v>0</v>
      </c>
      <c r="G17" s="1783">
        <v>0</v>
      </c>
      <c r="H17" s="1783">
        <v>0</v>
      </c>
      <c r="I17" s="1783">
        <v>0</v>
      </c>
      <c r="J17" s="1783">
        <v>0</v>
      </c>
      <c r="M17" s="42"/>
      <c r="W17" s="1130" t="s">
        <v>1150</v>
      </c>
      <c r="X17" s="1130" t="s">
        <v>1150</v>
      </c>
      <c r="Y17" s="1130" t="s">
        <v>1150</v>
      </c>
      <c r="Z17" s="1130" t="s">
        <v>1150</v>
      </c>
    </row>
    <row r="18" spans="3:26" ht="33" hidden="1" x14ac:dyDescent="0.3">
      <c r="D18" s="904" t="str">
        <f>+IF('Qualitative Disclosures for AS'!C834="","",'Qualitative Disclosures for AS'!C834)</f>
        <v>PPE retired from active use and held for disposal</v>
      </c>
      <c r="E18" s="29" t="str">
        <f>+IF('Qualitative Disclosures for AS'!D834="","",'Qualitative Disclosures for AS'!D834)</f>
        <v>Land Building</v>
      </c>
      <c r="F18" s="1783">
        <v>0</v>
      </c>
      <c r="G18" s="1783">
        <v>0</v>
      </c>
      <c r="H18" s="1783">
        <v>0</v>
      </c>
      <c r="I18" s="1783">
        <v>0</v>
      </c>
      <c r="J18" s="1783">
        <v>0</v>
      </c>
      <c r="M18" s="42"/>
    </row>
    <row r="19" spans="3:26" ht="17.25" hidden="1" thickBot="1" x14ac:dyDescent="0.35">
      <c r="D19" s="905" t="str">
        <f>+IF('Qualitative Disclosures for AS'!C835="","",'Qualitative Disclosures for AS'!C835)</f>
        <v>others</v>
      </c>
      <c r="E19" s="906" t="str">
        <f>+IF('Qualitative Disclosures for AS'!D835="","",'Qualitative Disclosures for AS'!D835)</f>
        <v/>
      </c>
      <c r="F19" s="1783">
        <v>0</v>
      </c>
      <c r="G19" s="1783">
        <v>0</v>
      </c>
      <c r="H19" s="1783">
        <v>0</v>
      </c>
      <c r="I19" s="1783">
        <v>0</v>
      </c>
      <c r="J19" s="1783">
        <v>0</v>
      </c>
      <c r="M19" s="42"/>
      <c r="O19" s="13"/>
    </row>
    <row r="20" spans="3:26" ht="66" hidden="1" x14ac:dyDescent="0.3">
      <c r="D20" s="35" t="str">
        <f>+IF('Qualitative Disclosures for AS'!C836="","",'Qualitative Disclosures for AS'!C836)</f>
        <v xml:space="preserve">*Promotor or Relative here means Promotor or relative as defined in the Companies Act, 2013. </v>
      </c>
      <c r="E20" s="1" t="str">
        <f>+IF('Qualitative Disclosures for AS'!D836="","",'Qualitative Disclosures for AS'!D836)</f>
        <v/>
      </c>
      <c r="F20" s="1" t="str">
        <f>+IF('Qualitative Disclosures for AS'!E836="","",'Qualitative Disclosures for AS'!E836)</f>
        <v/>
      </c>
      <c r="G20" s="1" t="str">
        <f>+IF('Qualitative Disclosures for AS'!F836="","",'Qualitative Disclosures for AS'!F836)</f>
        <v/>
      </c>
      <c r="H20" s="1" t="str">
        <f>+IF('Qualitative Disclosures for AS'!G836="","",'Qualitative Disclosures for AS'!G836)</f>
        <v/>
      </c>
      <c r="I20" s="1" t="str">
        <f>+IF('Qualitative Disclosures for AS'!H836="","",'Qualitative Disclosures for AS'!H836)</f>
        <v/>
      </c>
      <c r="J20" s="1" t="str">
        <f>+IF('Qualitative Disclosures for AS'!I836="","",'Qualitative Disclosures for AS'!I836)</f>
        <v/>
      </c>
      <c r="M20" s="42"/>
      <c r="N20" s="177"/>
      <c r="O20" s="34"/>
      <c r="W20" s="1" t="s">
        <v>1150</v>
      </c>
      <c r="X20" s="1" t="s">
        <v>1150</v>
      </c>
      <c r="Y20" s="1" t="s">
        <v>1150</v>
      </c>
      <c r="Z20" s="1" t="s">
        <v>1150</v>
      </c>
    </row>
    <row r="21" spans="3:26" hidden="1" x14ac:dyDescent="0.3">
      <c r="D21" s="1" t="str">
        <f>+IF('Qualitative Disclosures for AS'!C837="","",'Qualitative Disclosures for AS'!C837)</f>
        <v>**also indicate if in dispute</v>
      </c>
      <c r="E21" s="1" t="str">
        <f>+IF('Qualitative Disclosures for AS'!D837="","",'Qualitative Disclosures for AS'!D837)</f>
        <v/>
      </c>
      <c r="F21" s="1" t="str">
        <f>+IF('Qualitative Disclosures for AS'!E837="","",'Qualitative Disclosures for AS'!E837)</f>
        <v/>
      </c>
      <c r="G21" s="1" t="str">
        <f>+IF('Qualitative Disclosures for AS'!F837="","",'Qualitative Disclosures for AS'!F837)</f>
        <v/>
      </c>
      <c r="H21" s="1" t="str">
        <f>+IF('Qualitative Disclosures for AS'!G837="","",'Qualitative Disclosures for AS'!G837)</f>
        <v/>
      </c>
      <c r="I21" s="1" t="str">
        <f>+IF('Qualitative Disclosures for AS'!H837="","",'Qualitative Disclosures for AS'!H837)</f>
        <v/>
      </c>
      <c r="J21" s="1" t="str">
        <f>+IF('Qualitative Disclosures for AS'!I837="","",'Qualitative Disclosures for AS'!I837)</f>
        <v/>
      </c>
    </row>
    <row r="22" spans="3:26" x14ac:dyDescent="0.3">
      <c r="C22" s="901"/>
      <c r="D22" s="180"/>
      <c r="E22" s="180"/>
      <c r="F22" s="180"/>
      <c r="G22" s="180"/>
      <c r="H22" s="180"/>
      <c r="I22" s="180"/>
      <c r="J22" s="180"/>
    </row>
    <row r="23" spans="3:26" s="4" customFormat="1" ht="15" x14ac:dyDescent="0.25">
      <c r="C23" s="896">
        <v>33.020000000000003</v>
      </c>
      <c r="D23" s="2988" t="str">
        <f>+IF('Qualitative Disclosures for AS'!C839="","",'Qualitative Disclosures for AS'!C839)</f>
        <v>Revaluation of Property, Plant and Equipment</v>
      </c>
      <c r="E23" s="2988" t="str">
        <f>+IF('Qualitative Disclosures for AS'!D839="","",'Qualitative Disclosures for AS'!D839)</f>
        <v/>
      </c>
      <c r="F23" s="2988" t="str">
        <f>+IF('Qualitative Disclosures for AS'!E839="","",'Qualitative Disclosures for AS'!E839)</f>
        <v/>
      </c>
      <c r="G23" s="2988" t="str">
        <f>+IF('Qualitative Disclosures for AS'!F839="","",'Qualitative Disclosures for AS'!F839)</f>
        <v/>
      </c>
      <c r="H23" s="2988" t="str">
        <f>+IF('Qualitative Disclosures for AS'!G839="","",'Qualitative Disclosures for AS'!G839)</f>
        <v/>
      </c>
      <c r="I23" s="2988" t="str">
        <f>+IF('Qualitative Disclosures for AS'!H839="","",'Qualitative Disclosures for AS'!H839)</f>
        <v/>
      </c>
      <c r="J23" s="2988" t="str">
        <f>+IF('Qualitative Disclosures for AS'!I839="","",'Qualitative Disclosures for AS'!I839)</f>
        <v/>
      </c>
    </row>
    <row r="24" spans="3:26" s="4" customFormat="1" ht="15" customHeight="1" x14ac:dyDescent="0.3">
      <c r="C24" s="907"/>
      <c r="D24" s="1" t="str">
        <f>+IF('Qualitative Disclosures for AS'!C840="","",'Qualitative Disclosures for AS'!C840)</f>
        <v>The Company has not done revaluation of any Property, Plant and Equipment during the year.</v>
      </c>
      <c r="E24" s="1"/>
      <c r="F24" s="1"/>
      <c r="G24" s="1" t="str">
        <f>+IF('Qualitative Disclosures for AS'!F840="","",'Qualitative Disclosures for AS'!F840)</f>
        <v/>
      </c>
      <c r="H24" s="1" t="str">
        <f>+IF('Qualitative Disclosures for AS'!G840="","",'Qualitative Disclosures for AS'!G840)</f>
        <v/>
      </c>
      <c r="I24" s="1" t="str">
        <f>+IF('Qualitative Disclosures for AS'!H840="","",'Qualitative Disclosures for AS'!H840)</f>
        <v/>
      </c>
      <c r="J24" s="1" t="str">
        <f>+IF('Qualitative Disclosures for AS'!I840="","",'Qualitative Disclosures for AS'!I840)</f>
        <v/>
      </c>
    </row>
    <row r="25" spans="3:26" s="4" customFormat="1" hidden="1" x14ac:dyDescent="0.25">
      <c r="C25" s="907"/>
      <c r="D25" s="1719" t="str">
        <f>+IF('Qualitative Disclosures for AS'!C845="","",'Qualitative Disclosures for AS'!C845)</f>
        <v/>
      </c>
      <c r="E25" s="1719" t="str">
        <f>+IF('Qualitative Disclosures for AS'!D845="","",'Qualitative Disclosures for AS'!D845)</f>
        <v/>
      </c>
      <c r="F25" s="1719" t="str">
        <f>+IF('Qualitative Disclosures for AS'!E845="","",'Qualitative Disclosures for AS'!E845)</f>
        <v/>
      </c>
      <c r="G25" s="1719" t="str">
        <f>+IF('Qualitative Disclosures for AS'!F845="","",'Qualitative Disclosures for AS'!F845)</f>
        <v/>
      </c>
      <c r="H25" s="1719" t="str">
        <f>+IF('Qualitative Disclosures for AS'!G845="","",'Qualitative Disclosures for AS'!G845)</f>
        <v/>
      </c>
      <c r="I25" s="1719" t="str">
        <f>+IF('Qualitative Disclosures for AS'!H845="","",'Qualitative Disclosures for AS'!H845)</f>
        <v/>
      </c>
      <c r="J25" s="1719" t="str">
        <f>+IF('Qualitative Disclosures for AS'!I845="","",'Qualitative Disclosures for AS'!I845)</f>
        <v/>
      </c>
    </row>
    <row r="26" spans="3:26" s="4" customFormat="1" hidden="1" x14ac:dyDescent="0.25">
      <c r="C26" s="907"/>
      <c r="D26" s="1719" t="str">
        <f>+IF('Qualitative Disclosures for AS'!C846="","",'Qualitative Disclosures for AS'!C846)</f>
        <v/>
      </c>
      <c r="E26" s="1719" t="str">
        <f>+IF('Qualitative Disclosures for AS'!D846="","",'Qualitative Disclosures for AS'!D846)</f>
        <v/>
      </c>
      <c r="F26" s="1719" t="str">
        <f>+IF('Qualitative Disclosures for AS'!E846="","",'Qualitative Disclosures for AS'!E846)</f>
        <v/>
      </c>
      <c r="G26" s="1719" t="str">
        <f>+IF('Qualitative Disclosures for AS'!F846="","",'Qualitative Disclosures for AS'!F846)</f>
        <v/>
      </c>
      <c r="H26" s="1719" t="str">
        <f>+IF('Qualitative Disclosures for AS'!G846="","",'Qualitative Disclosures for AS'!G846)</f>
        <v/>
      </c>
      <c r="I26" s="1719" t="str">
        <f>+IF('Qualitative Disclosures for AS'!H846="","",'Qualitative Disclosures for AS'!H846)</f>
        <v/>
      </c>
      <c r="J26" s="1719" t="str">
        <f>+IF('Qualitative Disclosures for AS'!I846="","",'Qualitative Disclosures for AS'!I846)</f>
        <v/>
      </c>
    </row>
    <row r="27" spans="3:26" s="4" customFormat="1" hidden="1" x14ac:dyDescent="0.25">
      <c r="C27" s="907"/>
      <c r="D27" s="1719" t="str">
        <f>+IF('Qualitative Disclosures for AS'!C847="","",'Qualitative Disclosures for AS'!C847)</f>
        <v/>
      </c>
      <c r="E27" s="1719" t="str">
        <f>+IF('Qualitative Disclosures for AS'!D847="","",'Qualitative Disclosures for AS'!D847)</f>
        <v/>
      </c>
      <c r="F27" s="1719" t="str">
        <f>+IF('Qualitative Disclosures for AS'!E847="","",'Qualitative Disclosures for AS'!E847)</f>
        <v/>
      </c>
      <c r="G27" s="1719" t="str">
        <f>+IF('Qualitative Disclosures for AS'!F847="","",'Qualitative Disclosures for AS'!F847)</f>
        <v/>
      </c>
      <c r="H27" s="1719" t="str">
        <f>+IF('Qualitative Disclosures for AS'!G847="","",'Qualitative Disclosures for AS'!G847)</f>
        <v/>
      </c>
      <c r="I27" s="1719" t="str">
        <f>+IF('Qualitative Disclosures for AS'!H847="","",'Qualitative Disclosures for AS'!H847)</f>
        <v/>
      </c>
      <c r="J27" s="1719" t="str">
        <f>+IF('Qualitative Disclosures for AS'!I847="","",'Qualitative Disclosures for AS'!I847)</f>
        <v/>
      </c>
    </row>
    <row r="28" spans="3:26" s="4" customFormat="1" hidden="1" x14ac:dyDescent="0.25">
      <c r="C28" s="907"/>
      <c r="D28" s="1719" t="str">
        <f>+IF('Qualitative Disclosures for AS'!C848="","",'Qualitative Disclosures for AS'!C848)</f>
        <v/>
      </c>
      <c r="E28" s="1719" t="str">
        <f>+IF('Qualitative Disclosures for AS'!D848="","",'Qualitative Disclosures for AS'!D848)</f>
        <v/>
      </c>
      <c r="F28" s="1719" t="str">
        <f>+IF('Qualitative Disclosures for AS'!E848="","",'Qualitative Disclosures for AS'!E848)</f>
        <v/>
      </c>
      <c r="G28" s="1719" t="str">
        <f>+IF('Qualitative Disclosures for AS'!F848="","",'Qualitative Disclosures for AS'!F848)</f>
        <v/>
      </c>
      <c r="H28" s="1719" t="str">
        <f>+IF('Qualitative Disclosures for AS'!G848="","",'Qualitative Disclosures for AS'!G848)</f>
        <v/>
      </c>
      <c r="I28" s="1719" t="str">
        <f>+IF('Qualitative Disclosures for AS'!H848="","",'Qualitative Disclosures for AS'!H848)</f>
        <v/>
      </c>
      <c r="J28" s="1719" t="str">
        <f>+IF('Qualitative Disclosures for AS'!I848="","",'Qualitative Disclosures for AS'!I848)</f>
        <v/>
      </c>
    </row>
    <row r="29" spans="3:26" s="4" customFormat="1" hidden="1" x14ac:dyDescent="0.25">
      <c r="C29" s="907"/>
      <c r="D29" s="1719" t="str">
        <f>+IF('Qualitative Disclosures for AS'!C849="","",'Qualitative Disclosures for AS'!C849)</f>
        <v/>
      </c>
      <c r="E29" s="1719" t="str">
        <f>+IF('Qualitative Disclosures for AS'!D849="","",'Qualitative Disclosures for AS'!D849)</f>
        <v/>
      </c>
      <c r="F29" s="1719" t="str">
        <f>+IF('Qualitative Disclosures for AS'!E849="","",'Qualitative Disclosures for AS'!E849)</f>
        <v/>
      </c>
      <c r="G29" s="1719" t="str">
        <f>+IF('Qualitative Disclosures for AS'!F849="","",'Qualitative Disclosures for AS'!F849)</f>
        <v/>
      </c>
      <c r="H29" s="1719" t="str">
        <f>+IF('Qualitative Disclosures for AS'!G849="","",'Qualitative Disclosures for AS'!G849)</f>
        <v/>
      </c>
      <c r="I29" s="1719" t="str">
        <f>+IF('Qualitative Disclosures for AS'!H849="","",'Qualitative Disclosures for AS'!H849)</f>
        <v/>
      </c>
      <c r="J29" s="1719" t="str">
        <f>+IF('Qualitative Disclosures for AS'!I849="","",'Qualitative Disclosures for AS'!I849)</f>
        <v/>
      </c>
    </row>
    <row r="30" spans="3:26" x14ac:dyDescent="0.3">
      <c r="D30" s="2982"/>
      <c r="E30" s="2982"/>
      <c r="F30" s="2982"/>
      <c r="G30" s="2982"/>
      <c r="H30" s="2982"/>
      <c r="I30" s="2982"/>
      <c r="J30" s="2982"/>
    </row>
    <row r="31" spans="3:26" x14ac:dyDescent="0.3">
      <c r="C31" s="896">
        <f>+C23+0.01</f>
        <v>33.03</v>
      </c>
      <c r="D31" s="2988" t="str">
        <f>+IF('Qualitative Disclosures for AS'!C851="","",'Qualitative Disclosures for AS'!C851)</f>
        <v>Loans or Advances in the nature of loans granted to promoters, directors, KMPs and the related parties:</v>
      </c>
      <c r="E31" s="2988" t="str">
        <f>+IF('Qualitative Disclosures for AS'!D851="","",'Qualitative Disclosures for AS'!D851)</f>
        <v/>
      </c>
      <c r="F31" s="2988" t="str">
        <f>+IF('Qualitative Disclosures for AS'!E851="","",'Qualitative Disclosures for AS'!E851)</f>
        <v/>
      </c>
      <c r="G31" s="2988" t="str">
        <f>+IF('Qualitative Disclosures for AS'!F851="","",'Qualitative Disclosures for AS'!F851)</f>
        <v/>
      </c>
      <c r="H31" s="2988" t="str">
        <f>+IF('Qualitative Disclosures for AS'!G851="","",'Qualitative Disclosures for AS'!G851)</f>
        <v/>
      </c>
      <c r="I31" s="2988" t="str">
        <f>+IF('Qualitative Disclosures for AS'!H851="","",'Qualitative Disclosures for AS'!H851)</f>
        <v/>
      </c>
      <c r="J31" s="2988" t="str">
        <f>+IF('Qualitative Disclosures for AS'!I851="","",'Qualitative Disclosures for AS'!I851)</f>
        <v/>
      </c>
    </row>
    <row r="32" spans="3:26" x14ac:dyDescent="0.3">
      <c r="D32" s="551" t="str">
        <f>+'Qualitative Disclosures for AS'!C852</f>
        <v>The Company has not granted any loan to promoters, directors, KMP's and related parties.</v>
      </c>
      <c r="E32" s="181"/>
      <c r="F32" s="181"/>
      <c r="G32" s="181"/>
      <c r="H32" s="182"/>
      <c r="I32" s="181"/>
      <c r="J32" s="181"/>
    </row>
    <row r="33" spans="3:13" ht="17.25" hidden="1" thickBot="1" x14ac:dyDescent="0.35">
      <c r="D33" s="35"/>
      <c r="E33" s="2708" t="str">
        <f>+IF('Qualitative Disclosures for AS'!D855="","",'Qualitative Disclosures for AS'!D855)</f>
        <v>Current Period</v>
      </c>
      <c r="F33" s="2709" t="str">
        <f>+IF('Qualitative Disclosures for AS'!E855="","",'Qualitative Disclosures for AS'!E855)</f>
        <v/>
      </c>
      <c r="G33" s="2709" t="str">
        <f>+IF('Qualitative Disclosures for AS'!F855="","",'Qualitative Disclosures for AS'!F855)</f>
        <v>Previous Period</v>
      </c>
      <c r="H33" s="2710" t="str">
        <f>+IF('Qualitative Disclosures for AS'!G855="","",'Qualitative Disclosures for AS'!G855)</f>
        <v/>
      </c>
    </row>
    <row r="34" spans="3:13" s="30" customFormat="1" ht="75.75" hidden="1" thickBot="1" x14ac:dyDescent="0.3">
      <c r="C34" s="901"/>
      <c r="D34" s="898" t="str">
        <f>+IF('Qualitative Disclosures for AS'!C856="","",'Qualitative Disclosures for AS'!C856)</f>
        <v>Type of Borrower</v>
      </c>
      <c r="E34" s="899" t="str">
        <f>+IF('Qualitative Disclosures for AS'!D856="","",'Qualitative Disclosures for AS'!D856)</f>
        <v>Amount of loan or advance in the nature of loan outstanding</v>
      </c>
      <c r="F34" s="899" t="str">
        <f>+IF('Qualitative Disclosures for AS'!E856="","",'Qualitative Disclosures for AS'!E856)</f>
        <v>Percentage to the total Loans and Advances in the nature of loans</v>
      </c>
      <c r="G34" s="899" t="str">
        <f>+IF('Qualitative Disclosures for AS'!F856="","",'Qualitative Disclosures for AS'!F856)</f>
        <v>Amount of loan or advance in the nature of loan outstanding</v>
      </c>
      <c r="H34" s="900" t="str">
        <f>+IF('Qualitative Disclosures for AS'!G856="","",'Qualitative Disclosures for AS'!G856)</f>
        <v>Percentage to the total Loans and Advances in the nature of loans</v>
      </c>
      <c r="I34" s="5"/>
      <c r="J34" s="5"/>
    </row>
    <row r="35" spans="3:13" hidden="1" x14ac:dyDescent="0.3">
      <c r="D35" s="908" t="str">
        <f>+IF('Qualitative Disclosures for AS'!C857="","",'Qualitative Disclosures for AS'!C857)</f>
        <v>(a) repayable on demand</v>
      </c>
      <c r="E35" s="1784">
        <f>+IF('Qualitative Disclosures for AS'!D857="","",'Qualitative Disclosures for AS'!D857)</f>
        <v>0</v>
      </c>
      <c r="F35" s="1784">
        <f>+IF('Qualitative Disclosures for AS'!E857="","",'Qualitative Disclosures for AS'!E857)</f>
        <v>0</v>
      </c>
      <c r="G35" s="1784">
        <f>+IF('Qualitative Disclosures for AS'!F857="","",'Qualitative Disclosures for AS'!F857)</f>
        <v>0</v>
      </c>
      <c r="H35" s="1787">
        <f>+IF('Qualitative Disclosures for AS'!G857="","",'Qualitative Disclosures for AS'!G857)</f>
        <v>0</v>
      </c>
      <c r="M35" s="42"/>
    </row>
    <row r="36" spans="3:13" hidden="1" x14ac:dyDescent="0.3">
      <c r="D36" s="908" t="str">
        <f>+IF('Qualitative Disclosures for AS'!C858="","",'Qualitative Disclosures for AS'!C858)</f>
        <v>Promoters</v>
      </c>
      <c r="E36" s="1784">
        <f>+IF('Qualitative Disclosures for AS'!D858="","",'Qualitative Disclosures for AS'!D858)</f>
        <v>0</v>
      </c>
      <c r="F36" s="1784">
        <f>+IF('Qualitative Disclosures for AS'!E858="","",'Qualitative Disclosures for AS'!E858)</f>
        <v>0</v>
      </c>
      <c r="G36" s="1784">
        <f>+IF('Qualitative Disclosures for AS'!F858="","",'Qualitative Disclosures for AS'!F858)</f>
        <v>0</v>
      </c>
      <c r="H36" s="1787">
        <f>+IF('Qualitative Disclosures for AS'!G858="","",'Qualitative Disclosures for AS'!G858)</f>
        <v>0</v>
      </c>
      <c r="M36" s="42"/>
    </row>
    <row r="37" spans="3:13" hidden="1" x14ac:dyDescent="0.3">
      <c r="D37" s="908" t="str">
        <f>+IF('Qualitative Disclosures for AS'!C859="","",'Qualitative Disclosures for AS'!C859)</f>
        <v>Directors</v>
      </c>
      <c r="E37" s="1784">
        <f>+IF('Qualitative Disclosures for AS'!D859="","",'Qualitative Disclosures for AS'!D859)</f>
        <v>0</v>
      </c>
      <c r="F37" s="1784">
        <f>+IF('Qualitative Disclosures for AS'!E859="","",'Qualitative Disclosures for AS'!E859)</f>
        <v>0</v>
      </c>
      <c r="G37" s="1784">
        <f>+IF('Qualitative Disclosures for AS'!F859="","",'Qualitative Disclosures for AS'!F859)</f>
        <v>0</v>
      </c>
      <c r="H37" s="1787">
        <f>+IF('Qualitative Disclosures for AS'!G859="","",'Qualitative Disclosures for AS'!G859)</f>
        <v>0</v>
      </c>
      <c r="M37" s="42"/>
    </row>
    <row r="38" spans="3:13" hidden="1" x14ac:dyDescent="0.3">
      <c r="D38" s="908" t="str">
        <f>+IF('Qualitative Disclosures for AS'!C860="","",'Qualitative Disclosures for AS'!C860)</f>
        <v>KMPs</v>
      </c>
      <c r="E38" s="1784">
        <f>+IF('Qualitative Disclosures for AS'!D860="","",'Qualitative Disclosures for AS'!D860)</f>
        <v>0</v>
      </c>
      <c r="F38" s="1784">
        <f>+IF('Qualitative Disclosures for AS'!E860="","",'Qualitative Disclosures for AS'!E860)</f>
        <v>0</v>
      </c>
      <c r="G38" s="1784">
        <f>+IF('Qualitative Disclosures for AS'!F860="","",'Qualitative Disclosures for AS'!F860)</f>
        <v>0</v>
      </c>
      <c r="H38" s="1787">
        <f>+IF('Qualitative Disclosures for AS'!G860="","",'Qualitative Disclosures for AS'!G860)</f>
        <v>0</v>
      </c>
      <c r="M38" s="42"/>
    </row>
    <row r="39" spans="3:13" hidden="1" x14ac:dyDescent="0.3">
      <c r="D39" s="908" t="str">
        <f>+IF('Qualitative Disclosures for AS'!C861="","",'Qualitative Disclosures for AS'!C861)</f>
        <v>Related Parties</v>
      </c>
      <c r="E39" s="1784">
        <f>+IF('Qualitative Disclosures for AS'!D861="","",'Qualitative Disclosures for AS'!D861)</f>
        <v>0</v>
      </c>
      <c r="F39" s="1784">
        <f>+IF('Qualitative Disclosures for AS'!E861="","",'Qualitative Disclosures for AS'!E861)</f>
        <v>0</v>
      </c>
      <c r="G39" s="1784">
        <f>+IF('Qualitative Disclosures for AS'!F861="","",'Qualitative Disclosures for AS'!F861)</f>
        <v>0</v>
      </c>
      <c r="H39" s="1787">
        <f>+IF('Qualitative Disclosures for AS'!G861="","",'Qualitative Disclosures for AS'!G861)</f>
        <v>0</v>
      </c>
      <c r="M39" s="42"/>
    </row>
    <row r="40" spans="3:13" hidden="1" x14ac:dyDescent="0.3">
      <c r="D40" s="908" t="str">
        <f>+IF('Qualitative Disclosures for AS'!C862="","",'Qualitative Disclosures for AS'!C862)</f>
        <v/>
      </c>
      <c r="E40" s="1784">
        <f>+IF('Qualitative Disclosures for AS'!D862="","",'Qualitative Disclosures for AS'!D862)</f>
        <v>0</v>
      </c>
      <c r="F40" s="1784">
        <f>+IF('Qualitative Disclosures for AS'!E862="","",'Qualitative Disclosures for AS'!E862)</f>
        <v>0</v>
      </c>
      <c r="G40" s="1784">
        <f>+IF('Qualitative Disclosures for AS'!F862="","",'Qualitative Disclosures for AS'!F862)</f>
        <v>0</v>
      </c>
      <c r="H40" s="1787">
        <f>+IF('Qualitative Disclosures for AS'!G862="","",'Qualitative Disclosures for AS'!G862)</f>
        <v>0</v>
      </c>
      <c r="M40" s="42"/>
    </row>
    <row r="41" spans="3:13" s="30" customFormat="1" ht="33" hidden="1" x14ac:dyDescent="0.25">
      <c r="C41" s="901"/>
      <c r="D41" s="910" t="str">
        <f>+IF('Qualitative Disclosures for AS'!C863="","",'Qualitative Disclosures for AS'!C863)</f>
        <v>(b) without specifying any terms or period of repayment</v>
      </c>
      <c r="E41" s="2294">
        <f>+IF('Qualitative Disclosures for AS'!D863="","",'Qualitative Disclosures for AS'!D863)</f>
        <v>0</v>
      </c>
      <c r="F41" s="2294">
        <f>+IF('Qualitative Disclosures for AS'!E863="","",'Qualitative Disclosures for AS'!E863)</f>
        <v>0</v>
      </c>
      <c r="G41" s="2294">
        <f>+IF('Qualitative Disclosures for AS'!F863="","",'Qualitative Disclosures for AS'!F863)</f>
        <v>0</v>
      </c>
      <c r="H41" s="2295">
        <f>+IF('Qualitative Disclosures for AS'!G863="","",'Qualitative Disclosures for AS'!G863)</f>
        <v>0</v>
      </c>
      <c r="M41" s="42"/>
    </row>
    <row r="42" spans="3:13" hidden="1" x14ac:dyDescent="0.3">
      <c r="D42" s="908" t="str">
        <f>+IF('Qualitative Disclosures for AS'!C864="","",'Qualitative Disclosures for AS'!C864)</f>
        <v>Promoters</v>
      </c>
      <c r="E42" s="1784">
        <f>+IF('Qualitative Disclosures for AS'!D864="","",'Qualitative Disclosures for AS'!D864)</f>
        <v>0</v>
      </c>
      <c r="F42" s="1784">
        <f>+IF('Qualitative Disclosures for AS'!E864="","",'Qualitative Disclosures for AS'!E864)</f>
        <v>0</v>
      </c>
      <c r="G42" s="1784">
        <f>+IF('Qualitative Disclosures for AS'!F864="","",'Qualitative Disclosures for AS'!F864)</f>
        <v>0</v>
      </c>
      <c r="H42" s="1787">
        <f>+IF('Qualitative Disclosures for AS'!G864="","",'Qualitative Disclosures for AS'!G864)</f>
        <v>0</v>
      </c>
      <c r="M42" s="42"/>
    </row>
    <row r="43" spans="3:13" hidden="1" x14ac:dyDescent="0.3">
      <c r="D43" s="908" t="str">
        <f>+IF('Qualitative Disclosures for AS'!C865="","",'Qualitative Disclosures for AS'!C865)</f>
        <v>Directors</v>
      </c>
      <c r="E43" s="1784">
        <f>+IF('Qualitative Disclosures for AS'!D865="","",'Qualitative Disclosures for AS'!D865)</f>
        <v>0</v>
      </c>
      <c r="F43" s="1784">
        <f>+IF('Qualitative Disclosures for AS'!E865="","",'Qualitative Disclosures for AS'!E865)</f>
        <v>0</v>
      </c>
      <c r="G43" s="1784">
        <f>+IF('Qualitative Disclosures for AS'!F865="","",'Qualitative Disclosures for AS'!F865)</f>
        <v>0</v>
      </c>
      <c r="H43" s="1787">
        <f>+IF('Qualitative Disclosures for AS'!G865="","",'Qualitative Disclosures for AS'!G865)</f>
        <v>0</v>
      </c>
      <c r="M43" s="42"/>
    </row>
    <row r="44" spans="3:13" hidden="1" x14ac:dyDescent="0.3">
      <c r="D44" s="908" t="str">
        <f>+IF('Qualitative Disclosures for AS'!C866="","",'Qualitative Disclosures for AS'!C866)</f>
        <v>KMPs</v>
      </c>
      <c r="E44" s="1784">
        <f>+IF('Qualitative Disclosures for AS'!D866="","",'Qualitative Disclosures for AS'!D866)</f>
        <v>0</v>
      </c>
      <c r="F44" s="1784">
        <f>+IF('Qualitative Disclosures for AS'!E866="","",'Qualitative Disclosures for AS'!E866)</f>
        <v>0</v>
      </c>
      <c r="G44" s="1784">
        <f>+IF('Qualitative Disclosures for AS'!F866="","",'Qualitative Disclosures for AS'!F866)</f>
        <v>0</v>
      </c>
      <c r="H44" s="1787">
        <f>+IF('Qualitative Disclosures for AS'!G866="","",'Qualitative Disclosures for AS'!G866)</f>
        <v>0</v>
      </c>
      <c r="M44" s="42"/>
    </row>
    <row r="45" spans="3:13" ht="17.25" hidden="1" thickBot="1" x14ac:dyDescent="0.35">
      <c r="D45" s="911" t="str">
        <f>+IF('Qualitative Disclosures for AS'!C867="","",'Qualitative Disclosures for AS'!C867)</f>
        <v>Related Parties</v>
      </c>
      <c r="E45" s="1788">
        <f>+IF('Qualitative Disclosures for AS'!D867="","",'Qualitative Disclosures for AS'!D867)</f>
        <v>0</v>
      </c>
      <c r="F45" s="1788">
        <f>+IF('Qualitative Disclosures for AS'!E867="","",'Qualitative Disclosures for AS'!E867)</f>
        <v>0</v>
      </c>
      <c r="G45" s="1788">
        <f>+IF('Qualitative Disclosures for AS'!F867="","",'Qualitative Disclosures for AS'!F867)</f>
        <v>0</v>
      </c>
      <c r="H45" s="1789">
        <f>+IF('Qualitative Disclosures for AS'!G867="","",'Qualitative Disclosures for AS'!G867)</f>
        <v>0</v>
      </c>
      <c r="M45" s="42"/>
    </row>
    <row r="46" spans="3:13" hidden="1" x14ac:dyDescent="0.3">
      <c r="M46" s="42"/>
    </row>
    <row r="47" spans="3:13" hidden="1" x14ac:dyDescent="0.3">
      <c r="D47" s="1440" t="str">
        <f>+IF('Qualitative Disclosures for AS'!C869="","",'Qualitative Disclosures for AS'!C869)</f>
        <v/>
      </c>
      <c r="E47" s="1440" t="str">
        <f>+IF('Qualitative Disclosures for AS'!D869="","",'Qualitative Disclosures for AS'!D869)</f>
        <v/>
      </c>
      <c r="F47" s="1440" t="str">
        <f>+IF('Qualitative Disclosures for AS'!E869="","",'Qualitative Disclosures for AS'!E869)</f>
        <v/>
      </c>
      <c r="G47" s="1440" t="str">
        <f>+IF('Qualitative Disclosures for AS'!F869="","",'Qualitative Disclosures for AS'!F869)</f>
        <v/>
      </c>
      <c r="H47" s="1440" t="str">
        <f>+IF('Qualitative Disclosures for AS'!G869="","",'Qualitative Disclosures for AS'!G869)</f>
        <v/>
      </c>
      <c r="I47" s="1440" t="str">
        <f>+IF('Qualitative Disclosures for AS'!H869="","",'Qualitative Disclosures for AS'!H869)</f>
        <v/>
      </c>
      <c r="J47" s="1440" t="str">
        <f>+IF('Qualitative Disclosures for AS'!I869="","",'Qualitative Disclosures for AS'!I869)</f>
        <v/>
      </c>
      <c r="M47" s="42"/>
    </row>
    <row r="48" spans="3:13" hidden="1" x14ac:dyDescent="0.3">
      <c r="D48" s="1440" t="str">
        <f>+IF('Qualitative Disclosures for AS'!C870="","",'Qualitative Disclosures for AS'!C870)</f>
        <v/>
      </c>
      <c r="E48" s="1440" t="str">
        <f>+IF('Qualitative Disclosures for AS'!D870="","",'Qualitative Disclosures for AS'!D870)</f>
        <v/>
      </c>
      <c r="F48" s="1440" t="str">
        <f>+IF('Qualitative Disclosures for AS'!E870="","",'Qualitative Disclosures for AS'!E870)</f>
        <v/>
      </c>
      <c r="G48" s="1440" t="str">
        <f>+IF('Qualitative Disclosures for AS'!F870="","",'Qualitative Disclosures for AS'!F870)</f>
        <v/>
      </c>
      <c r="H48" s="1440" t="str">
        <f>+IF('Qualitative Disclosures for AS'!G870="","",'Qualitative Disclosures for AS'!G870)</f>
        <v/>
      </c>
      <c r="I48" s="1440" t="str">
        <f>+IF('Qualitative Disclosures for AS'!H870="","",'Qualitative Disclosures for AS'!H870)</f>
        <v/>
      </c>
      <c r="J48" s="1440" t="str">
        <f>+IF('Qualitative Disclosures for AS'!I870="","",'Qualitative Disclosures for AS'!I870)</f>
        <v/>
      </c>
      <c r="M48" s="42"/>
    </row>
    <row r="49" spans="3:16" hidden="1" x14ac:dyDescent="0.3">
      <c r="D49" s="1440" t="str">
        <f>+IF('Qualitative Disclosures for AS'!C871="","",'Qualitative Disclosures for AS'!C871)</f>
        <v/>
      </c>
      <c r="E49" s="1440" t="str">
        <f>+IF('Qualitative Disclosures for AS'!D871="","",'Qualitative Disclosures for AS'!D871)</f>
        <v/>
      </c>
      <c r="F49" s="1440" t="str">
        <f>+IF('Qualitative Disclosures for AS'!E871="","",'Qualitative Disclosures for AS'!E871)</f>
        <v/>
      </c>
      <c r="G49" s="1440" t="str">
        <f>+IF('Qualitative Disclosures for AS'!F871="","",'Qualitative Disclosures for AS'!F871)</f>
        <v/>
      </c>
      <c r="H49" s="1440" t="str">
        <f>+IF('Qualitative Disclosures for AS'!G871="","",'Qualitative Disclosures for AS'!G871)</f>
        <v/>
      </c>
      <c r="I49" s="1440" t="str">
        <f>+IF('Qualitative Disclosures for AS'!H871="","",'Qualitative Disclosures for AS'!H871)</f>
        <v/>
      </c>
      <c r="J49" s="1440" t="str">
        <f>+IF('Qualitative Disclosures for AS'!I871="","",'Qualitative Disclosures for AS'!I871)</f>
        <v/>
      </c>
      <c r="M49" s="42"/>
    </row>
    <row r="50" spans="3:16" hidden="1" x14ac:dyDescent="0.3">
      <c r="D50" s="1440" t="str">
        <f>+IF('Qualitative Disclosures for AS'!C872="","",'Qualitative Disclosures for AS'!C872)</f>
        <v/>
      </c>
      <c r="E50" s="1440" t="str">
        <f>+IF('Qualitative Disclosures for AS'!D872="","",'Qualitative Disclosures for AS'!D872)</f>
        <v/>
      </c>
      <c r="F50" s="1440" t="str">
        <f>+IF('Qualitative Disclosures for AS'!E872="","",'Qualitative Disclosures for AS'!E872)</f>
        <v/>
      </c>
      <c r="G50" s="1440" t="str">
        <f>+IF('Qualitative Disclosures for AS'!F872="","",'Qualitative Disclosures for AS'!F872)</f>
        <v/>
      </c>
      <c r="H50" s="1440" t="str">
        <f>+IF('Qualitative Disclosures for AS'!G872="","",'Qualitative Disclosures for AS'!G872)</f>
        <v/>
      </c>
      <c r="I50" s="1440" t="str">
        <f>+IF('Qualitative Disclosures for AS'!H872="","",'Qualitative Disclosures for AS'!H872)</f>
        <v/>
      </c>
      <c r="J50" s="1440" t="str">
        <f>+IF('Qualitative Disclosures for AS'!I872="","",'Qualitative Disclosures for AS'!I872)</f>
        <v/>
      </c>
      <c r="M50" s="42"/>
    </row>
    <row r="51" spans="3:16" hidden="1" x14ac:dyDescent="0.3">
      <c r="D51" s="1440" t="str">
        <f>+IF('Qualitative Disclosures for AS'!C873="","",'Qualitative Disclosures for AS'!C873)</f>
        <v/>
      </c>
      <c r="E51" s="1440" t="str">
        <f>+IF('Qualitative Disclosures for AS'!D873="","",'Qualitative Disclosures for AS'!D873)</f>
        <v/>
      </c>
      <c r="F51" s="1440" t="str">
        <f>+IF('Qualitative Disclosures for AS'!E873="","",'Qualitative Disclosures for AS'!E873)</f>
        <v/>
      </c>
      <c r="G51" s="1440" t="str">
        <f>+IF('Qualitative Disclosures for AS'!F873="","",'Qualitative Disclosures for AS'!F873)</f>
        <v/>
      </c>
      <c r="H51" s="1440" t="str">
        <f>+IF('Qualitative Disclosures for AS'!G873="","",'Qualitative Disclosures for AS'!G873)</f>
        <v/>
      </c>
      <c r="I51" s="1440" t="str">
        <f>+IF('Qualitative Disclosures for AS'!H873="","",'Qualitative Disclosures for AS'!H873)</f>
        <v/>
      </c>
      <c r="J51" s="1440" t="str">
        <f>+IF('Qualitative Disclosures for AS'!I873="","",'Qualitative Disclosures for AS'!I873)</f>
        <v/>
      </c>
      <c r="M51" s="42"/>
    </row>
    <row r="52" spans="3:16" hidden="1" x14ac:dyDescent="0.3">
      <c r="D52" s="1440" t="str">
        <f>+IF('Qualitative Disclosures for AS'!C874="","",'Qualitative Disclosures for AS'!C874)</f>
        <v/>
      </c>
      <c r="E52" s="1440" t="str">
        <f>+IF('Qualitative Disclosures for AS'!D874="","",'Qualitative Disclosures for AS'!D874)</f>
        <v/>
      </c>
      <c r="F52" s="1440" t="str">
        <f>+IF('Qualitative Disclosures for AS'!E874="","",'Qualitative Disclosures for AS'!E874)</f>
        <v/>
      </c>
      <c r="G52" s="1440" t="str">
        <f>+IF('Qualitative Disclosures for AS'!F874="","",'Qualitative Disclosures for AS'!F874)</f>
        <v/>
      </c>
      <c r="H52" s="1440" t="str">
        <f>+IF('Qualitative Disclosures for AS'!G874="","",'Qualitative Disclosures for AS'!G874)</f>
        <v/>
      </c>
      <c r="I52" s="1440" t="str">
        <f>+IF('Qualitative Disclosures for AS'!H874="","",'Qualitative Disclosures for AS'!H874)</f>
        <v/>
      </c>
      <c r="J52" s="1440" t="str">
        <f>+IF('Qualitative Disclosures for AS'!I874="","",'Qualitative Disclosures for AS'!I874)</f>
        <v/>
      </c>
      <c r="M52" s="42"/>
    </row>
    <row r="54" spans="3:16" x14ac:dyDescent="0.3">
      <c r="C54" s="896">
        <f>+C31+0.01</f>
        <v>33.04</v>
      </c>
      <c r="D54" s="4" t="str">
        <f>+IF('Qualitative Disclosures for AS'!C876="","",'Qualitative Disclosures for AS'!C876)</f>
        <v>Capital work-in-progress (CWIP) ageing schedule / completion schedule :</v>
      </c>
    </row>
    <row r="55" spans="3:16" x14ac:dyDescent="0.3">
      <c r="D55" s="1" t="str">
        <f>+'Qualitative Disclosures for AS'!C878</f>
        <v>The Company does not have any Capital work-in-progress as on year end.</v>
      </c>
    </row>
    <row r="56" spans="3:16" hidden="1" x14ac:dyDescent="0.3">
      <c r="C56" s="896" t="str">
        <f>+'Master Data'!L14</f>
        <v>(a)</v>
      </c>
      <c r="D56" s="1" t="str">
        <f>+IF('Qualitative Disclosures for AS'!C880="","",'Qualitative Disclosures for AS'!C880)</f>
        <v>CWIP ageing schedule</v>
      </c>
    </row>
    <row r="57" spans="3:16" ht="17.25" hidden="1" thickBot="1" x14ac:dyDescent="0.35">
      <c r="C57" s="914"/>
      <c r="D57" s="4" t="str">
        <f>+'Qualitative Disclosures for AS'!C881</f>
        <v>CWIP ageing schedule As At 31st March 2025</v>
      </c>
      <c r="I57" s="182" t="str">
        <f>+IF('Qualitative Disclosures for AS'!H881="","",'Qualitative Disclosures for AS'!H881)</f>
        <v>(Amount in Rs.)</v>
      </c>
      <c r="K57" s="4" t="str">
        <f>+'Qualitative Disclosures for AS'!J881</f>
        <v>CWIP ageing schedule As At 31st March 2024</v>
      </c>
      <c r="P57" s="182" t="str">
        <f>+IF('Qualitative Disclosures for AS'!O881="","",'Qualitative Disclosures for AS'!O881)</f>
        <v>(Amount in Rs.)</v>
      </c>
    </row>
    <row r="58" spans="3:16" hidden="1" x14ac:dyDescent="0.3">
      <c r="D58" s="2990" t="str">
        <f>+IF('Qualitative Disclosures for AS'!C882="","",'Qualitative Disclosures for AS'!C882)</f>
        <v>CWIP</v>
      </c>
      <c r="E58" s="2992" t="str">
        <f>+IF('Qualitative Disclosures for AS'!D882="","",'Qualitative Disclosures for AS'!D882)</f>
        <v>Amount in CWIP for a period of</v>
      </c>
      <c r="F58" s="2992" t="str">
        <f>+IF('Qualitative Disclosures for AS'!E882="","",'Qualitative Disclosures for AS'!E882)</f>
        <v/>
      </c>
      <c r="G58" s="2992" t="str">
        <f>+IF('Qualitative Disclosures for AS'!F882="","",'Qualitative Disclosures for AS'!F882)</f>
        <v/>
      </c>
      <c r="H58" s="2992" t="str">
        <f>+IF('Qualitative Disclosures for AS'!G882="","",'Qualitative Disclosures for AS'!G882)</f>
        <v/>
      </c>
      <c r="I58" s="2986" t="str">
        <f>+IF('Qualitative Disclosures for AS'!H882="","",'Qualitative Disclosures for AS'!H882)</f>
        <v>Total*</v>
      </c>
      <c r="K58" s="2990" t="str">
        <f>+IF('Qualitative Disclosures for AS'!J882="","",'Qualitative Disclosures for AS'!J882)</f>
        <v>CWIP</v>
      </c>
      <c r="L58" s="2992" t="str">
        <f>+IF('Qualitative Disclosures for AS'!K882="","",'Qualitative Disclosures for AS'!K882)</f>
        <v>Amount in CWIP for a period of</v>
      </c>
      <c r="M58" s="2992" t="str">
        <f>+IF('Qualitative Disclosures for AS'!L882="","",'Qualitative Disclosures for AS'!L882)</f>
        <v/>
      </c>
      <c r="N58" s="2992" t="str">
        <f>+IF('Qualitative Disclosures for AS'!M882="","",'Qualitative Disclosures for AS'!M882)</f>
        <v/>
      </c>
      <c r="O58" s="2992" t="str">
        <f>+IF('Qualitative Disclosures for AS'!N882="","",'Qualitative Disclosures for AS'!N882)</f>
        <v/>
      </c>
      <c r="P58" s="2986" t="str">
        <f>+IF('Qualitative Disclosures for AS'!O882="","",'Qualitative Disclosures for AS'!O882)</f>
        <v>Total*</v>
      </c>
    </row>
    <row r="59" spans="3:16" hidden="1" x14ac:dyDescent="0.3">
      <c r="D59" s="2991" t="str">
        <f>+IF('Qualitative Disclosures for AS'!C883="","",'Qualitative Disclosures for AS'!C883)</f>
        <v/>
      </c>
      <c r="E59" s="187" t="str">
        <f>+IF('Qualitative Disclosures for AS'!D883="","",'Qualitative Disclosures for AS'!D883)</f>
        <v>Less than 1 year</v>
      </c>
      <c r="F59" s="187" t="str">
        <f>+IF('Qualitative Disclosures for AS'!E883="","",'Qualitative Disclosures for AS'!E883)</f>
        <v>1-2 years</v>
      </c>
      <c r="G59" s="187" t="str">
        <f>+IF('Qualitative Disclosures for AS'!F883="","",'Qualitative Disclosures for AS'!F883)</f>
        <v>2-3 years</v>
      </c>
      <c r="H59" s="187" t="str">
        <f>+IF('Qualitative Disclosures for AS'!G883="","",'Qualitative Disclosures for AS'!G883)</f>
        <v>More than 3 years</v>
      </c>
      <c r="I59" s="2987" t="str">
        <f>+IF('Qualitative Disclosures for AS'!H883="","",'Qualitative Disclosures for AS'!H883)</f>
        <v/>
      </c>
      <c r="K59" s="2991" t="str">
        <f>+IF('Qualitative Disclosures for AS'!J883="","",'Qualitative Disclosures for AS'!J883)</f>
        <v/>
      </c>
      <c r="L59" s="187" t="str">
        <f>+IF('Qualitative Disclosures for AS'!K883="","",'Qualitative Disclosures for AS'!K883)</f>
        <v>Less than 1 year</v>
      </c>
      <c r="M59" s="187" t="str">
        <f>+IF('Qualitative Disclosures for AS'!L883="","",'Qualitative Disclosures for AS'!L883)</f>
        <v>1-2 years</v>
      </c>
      <c r="N59" s="187" t="str">
        <f>+IF('Qualitative Disclosures for AS'!M883="","",'Qualitative Disclosures for AS'!M883)</f>
        <v>2-3 years</v>
      </c>
      <c r="O59" s="187" t="str">
        <f>+IF('Qualitative Disclosures for AS'!N883="","",'Qualitative Disclosures for AS'!N883)</f>
        <v>More than 3 years</v>
      </c>
      <c r="P59" s="2987" t="str">
        <f>+IF('Qualitative Disclosures for AS'!O883="","",'Qualitative Disclosures for AS'!O883)</f>
        <v/>
      </c>
    </row>
    <row r="60" spans="3:16" hidden="1" x14ac:dyDescent="0.3">
      <c r="D60" s="908" t="str">
        <f>+IF('Qualitative Disclosures for AS'!C884="","",'Qualitative Disclosures for AS'!C884)</f>
        <v>Projects in progress</v>
      </c>
      <c r="E60" s="1784">
        <f>+IF('Qualitative Disclosures for AS'!D884="","",'Qualitative Disclosures for AS'!D884)</f>
        <v>0</v>
      </c>
      <c r="F60" s="1784">
        <f>+IF('Qualitative Disclosures for AS'!E884="","",'Qualitative Disclosures for AS'!E884)</f>
        <v>0</v>
      </c>
      <c r="G60" s="1784">
        <f>+IF('Qualitative Disclosures for AS'!F884="","",'Qualitative Disclosures for AS'!F884)</f>
        <v>0</v>
      </c>
      <c r="H60" s="1784">
        <f>+IF('Qualitative Disclosures for AS'!G884="","",'Qualitative Disclosures for AS'!G884)</f>
        <v>0</v>
      </c>
      <c r="I60" s="1787">
        <f>+IF('Qualitative Disclosures for AS'!H884="","",'Qualitative Disclosures for AS'!H884)</f>
        <v>0</v>
      </c>
      <c r="K60" s="908" t="str">
        <f>+IF('Qualitative Disclosures for AS'!J884="","",'Qualitative Disclosures for AS'!J884)</f>
        <v>Projects in progress</v>
      </c>
      <c r="L60" s="1784">
        <f>+IF('Qualitative Disclosures for AS'!K884="","",'Qualitative Disclosures for AS'!K884)</f>
        <v>0</v>
      </c>
      <c r="M60" s="1784">
        <f>+IF('Qualitative Disclosures for AS'!L884="","",'Qualitative Disclosures for AS'!L884)</f>
        <v>0</v>
      </c>
      <c r="N60" s="1784">
        <f>+IF('Qualitative Disclosures for AS'!M884="","",'Qualitative Disclosures for AS'!M884)</f>
        <v>0</v>
      </c>
      <c r="O60" s="1784">
        <f>+IF('Qualitative Disclosures for AS'!N884="","",'Qualitative Disclosures for AS'!N884)</f>
        <v>0</v>
      </c>
      <c r="P60" s="1787">
        <f>+SUM(L60:O60)</f>
        <v>0</v>
      </c>
    </row>
    <row r="61" spans="3:16" hidden="1" x14ac:dyDescent="0.3">
      <c r="D61" s="915" t="str">
        <f>+IF('Qualitative Disclosures for AS'!C885="","",'Qualitative Disclosures for AS'!C885)</f>
        <v>Projects temporarily suspended</v>
      </c>
      <c r="E61" s="2296">
        <f>+IF('Qualitative Disclosures for AS'!D885="","",'Qualitative Disclosures for AS'!D885)</f>
        <v>0</v>
      </c>
      <c r="F61" s="2296">
        <f>+IF('Qualitative Disclosures for AS'!E885="","",'Qualitative Disclosures for AS'!E885)</f>
        <v>0</v>
      </c>
      <c r="G61" s="2296">
        <f>+IF('Qualitative Disclosures for AS'!F885="","",'Qualitative Disclosures for AS'!F885)</f>
        <v>0</v>
      </c>
      <c r="H61" s="2296">
        <f>+IF('Qualitative Disclosures for AS'!G885="","",'Qualitative Disclosures for AS'!G885)</f>
        <v>0</v>
      </c>
      <c r="I61" s="2291">
        <f>+IF('Qualitative Disclosures for AS'!H885="","",'Qualitative Disclosures for AS'!H885)</f>
        <v>0</v>
      </c>
      <c r="K61" s="915" t="str">
        <f>+IF('Qualitative Disclosures for AS'!J885="","",'Qualitative Disclosures for AS'!J885)</f>
        <v>Projects temporarily suspended</v>
      </c>
      <c r="L61" s="2296">
        <f>+IF('Qualitative Disclosures for AS'!K885="","",'Qualitative Disclosures for AS'!K885)</f>
        <v>0</v>
      </c>
      <c r="M61" s="2296">
        <f>+IF('Qualitative Disclosures for AS'!L885="","",'Qualitative Disclosures for AS'!L885)</f>
        <v>0</v>
      </c>
      <c r="N61" s="2296">
        <f>+IF('Qualitative Disclosures for AS'!M885="","",'Qualitative Disclosures for AS'!M885)</f>
        <v>0</v>
      </c>
      <c r="O61" s="2296">
        <f>+IF('Qualitative Disclosures for AS'!N885="","",'Qualitative Disclosures for AS'!N885)</f>
        <v>0</v>
      </c>
      <c r="P61" s="1787">
        <f>+SUM(L61:O61)</f>
        <v>0</v>
      </c>
    </row>
    <row r="62" spans="3:16" ht="17.25" hidden="1" thickBot="1" x14ac:dyDescent="0.35">
      <c r="D62" s="911" t="str">
        <f>+IF('Qualitative Disclosures for AS'!C886="","",'Qualitative Disclosures for AS'!C886)</f>
        <v>Total</v>
      </c>
      <c r="E62" s="1788">
        <f>+IF('Qualitative Disclosures for AS'!D886="","",'Qualitative Disclosures for AS'!D886)</f>
        <v>0</v>
      </c>
      <c r="F62" s="1788">
        <f>+IF('Qualitative Disclosures for AS'!E886="","",'Qualitative Disclosures for AS'!E886)</f>
        <v>0</v>
      </c>
      <c r="G62" s="1788">
        <f>+IF('Qualitative Disclosures for AS'!F886="","",'Qualitative Disclosures for AS'!F886)</f>
        <v>0</v>
      </c>
      <c r="H62" s="1788">
        <f>+IF('Qualitative Disclosures for AS'!G886="","",'Qualitative Disclosures for AS'!G886)</f>
        <v>0</v>
      </c>
      <c r="I62" s="1789">
        <f>+IF('Qualitative Disclosures for AS'!H886="","",'Qualitative Disclosures for AS'!H886)</f>
        <v>0</v>
      </c>
      <c r="K62" s="911" t="str">
        <f>+IF('Qualitative Disclosures for AS'!J886="","",'Qualitative Disclosures for AS'!J886)</f>
        <v>Total</v>
      </c>
      <c r="L62" s="1788">
        <f>+IF('Qualitative Disclosures for AS'!K886="","",'Qualitative Disclosures for AS'!K886)</f>
        <v>0</v>
      </c>
      <c r="M62" s="1788">
        <f>+IF('Qualitative Disclosures for AS'!L886="","",'Qualitative Disclosures for AS'!L886)</f>
        <v>0</v>
      </c>
      <c r="N62" s="1788">
        <f>+IF('Qualitative Disclosures for AS'!M886="","",'Qualitative Disclosures for AS'!M886)</f>
        <v>0</v>
      </c>
      <c r="O62" s="1788">
        <f>+IF('Qualitative Disclosures for AS'!N886="","",'Qualitative Disclosures for AS'!N886)</f>
        <v>0</v>
      </c>
      <c r="P62" s="1789">
        <f>+IF('Qualitative Disclosures for AS'!O886="","",'Qualitative Disclosures for AS'!O886)</f>
        <v>0</v>
      </c>
    </row>
    <row r="63" spans="3:16" ht="409.5" hidden="1" x14ac:dyDescent="0.3">
      <c r="D63" s="35" t="str">
        <f>+IF('Qualitative Disclosures for AS'!C887="","",'Qualitative Disclosures for AS'!C887)</f>
        <v>*Total shall tally with CWIP amount in the balance sheet.</v>
      </c>
      <c r="E63" s="1" t="str">
        <f>+IF('Qualitative Disclosures for AS'!D887="","",'Qualitative Disclosures for AS'!D887)</f>
        <v/>
      </c>
      <c r="F63" s="1" t="str">
        <f>+IF('Qualitative Disclosures for AS'!E887="","",'Qualitative Disclosures for AS'!E887)</f>
        <v/>
      </c>
      <c r="G63" s="1" t="str">
        <f>+IF('Qualitative Disclosures for AS'!F887="","",'Qualitative Disclosures for AS'!F887)</f>
        <v/>
      </c>
      <c r="H63" s="1" t="str">
        <f>+IF('Qualitative Disclosures for AS'!G887="","",'Qualitative Disclosures for AS'!G887)</f>
        <v/>
      </c>
      <c r="I63" s="1" t="str">
        <f>+IF('Qualitative Disclosures for AS'!H887="","",'Qualitative Disclosures for AS'!H887)</f>
        <v/>
      </c>
      <c r="K63" s="35" t="str">
        <f>+IF('Qualitative Disclosures for AS'!J887="","",'Qualitative Disclosures for AS'!J887)</f>
        <v>*Total shall tally with CWIP amount in the balance sheet.</v>
      </c>
      <c r="L63" s="1" t="str">
        <f>+IF('Qualitative Disclosures for AS'!K887="","",'Qualitative Disclosures for AS'!K887)</f>
        <v/>
      </c>
      <c r="M63" s="1" t="str">
        <f>+IF('Qualitative Disclosures for AS'!L887="","",'Qualitative Disclosures for AS'!L887)</f>
        <v/>
      </c>
      <c r="N63" s="1" t="str">
        <f>+IF('Qualitative Disclosures for AS'!M887="","",'Qualitative Disclosures for AS'!M887)</f>
        <v/>
      </c>
      <c r="O63" s="1" t="str">
        <f>+IF('Qualitative Disclosures for AS'!N887="","",'Qualitative Disclosures for AS'!N887)</f>
        <v/>
      </c>
      <c r="P63" s="1" t="str">
        <f>+IF('Qualitative Disclosures for AS'!O887="","",'Qualitative Disclosures for AS'!O887)</f>
        <v/>
      </c>
    </row>
    <row r="64" spans="3:16" hidden="1" x14ac:dyDescent="0.3">
      <c r="D64" s="35"/>
      <c r="M64" s="42"/>
    </row>
    <row r="65" spans="3:13" hidden="1" x14ac:dyDescent="0.3">
      <c r="D65" s="1720" t="str">
        <f>+IF('Qualitative Disclosures for AS'!C901="","",'Qualitative Disclosures for AS'!C901)</f>
        <v/>
      </c>
      <c r="E65" s="1440" t="str">
        <f>+IF('Qualitative Disclosures for AS'!D901="","",'Qualitative Disclosures for AS'!D901)</f>
        <v/>
      </c>
      <c r="F65" s="1440" t="str">
        <f>+IF('Qualitative Disclosures for AS'!E901="","",'Qualitative Disclosures for AS'!E901)</f>
        <v/>
      </c>
      <c r="G65" s="1440" t="str">
        <f>+IF('Qualitative Disclosures for AS'!F901="","",'Qualitative Disclosures for AS'!F901)</f>
        <v/>
      </c>
      <c r="H65" s="1440" t="str">
        <f>+IF('Qualitative Disclosures for AS'!G901="","",'Qualitative Disclosures for AS'!G901)</f>
        <v/>
      </c>
      <c r="I65" s="1440" t="str">
        <f>+IF('Qualitative Disclosures for AS'!H901="","",'Qualitative Disclosures for AS'!H901)</f>
        <v/>
      </c>
      <c r="J65" s="1440" t="str">
        <f>+IF('Qualitative Disclosures for AS'!I901="","",'Qualitative Disclosures for AS'!I901)</f>
        <v/>
      </c>
      <c r="M65" s="42"/>
    </row>
    <row r="66" spans="3:13" hidden="1" x14ac:dyDescent="0.3">
      <c r="D66" s="1720" t="str">
        <f>+IF('Qualitative Disclosures for AS'!C902="","",'Qualitative Disclosures for AS'!C902)</f>
        <v/>
      </c>
      <c r="E66" s="1440" t="str">
        <f>+IF('Qualitative Disclosures for AS'!D902="","",'Qualitative Disclosures for AS'!D902)</f>
        <v/>
      </c>
      <c r="F66" s="1440" t="str">
        <f>+IF('Qualitative Disclosures for AS'!E902="","",'Qualitative Disclosures for AS'!E902)</f>
        <v/>
      </c>
      <c r="G66" s="1440" t="str">
        <f>+IF('Qualitative Disclosures for AS'!F902="","",'Qualitative Disclosures for AS'!F902)</f>
        <v/>
      </c>
      <c r="H66" s="1440" t="str">
        <f>+IF('Qualitative Disclosures for AS'!G902="","",'Qualitative Disclosures for AS'!G902)</f>
        <v/>
      </c>
      <c r="I66" s="1440" t="str">
        <f>+IF('Qualitative Disclosures for AS'!H902="","",'Qualitative Disclosures for AS'!H902)</f>
        <v/>
      </c>
      <c r="J66" s="1440" t="str">
        <f>+IF('Qualitative Disclosures for AS'!I902="","",'Qualitative Disclosures for AS'!I902)</f>
        <v/>
      </c>
      <c r="M66" s="42"/>
    </row>
    <row r="67" spans="3:13" hidden="1" x14ac:dyDescent="0.3">
      <c r="D67" s="1720" t="str">
        <f>+IF('Qualitative Disclosures for AS'!C903="","",'Qualitative Disclosures for AS'!C903)</f>
        <v/>
      </c>
      <c r="E67" s="1440" t="str">
        <f>+IF('Qualitative Disclosures for AS'!D903="","",'Qualitative Disclosures for AS'!D903)</f>
        <v/>
      </c>
      <c r="F67" s="1440" t="str">
        <f>+IF('Qualitative Disclosures for AS'!E903="","",'Qualitative Disclosures for AS'!E903)</f>
        <v/>
      </c>
      <c r="G67" s="1440" t="str">
        <f>+IF('Qualitative Disclosures for AS'!F903="","",'Qualitative Disclosures for AS'!F903)</f>
        <v/>
      </c>
      <c r="H67" s="1440" t="str">
        <f>+IF('Qualitative Disclosures for AS'!G903="","",'Qualitative Disclosures for AS'!G903)</f>
        <v/>
      </c>
      <c r="I67" s="1440" t="str">
        <f>+IF('Qualitative Disclosures for AS'!H903="","",'Qualitative Disclosures for AS'!H903)</f>
        <v/>
      </c>
      <c r="J67" s="1440" t="str">
        <f>+IF('Qualitative Disclosures for AS'!I903="","",'Qualitative Disclosures for AS'!I903)</f>
        <v/>
      </c>
      <c r="M67" s="42"/>
    </row>
    <row r="68" spans="3:13" hidden="1" x14ac:dyDescent="0.3">
      <c r="D68" s="1720" t="str">
        <f>+IF('Qualitative Disclosures for AS'!C904="","",'Qualitative Disclosures for AS'!C904)</f>
        <v/>
      </c>
      <c r="E68" s="1440" t="str">
        <f>+IF('Qualitative Disclosures for AS'!D904="","",'Qualitative Disclosures for AS'!D904)</f>
        <v/>
      </c>
      <c r="F68" s="1440" t="str">
        <f>+IF('Qualitative Disclosures for AS'!E904="","",'Qualitative Disclosures for AS'!E904)</f>
        <v/>
      </c>
      <c r="G68" s="1440" t="str">
        <f>+IF('Qualitative Disclosures for AS'!F904="","",'Qualitative Disclosures for AS'!F904)</f>
        <v/>
      </c>
      <c r="H68" s="1440" t="str">
        <f>+IF('Qualitative Disclosures for AS'!G904="","",'Qualitative Disclosures for AS'!G904)</f>
        <v/>
      </c>
      <c r="I68" s="1440" t="str">
        <f>+IF('Qualitative Disclosures for AS'!H904="","",'Qualitative Disclosures for AS'!H904)</f>
        <v/>
      </c>
      <c r="J68" s="1440" t="str">
        <f>+IF('Qualitative Disclosures for AS'!I904="","",'Qualitative Disclosures for AS'!I904)</f>
        <v/>
      </c>
      <c r="M68" s="42"/>
    </row>
    <row r="69" spans="3:13" hidden="1" x14ac:dyDescent="0.3">
      <c r="D69" s="1720" t="str">
        <f>+IF('Qualitative Disclosures for AS'!C905="","",'Qualitative Disclosures for AS'!C905)</f>
        <v/>
      </c>
      <c r="E69" s="1440" t="str">
        <f>+IF('Qualitative Disclosures for AS'!D905="","",'Qualitative Disclosures for AS'!D905)</f>
        <v/>
      </c>
      <c r="F69" s="1440" t="str">
        <f>+IF('Qualitative Disclosures for AS'!E905="","",'Qualitative Disclosures for AS'!E905)</f>
        <v/>
      </c>
      <c r="G69" s="1440" t="str">
        <f>+IF('Qualitative Disclosures for AS'!F905="","",'Qualitative Disclosures for AS'!F905)</f>
        <v/>
      </c>
      <c r="H69" s="1440" t="str">
        <f>+IF('Qualitative Disclosures for AS'!G905="","",'Qualitative Disclosures for AS'!G905)</f>
        <v/>
      </c>
      <c r="I69" s="1440" t="str">
        <f>+IF('Qualitative Disclosures for AS'!H905="","",'Qualitative Disclosures for AS'!H905)</f>
        <v/>
      </c>
      <c r="J69" s="1440" t="str">
        <f>+IF('Qualitative Disclosures for AS'!I905="","",'Qualitative Disclosures for AS'!I905)</f>
        <v/>
      </c>
      <c r="M69" s="42"/>
    </row>
    <row r="70" spans="3:13" hidden="1" x14ac:dyDescent="0.3">
      <c r="D70" s="1440" t="str">
        <f>+IF('Qualitative Disclosures for AS'!C906="","",'Qualitative Disclosures for AS'!C906)</f>
        <v/>
      </c>
      <c r="E70" s="1440" t="str">
        <f>+IF('Qualitative Disclosures for AS'!D906="","",'Qualitative Disclosures for AS'!D906)</f>
        <v/>
      </c>
      <c r="F70" s="1440" t="str">
        <f>+IF('Qualitative Disclosures for AS'!E906="","",'Qualitative Disclosures for AS'!E906)</f>
        <v/>
      </c>
      <c r="G70" s="1440" t="str">
        <f>+IF('Qualitative Disclosures for AS'!F906="","",'Qualitative Disclosures for AS'!F906)</f>
        <v/>
      </c>
      <c r="H70" s="1440" t="str">
        <f>+IF('Qualitative Disclosures for AS'!G906="","",'Qualitative Disclosures for AS'!G906)</f>
        <v/>
      </c>
      <c r="I70" s="1440" t="str">
        <f>+IF('Qualitative Disclosures for AS'!H906="","",'Qualitative Disclosures for AS'!H906)</f>
        <v/>
      </c>
      <c r="J70" s="1440" t="str">
        <f>+IF('Qualitative Disclosures for AS'!I906="","",'Qualitative Disclosures for AS'!I906)</f>
        <v/>
      </c>
    </row>
    <row r="71" spans="3:13" hidden="1" x14ac:dyDescent="0.3"/>
    <row r="72" spans="3:13" hidden="1" x14ac:dyDescent="0.3">
      <c r="C72" s="896" t="b">
        <f>+'Master Data'!L15</f>
        <v>0</v>
      </c>
      <c r="D72" s="2982" t="str">
        <f>+IF('Qualitative Disclosures for AS'!C890="","",'Qualitative Disclosures for AS'!C890)</f>
        <v>CWIP Completion schedule (For CWIP, whose completion is overdue or has exceeded its cost compared to its original plan):</v>
      </c>
      <c r="E72" s="2982" t="str">
        <f>+IF('Qualitative Disclosures for AS'!D890="","",'Qualitative Disclosures for AS'!D890)</f>
        <v/>
      </c>
      <c r="F72" s="2982" t="str">
        <f>+IF('Qualitative Disclosures for AS'!E890="","",'Qualitative Disclosures for AS'!E890)</f>
        <v/>
      </c>
      <c r="G72" s="2982" t="str">
        <f>+IF('Qualitative Disclosures for AS'!F890="","",'Qualitative Disclosures for AS'!F890)</f>
        <v/>
      </c>
      <c r="H72" s="2982" t="str">
        <f>+IF('Qualitative Disclosures for AS'!G890="","",'Qualitative Disclosures for AS'!G890)</f>
        <v/>
      </c>
      <c r="I72" s="2982" t="str">
        <f>+IF('Qualitative Disclosures for AS'!H890="","",'Qualitative Disclosures for AS'!H890)</f>
        <v/>
      </c>
      <c r="J72" s="2982" t="str">
        <f>+IF('Qualitative Disclosures for AS'!I890="","",'Qualitative Disclosures for AS'!I890)</f>
        <v/>
      </c>
    </row>
    <row r="73" spans="3:13" ht="17.25" hidden="1" thickBot="1" x14ac:dyDescent="0.35">
      <c r="H73" s="182" t="str">
        <f>+IF('Qualitative Disclosures for AS'!G891="","",'Qualitative Disclosures for AS'!G891)</f>
        <v>(Amount in Rs.)</v>
      </c>
    </row>
    <row r="74" spans="3:13" hidden="1" x14ac:dyDescent="0.3">
      <c r="D74" s="2994" t="str">
        <f>+IF('Qualitative Disclosures for AS'!C892="","",'Qualitative Disclosures for AS'!C892)</f>
        <v>CWIP</v>
      </c>
      <c r="E74" s="2996" t="str">
        <f>+IF('Qualitative Disclosures for AS'!D892="","",'Qualitative Disclosures for AS'!D892)</f>
        <v>To be completed in</v>
      </c>
      <c r="F74" s="2996" t="str">
        <f>+IF('Qualitative Disclosures for AS'!E892="","",'Qualitative Disclosures for AS'!E892)</f>
        <v/>
      </c>
      <c r="G74" s="2996" t="str">
        <f>+IF('Qualitative Disclosures for AS'!F892="","",'Qualitative Disclosures for AS'!F892)</f>
        <v/>
      </c>
      <c r="H74" s="2997" t="str">
        <f>+IF('Qualitative Disclosures for AS'!G892="","",'Qualitative Disclosures for AS'!G892)</f>
        <v/>
      </c>
    </row>
    <row r="75" spans="3:13" hidden="1" x14ac:dyDescent="0.3">
      <c r="D75" s="2995" t="str">
        <f>+IF('Qualitative Disclosures for AS'!C893="","",'Qualitative Disclosures for AS'!C893)</f>
        <v/>
      </c>
      <c r="E75" s="187" t="str">
        <f>+IF('Qualitative Disclosures for AS'!D893="","",'Qualitative Disclosures for AS'!D893)</f>
        <v>Less than 1 year</v>
      </c>
      <c r="F75" s="187" t="str">
        <f>+IF('Qualitative Disclosures for AS'!E893="","",'Qualitative Disclosures for AS'!E893)</f>
        <v>1-2 years</v>
      </c>
      <c r="G75" s="187" t="str">
        <f>+IF('Qualitative Disclosures for AS'!F893="","",'Qualitative Disclosures for AS'!F893)</f>
        <v>2-3 years</v>
      </c>
      <c r="H75" s="916" t="str">
        <f>+IF('Qualitative Disclosures for AS'!G893="","",'Qualitative Disclosures for AS'!G893)</f>
        <v>More than 3 years</v>
      </c>
    </row>
    <row r="76" spans="3:13" hidden="1" x14ac:dyDescent="0.3">
      <c r="D76" s="908" t="str">
        <f>+IF('Qualitative Disclosures for AS'!C894="","",'Qualitative Disclosures for AS'!C894)</f>
        <v>Projects in progress</v>
      </c>
      <c r="E76" s="1784">
        <f>+IF('Qualitative Disclosures for AS'!D894="","",'Qualitative Disclosures for AS'!D894)</f>
        <v>0</v>
      </c>
      <c r="F76" s="1784">
        <f>+IF('Qualitative Disclosures for AS'!E894="","",'Qualitative Disclosures for AS'!E894)</f>
        <v>0</v>
      </c>
      <c r="G76" s="1784">
        <f>+IF('Qualitative Disclosures for AS'!F894="","",'Qualitative Disclosures for AS'!F894)</f>
        <v>0</v>
      </c>
      <c r="H76" s="1787">
        <f>+IF('Qualitative Disclosures for AS'!G894="","",'Qualitative Disclosures for AS'!G894)</f>
        <v>0</v>
      </c>
      <c r="J76" s="177"/>
      <c r="M76" s="42"/>
    </row>
    <row r="77" spans="3:13" hidden="1" x14ac:dyDescent="0.3">
      <c r="D77" s="908" t="str">
        <f>+IF('Qualitative Disclosures for AS'!C895="","",'Qualitative Disclosures for AS'!C895)</f>
        <v>Project 1</v>
      </c>
      <c r="E77" s="1784">
        <f>+IF('Qualitative Disclosures for AS'!D895="","",'Qualitative Disclosures for AS'!D895)</f>
        <v>0</v>
      </c>
      <c r="F77" s="1784">
        <f>+IF('Qualitative Disclosures for AS'!E895="","",'Qualitative Disclosures for AS'!E895)</f>
        <v>0</v>
      </c>
      <c r="G77" s="1784">
        <f>+IF('Qualitative Disclosures for AS'!F895="","",'Qualitative Disclosures for AS'!F895)</f>
        <v>0</v>
      </c>
      <c r="H77" s="1787">
        <f>+IF('Qualitative Disclosures for AS'!G895="","",'Qualitative Disclosures for AS'!G895)</f>
        <v>0</v>
      </c>
      <c r="M77" s="42"/>
    </row>
    <row r="78" spans="3:13" hidden="1" x14ac:dyDescent="0.3">
      <c r="D78" s="908" t="str">
        <f>+IF('Qualitative Disclosures for AS'!C896="","",'Qualitative Disclosures for AS'!C896)</f>
        <v>Project 2</v>
      </c>
      <c r="E78" s="1784">
        <f>+IF('Qualitative Disclosures for AS'!D896="","",'Qualitative Disclosures for AS'!D896)</f>
        <v>0</v>
      </c>
      <c r="F78" s="1784">
        <f>+IF('Qualitative Disclosures for AS'!E896="","",'Qualitative Disclosures for AS'!E896)</f>
        <v>0</v>
      </c>
      <c r="G78" s="1784">
        <f>+IF('Qualitative Disclosures for AS'!F896="","",'Qualitative Disclosures for AS'!F896)</f>
        <v>0</v>
      </c>
      <c r="H78" s="1787">
        <f>+IF('Qualitative Disclosures for AS'!G896="","",'Qualitative Disclosures for AS'!G896)</f>
        <v>0</v>
      </c>
      <c r="J78" s="177"/>
      <c r="M78" s="42"/>
    </row>
    <row r="79" spans="3:13" hidden="1" x14ac:dyDescent="0.3">
      <c r="D79" s="908" t="str">
        <f>+IF('Qualitative Disclosures for AS'!C897="","",'Qualitative Disclosures for AS'!C897)</f>
        <v>Projects temporarily suspended</v>
      </c>
      <c r="E79" s="1784">
        <f>+IF('Qualitative Disclosures for AS'!D897="","",'Qualitative Disclosures for AS'!D897)</f>
        <v>0</v>
      </c>
      <c r="F79" s="1784">
        <f>+IF('Qualitative Disclosures for AS'!E897="","",'Qualitative Disclosures for AS'!E897)</f>
        <v>0</v>
      </c>
      <c r="G79" s="1784">
        <f>+IF('Qualitative Disclosures for AS'!F897="","",'Qualitative Disclosures for AS'!F897)</f>
        <v>0</v>
      </c>
      <c r="H79" s="1787">
        <f>+IF('Qualitative Disclosures for AS'!G897="","",'Qualitative Disclosures for AS'!G897)</f>
        <v>0</v>
      </c>
      <c r="J79" s="177"/>
      <c r="M79" s="42"/>
    </row>
    <row r="80" spans="3:13" hidden="1" x14ac:dyDescent="0.3">
      <c r="D80" s="908" t="str">
        <f>+IF('Qualitative Disclosures for AS'!C898="","",'Qualitative Disclosures for AS'!C898)</f>
        <v>Project 1</v>
      </c>
      <c r="E80" s="1784">
        <f>+IF('Qualitative Disclosures for AS'!D898="","",'Qualitative Disclosures for AS'!D898)</f>
        <v>0</v>
      </c>
      <c r="F80" s="1784">
        <f>+IF('Qualitative Disclosures for AS'!E898="","",'Qualitative Disclosures for AS'!E898)</f>
        <v>0</v>
      </c>
      <c r="G80" s="1784">
        <f>+IF('Qualitative Disclosures for AS'!F898="","",'Qualitative Disclosures for AS'!F898)</f>
        <v>0</v>
      </c>
      <c r="H80" s="1787">
        <f>+IF('Qualitative Disclosures for AS'!G898="","",'Qualitative Disclosures for AS'!G898)</f>
        <v>0</v>
      </c>
      <c r="J80" s="177"/>
      <c r="M80" s="42"/>
    </row>
    <row r="81" spans="3:16" ht="17.25" hidden="1" thickBot="1" x14ac:dyDescent="0.35">
      <c r="D81" s="911" t="str">
        <f>+IF('Qualitative Disclosures for AS'!C899="","",'Qualitative Disclosures for AS'!C899)</f>
        <v>Project 2</v>
      </c>
      <c r="E81" s="1788">
        <f>+IF('Qualitative Disclosures for AS'!D899="","",'Qualitative Disclosures for AS'!D899)</f>
        <v>0</v>
      </c>
      <c r="F81" s="1788">
        <f>+IF('Qualitative Disclosures for AS'!E899="","",'Qualitative Disclosures for AS'!E899)</f>
        <v>0</v>
      </c>
      <c r="G81" s="1788">
        <f>+IF('Qualitative Disclosures for AS'!F899="","",'Qualitative Disclosures for AS'!F899)</f>
        <v>0</v>
      </c>
      <c r="H81" s="1789">
        <f>+IF('Qualitative Disclosures for AS'!G899="","",'Qualitative Disclosures for AS'!G899)</f>
        <v>0</v>
      </c>
      <c r="J81" s="177"/>
      <c r="M81" s="42"/>
    </row>
    <row r="82" spans="3:16" hidden="1" x14ac:dyDescent="0.3">
      <c r="D82" s="181"/>
      <c r="E82" s="181"/>
      <c r="F82" s="181"/>
      <c r="G82" s="181"/>
      <c r="H82" s="181"/>
      <c r="I82" s="181"/>
      <c r="J82" s="181"/>
      <c r="M82" s="42"/>
    </row>
    <row r="83" spans="3:16" hidden="1" x14ac:dyDescent="0.3">
      <c r="D83" s="1721" t="str">
        <f>+IF('Qualitative Disclosures for AS'!C901="","",'Qualitative Disclosures for AS'!C901)</f>
        <v/>
      </c>
      <c r="E83" s="1721" t="str">
        <f>+IF('Qualitative Disclosures for AS'!D901="","",'Qualitative Disclosures for AS'!D901)</f>
        <v/>
      </c>
      <c r="F83" s="1721" t="str">
        <f>+IF('Qualitative Disclosures for AS'!E901="","",'Qualitative Disclosures for AS'!E901)</f>
        <v/>
      </c>
      <c r="G83" s="1721" t="str">
        <f>+IF('Qualitative Disclosures for AS'!F901="","",'Qualitative Disclosures for AS'!F901)</f>
        <v/>
      </c>
      <c r="H83" s="1721" t="str">
        <f>+IF('Qualitative Disclosures for AS'!G901="","",'Qualitative Disclosures for AS'!G901)</f>
        <v/>
      </c>
      <c r="I83" s="1721" t="str">
        <f>+IF('Qualitative Disclosures for AS'!H901="","",'Qualitative Disclosures for AS'!H901)</f>
        <v/>
      </c>
      <c r="J83" s="1721" t="str">
        <f>+IF('Qualitative Disclosures for AS'!I901="","",'Qualitative Disclosures for AS'!I901)</f>
        <v/>
      </c>
      <c r="M83" s="42"/>
    </row>
    <row r="84" spans="3:16" hidden="1" x14ac:dyDescent="0.3">
      <c r="D84" s="1721" t="str">
        <f>+IF('Qualitative Disclosures for AS'!C902="","",'Qualitative Disclosures for AS'!C902)</f>
        <v/>
      </c>
      <c r="E84" s="1721" t="str">
        <f>+IF('Qualitative Disclosures for AS'!D902="","",'Qualitative Disclosures for AS'!D902)</f>
        <v/>
      </c>
      <c r="F84" s="1721" t="str">
        <f>+IF('Qualitative Disclosures for AS'!E902="","",'Qualitative Disclosures for AS'!E902)</f>
        <v/>
      </c>
      <c r="G84" s="1721" t="str">
        <f>+IF('Qualitative Disclosures for AS'!F902="","",'Qualitative Disclosures for AS'!F902)</f>
        <v/>
      </c>
      <c r="H84" s="1721" t="str">
        <f>+IF('Qualitative Disclosures for AS'!G902="","",'Qualitative Disclosures for AS'!G902)</f>
        <v/>
      </c>
      <c r="I84" s="1721" t="str">
        <f>+IF('Qualitative Disclosures for AS'!H902="","",'Qualitative Disclosures for AS'!H902)</f>
        <v/>
      </c>
      <c r="J84" s="1721" t="str">
        <f>+IF('Qualitative Disclosures for AS'!I902="","",'Qualitative Disclosures for AS'!I902)</f>
        <v/>
      </c>
      <c r="M84" s="42"/>
    </row>
    <row r="85" spans="3:16" hidden="1" x14ac:dyDescent="0.3">
      <c r="D85" s="1721" t="str">
        <f>+IF('Qualitative Disclosures for AS'!C903="","",'Qualitative Disclosures for AS'!C903)</f>
        <v/>
      </c>
      <c r="E85" s="1721" t="str">
        <f>+IF('Qualitative Disclosures for AS'!D903="","",'Qualitative Disclosures for AS'!D903)</f>
        <v/>
      </c>
      <c r="F85" s="1721" t="str">
        <f>+IF('Qualitative Disclosures for AS'!E903="","",'Qualitative Disclosures for AS'!E903)</f>
        <v/>
      </c>
      <c r="G85" s="1721" t="str">
        <f>+IF('Qualitative Disclosures for AS'!F903="","",'Qualitative Disclosures for AS'!F903)</f>
        <v/>
      </c>
      <c r="H85" s="1721" t="str">
        <f>+IF('Qualitative Disclosures for AS'!G903="","",'Qualitative Disclosures for AS'!G903)</f>
        <v/>
      </c>
      <c r="I85" s="1721" t="str">
        <f>+IF('Qualitative Disclosures for AS'!H903="","",'Qualitative Disclosures for AS'!H903)</f>
        <v/>
      </c>
      <c r="J85" s="1721" t="str">
        <f>+IF('Qualitative Disclosures for AS'!I903="","",'Qualitative Disclosures for AS'!I903)</f>
        <v/>
      </c>
      <c r="M85" s="42"/>
    </row>
    <row r="86" spans="3:16" hidden="1" x14ac:dyDescent="0.3">
      <c r="D86" s="1721" t="str">
        <f>+IF('Qualitative Disclosures for AS'!C904="","",'Qualitative Disclosures for AS'!C904)</f>
        <v/>
      </c>
      <c r="E86" s="1721" t="str">
        <f>+IF('Qualitative Disclosures for AS'!D904="","",'Qualitative Disclosures for AS'!D904)</f>
        <v/>
      </c>
      <c r="F86" s="1721" t="str">
        <f>+IF('Qualitative Disclosures for AS'!E904="","",'Qualitative Disclosures for AS'!E904)</f>
        <v/>
      </c>
      <c r="G86" s="1721" t="str">
        <f>+IF('Qualitative Disclosures for AS'!F904="","",'Qualitative Disclosures for AS'!F904)</f>
        <v/>
      </c>
      <c r="H86" s="1721" t="str">
        <f>+IF('Qualitative Disclosures for AS'!G904="","",'Qualitative Disclosures for AS'!G904)</f>
        <v/>
      </c>
      <c r="I86" s="1721" t="str">
        <f>+IF('Qualitative Disclosures for AS'!H904="","",'Qualitative Disclosures for AS'!H904)</f>
        <v/>
      </c>
      <c r="J86" s="1721" t="str">
        <f>+IF('Qualitative Disclosures for AS'!I904="","",'Qualitative Disclosures for AS'!I904)</f>
        <v/>
      </c>
      <c r="M86" s="42"/>
    </row>
    <row r="87" spans="3:16" hidden="1" x14ac:dyDescent="0.3">
      <c r="D87" s="1721" t="str">
        <f>+IF('Qualitative Disclosures for AS'!C905="","",'Qualitative Disclosures for AS'!C905)</f>
        <v/>
      </c>
      <c r="E87" s="1721" t="str">
        <f>+IF('Qualitative Disclosures for AS'!D905="","",'Qualitative Disclosures for AS'!D905)</f>
        <v/>
      </c>
      <c r="F87" s="1721" t="str">
        <f>+IF('Qualitative Disclosures for AS'!E905="","",'Qualitative Disclosures for AS'!E905)</f>
        <v/>
      </c>
      <c r="G87" s="1721" t="str">
        <f>+IF('Qualitative Disclosures for AS'!F905="","",'Qualitative Disclosures for AS'!F905)</f>
        <v/>
      </c>
      <c r="H87" s="1721" t="str">
        <f>+IF('Qualitative Disclosures for AS'!G905="","",'Qualitative Disclosures for AS'!G905)</f>
        <v/>
      </c>
      <c r="I87" s="1721" t="str">
        <f>+IF('Qualitative Disclosures for AS'!H905="","",'Qualitative Disclosures for AS'!H905)</f>
        <v/>
      </c>
      <c r="J87" s="1721" t="str">
        <f>+IF('Qualitative Disclosures for AS'!I905="","",'Qualitative Disclosures for AS'!I905)</f>
        <v/>
      </c>
      <c r="M87" s="42"/>
    </row>
    <row r="88" spans="3:16" hidden="1" x14ac:dyDescent="0.3">
      <c r="D88" s="1721" t="str">
        <f>+IF('Qualitative Disclosures for AS'!C906="","",'Qualitative Disclosures for AS'!C906)</f>
        <v/>
      </c>
      <c r="E88" s="1721" t="str">
        <f>+IF('Qualitative Disclosures for AS'!D906="","",'Qualitative Disclosures for AS'!D906)</f>
        <v/>
      </c>
      <c r="F88" s="1721" t="str">
        <f>+IF('Qualitative Disclosures for AS'!E906="","",'Qualitative Disclosures for AS'!E906)</f>
        <v/>
      </c>
      <c r="G88" s="1721" t="str">
        <f>+IF('Qualitative Disclosures for AS'!F906="","",'Qualitative Disclosures for AS'!F906)</f>
        <v/>
      </c>
      <c r="H88" s="1721" t="str">
        <f>+IF('Qualitative Disclosures for AS'!G906="","",'Qualitative Disclosures for AS'!G906)</f>
        <v/>
      </c>
      <c r="I88" s="1721" t="str">
        <f>+IF('Qualitative Disclosures for AS'!H906="","",'Qualitative Disclosures for AS'!H906)</f>
        <v/>
      </c>
      <c r="J88" s="1721" t="str">
        <f>+IF('Qualitative Disclosures for AS'!I906="","",'Qualitative Disclosures for AS'!I906)</f>
        <v/>
      </c>
      <c r="M88" s="42"/>
    </row>
    <row r="89" spans="3:16" hidden="1" x14ac:dyDescent="0.3"/>
    <row r="91" spans="3:16" s="4" customFormat="1" ht="15" x14ac:dyDescent="0.25">
      <c r="C91" s="896">
        <f>+C54+0.01</f>
        <v>33.049999999999997</v>
      </c>
      <c r="D91" s="4" t="str">
        <f>+IF('Qualitative Disclosures for AS'!C910="","",'Qualitative Disclosures for AS'!C910)</f>
        <v>Intangible assets under development ageing schedule / completion schedule</v>
      </c>
    </row>
    <row r="92" spans="3:16" x14ac:dyDescent="0.3">
      <c r="D92" s="2982" t="str">
        <f>+'Qualitative Disclosures for AS'!C912</f>
        <v>The Company does not have any intangible assets under development</v>
      </c>
      <c r="E92" s="2982"/>
      <c r="F92" s="2982"/>
      <c r="G92" s="2982"/>
      <c r="H92" s="2982"/>
      <c r="I92" s="2982"/>
      <c r="J92" s="2982"/>
    </row>
    <row r="93" spans="3:16" hidden="1" x14ac:dyDescent="0.3">
      <c r="C93" s="896" t="str">
        <f>+'Master Data'!L17</f>
        <v>(a)</v>
      </c>
      <c r="D93" s="1" t="str">
        <f>+IF('Qualitative Disclosures for AS'!C914="","",'Qualitative Disclosures for AS'!C914)</f>
        <v>Intangible assets under development ageing schedule</v>
      </c>
    </row>
    <row r="94" spans="3:16" ht="17.25" hidden="1" thickBot="1" x14ac:dyDescent="0.35">
      <c r="D94" s="1" t="str">
        <f>+'Qualitative Disclosures for AS'!C915</f>
        <v>Intangible assets under development ageing schedule As At 31st March 2025</v>
      </c>
      <c r="I94" s="182" t="str">
        <f>+IF('Qualitative Disclosures for AS'!H915="","",'Qualitative Disclosures for AS'!H915)</f>
        <v>(Amount in Rs.)</v>
      </c>
      <c r="K94" s="1" t="str">
        <f>+'Qualitative Disclosures for AS'!J915</f>
        <v>Intangible assets under development ageing schedule As At 31st March 2024</v>
      </c>
      <c r="P94" s="182" t="str">
        <f>+IF('Qualitative Disclosures for AS'!O915="","",'Qualitative Disclosures for AS'!O915)</f>
        <v>(Amount in Rs.)</v>
      </c>
    </row>
    <row r="95" spans="3:16" hidden="1" x14ac:dyDescent="0.3">
      <c r="D95" s="2983" t="str">
        <f>+IF('Qualitative Disclosures for AS'!C916="","",'Qualitative Disclosures for AS'!C916)</f>
        <v>Intangible assets under development</v>
      </c>
      <c r="E95" s="2985" t="str">
        <f>+IF('Qualitative Disclosures for AS'!D916="","",'Qualitative Disclosures for AS'!D916)</f>
        <v>Amount in intangible assets under development for a period of</v>
      </c>
      <c r="F95" s="2985" t="str">
        <f>+IF('Qualitative Disclosures for AS'!E916="","",'Qualitative Disclosures for AS'!E916)</f>
        <v/>
      </c>
      <c r="G95" s="2985" t="str">
        <f>+IF('Qualitative Disclosures for AS'!F916="","",'Qualitative Disclosures for AS'!F916)</f>
        <v/>
      </c>
      <c r="H95" s="2985" t="str">
        <f>+IF('Qualitative Disclosures for AS'!G916="","",'Qualitative Disclosures for AS'!G916)</f>
        <v/>
      </c>
      <c r="I95" s="2986" t="str">
        <f>+IF('Qualitative Disclosures for AS'!H916="","",'Qualitative Disclosures for AS'!H916)</f>
        <v>Total*</v>
      </c>
      <c r="K95" s="2983" t="str">
        <f>+IF('Qualitative Disclosures for AS'!J916="","",'Qualitative Disclosures for AS'!J916)</f>
        <v>Intangible assets under development</v>
      </c>
      <c r="L95" s="2985" t="str">
        <f>+IF('Qualitative Disclosures for AS'!K916="","",'Qualitative Disclosures for AS'!K916)</f>
        <v>Amount in intangible assets under development for a period of</v>
      </c>
      <c r="M95" s="2985" t="str">
        <f>+IF('Qualitative Disclosures for AS'!L916="","",'Qualitative Disclosures for AS'!L916)</f>
        <v/>
      </c>
      <c r="N95" s="2985" t="str">
        <f>+IF('Qualitative Disclosures for AS'!M916="","",'Qualitative Disclosures for AS'!M916)</f>
        <v/>
      </c>
      <c r="O95" s="2985" t="str">
        <f>+IF('Qualitative Disclosures for AS'!N916="","",'Qualitative Disclosures for AS'!N916)</f>
        <v/>
      </c>
      <c r="P95" s="2986" t="str">
        <f>+IF('Qualitative Disclosures for AS'!O916="","",'Qualitative Disclosures for AS'!O916)</f>
        <v>Total*</v>
      </c>
    </row>
    <row r="96" spans="3:16" hidden="1" x14ac:dyDescent="0.3">
      <c r="D96" s="2984" t="str">
        <f>+IF('Qualitative Disclosures for AS'!C917="","",'Qualitative Disclosures for AS'!C917)</f>
        <v/>
      </c>
      <c r="E96" s="917" t="str">
        <f>+IF('Qualitative Disclosures for AS'!D917="","",'Qualitative Disclosures for AS'!D917)</f>
        <v>Less than 1 year</v>
      </c>
      <c r="F96" s="917" t="str">
        <f>+IF('Qualitative Disclosures for AS'!E917="","",'Qualitative Disclosures for AS'!E917)</f>
        <v>1-2 years</v>
      </c>
      <c r="G96" s="917" t="str">
        <f>+IF('Qualitative Disclosures for AS'!F917="","",'Qualitative Disclosures for AS'!F917)</f>
        <v>2-3 years</v>
      </c>
      <c r="H96" s="917" t="str">
        <f>+IF('Qualitative Disclosures for AS'!G917="","",'Qualitative Disclosures for AS'!G917)</f>
        <v>More than 3 years</v>
      </c>
      <c r="I96" s="2987" t="str">
        <f>+IF('Qualitative Disclosures for AS'!H917="","",'Qualitative Disclosures for AS'!H917)</f>
        <v/>
      </c>
      <c r="K96" s="2984" t="str">
        <f>+IF('Qualitative Disclosures for AS'!J917="","",'Qualitative Disclosures for AS'!J917)</f>
        <v/>
      </c>
      <c r="L96" s="917" t="str">
        <f>+IF('Qualitative Disclosures for AS'!K917="","",'Qualitative Disclosures for AS'!K917)</f>
        <v>Less than 1 year</v>
      </c>
      <c r="M96" s="917" t="str">
        <f>+IF('Qualitative Disclosures for AS'!L917="","",'Qualitative Disclosures for AS'!L917)</f>
        <v>1-2 years</v>
      </c>
      <c r="N96" s="917" t="str">
        <f>+IF('Qualitative Disclosures for AS'!M917="","",'Qualitative Disclosures for AS'!M917)</f>
        <v>2-3 years</v>
      </c>
      <c r="O96" s="917" t="str">
        <f>+IF('Qualitative Disclosures for AS'!N917="","",'Qualitative Disclosures for AS'!N917)</f>
        <v>More than 3 years</v>
      </c>
      <c r="P96" s="2987" t="str">
        <f>+IF('Qualitative Disclosures for AS'!O917="","",'Qualitative Disclosures for AS'!O917)</f>
        <v/>
      </c>
    </row>
    <row r="97" spans="3:16" hidden="1" x14ac:dyDescent="0.3">
      <c r="D97" s="908" t="str">
        <f>+IF('Qualitative Disclosures for AS'!C918="","",'Qualitative Disclosures for AS'!C918)</f>
        <v>Projects in progress</v>
      </c>
      <c r="E97" s="1784">
        <f>+IF('Qualitative Disclosures for AS'!D918="","",'Qualitative Disclosures for AS'!D918)</f>
        <v>0</v>
      </c>
      <c r="F97" s="1784">
        <f>+IF('Qualitative Disclosures for AS'!E918="","",'Qualitative Disclosures for AS'!E918)</f>
        <v>0</v>
      </c>
      <c r="G97" s="1784">
        <f>+IF('Qualitative Disclosures for AS'!F918="","",'Qualitative Disclosures for AS'!F918)</f>
        <v>0</v>
      </c>
      <c r="H97" s="1784">
        <f>+IF('Qualitative Disclosures for AS'!G918="","",'Qualitative Disclosures for AS'!G918)</f>
        <v>0</v>
      </c>
      <c r="I97" s="1787">
        <f>+IF('Qualitative Disclosures for AS'!H918="","",'Qualitative Disclosures for AS'!H918)</f>
        <v>0</v>
      </c>
      <c r="K97" s="908" t="str">
        <f>+IF('Qualitative Disclosures for AS'!J918="","",'Qualitative Disclosures for AS'!J918)</f>
        <v>Projects in progress</v>
      </c>
      <c r="L97" s="1784">
        <f>+IF('Qualitative Disclosures for AS'!K918="","",'Qualitative Disclosures for AS'!K918)</f>
        <v>0</v>
      </c>
      <c r="M97" s="1784">
        <f>+IF('Qualitative Disclosures for AS'!L918="","",'Qualitative Disclosures for AS'!L918)</f>
        <v>0</v>
      </c>
      <c r="N97" s="1784">
        <f>+IF('Qualitative Disclosures for AS'!M918="","",'Qualitative Disclosures for AS'!M918)</f>
        <v>0</v>
      </c>
      <c r="O97" s="1784">
        <f>+IF('Qualitative Disclosures for AS'!N918="","",'Qualitative Disclosures for AS'!N918)</f>
        <v>0</v>
      </c>
      <c r="P97" s="1787">
        <f>+IF('Qualitative Disclosures for AS'!O918="","",'Qualitative Disclosures for AS'!O918)</f>
        <v>0</v>
      </c>
    </row>
    <row r="98" spans="3:16" hidden="1" x14ac:dyDescent="0.3">
      <c r="D98" s="915" t="str">
        <f>+IF('Qualitative Disclosures for AS'!C919="","",'Qualitative Disclosures for AS'!C919)</f>
        <v>Projects temporarily suspended</v>
      </c>
      <c r="E98" s="2296">
        <f>+IF('Qualitative Disclosures for AS'!D919="","",'Qualitative Disclosures for AS'!D919)</f>
        <v>0</v>
      </c>
      <c r="F98" s="2296">
        <f>+IF('Qualitative Disclosures for AS'!E919="","",'Qualitative Disclosures for AS'!E919)</f>
        <v>0</v>
      </c>
      <c r="G98" s="2296">
        <f>+IF('Qualitative Disclosures for AS'!F919="","",'Qualitative Disclosures for AS'!F919)</f>
        <v>0</v>
      </c>
      <c r="H98" s="2296">
        <f>+IF('Qualitative Disclosures for AS'!G919="","",'Qualitative Disclosures for AS'!G919)</f>
        <v>0</v>
      </c>
      <c r="I98" s="2291">
        <f>+IF('Qualitative Disclosures for AS'!H919="","",'Qualitative Disclosures for AS'!H919)</f>
        <v>0</v>
      </c>
      <c r="K98" s="915" t="str">
        <f>+IF('Qualitative Disclosures for AS'!J919="","",'Qualitative Disclosures for AS'!J919)</f>
        <v>Projects temporarily suspended</v>
      </c>
      <c r="L98" s="2296">
        <f>+IF('Qualitative Disclosures for AS'!K919="","",'Qualitative Disclosures for AS'!K919)</f>
        <v>0</v>
      </c>
      <c r="M98" s="2296">
        <f>+IF('Qualitative Disclosures for AS'!L919="","",'Qualitative Disclosures for AS'!L919)</f>
        <v>0</v>
      </c>
      <c r="N98" s="2296">
        <f>+IF('Qualitative Disclosures for AS'!M919="","",'Qualitative Disclosures for AS'!M919)</f>
        <v>0</v>
      </c>
      <c r="O98" s="2296">
        <f>+IF('Qualitative Disclosures for AS'!N919="","",'Qualitative Disclosures for AS'!N919)</f>
        <v>0</v>
      </c>
      <c r="P98" s="2291">
        <f>+IF('Qualitative Disclosures for AS'!O919="","",'Qualitative Disclosures for AS'!O919)</f>
        <v>0</v>
      </c>
    </row>
    <row r="99" spans="3:16" ht="17.25" hidden="1" thickBot="1" x14ac:dyDescent="0.35">
      <c r="D99" s="911" t="str">
        <f>+IF('Qualitative Disclosures for AS'!C920="","",'Qualitative Disclosures for AS'!C920)</f>
        <v>Total</v>
      </c>
      <c r="E99" s="1788">
        <f>+IF('Qualitative Disclosures for AS'!D920="","",'Qualitative Disclosures for AS'!D920)</f>
        <v>0</v>
      </c>
      <c r="F99" s="1788">
        <f>+IF('Qualitative Disclosures for AS'!E920="","",'Qualitative Disclosures for AS'!E920)</f>
        <v>0</v>
      </c>
      <c r="G99" s="1788">
        <f>+IF('Qualitative Disclosures for AS'!F920="","",'Qualitative Disclosures for AS'!F920)</f>
        <v>0</v>
      </c>
      <c r="H99" s="1788">
        <f>+IF('Qualitative Disclosures for AS'!G920="","",'Qualitative Disclosures for AS'!G920)</f>
        <v>0</v>
      </c>
      <c r="I99" s="1789">
        <f>+IF('Qualitative Disclosures for AS'!H920="","",'Qualitative Disclosures for AS'!H920)</f>
        <v>0</v>
      </c>
      <c r="K99" s="911" t="str">
        <f>+IF('Qualitative Disclosures for AS'!J920="","",'Qualitative Disclosures for AS'!J920)</f>
        <v>Total</v>
      </c>
      <c r="L99" s="1788">
        <f>+IF('Qualitative Disclosures for AS'!K920="","",'Qualitative Disclosures for AS'!K920)</f>
        <v>0</v>
      </c>
      <c r="M99" s="1788">
        <f>+IF('Qualitative Disclosures for AS'!L920="","",'Qualitative Disclosures for AS'!L920)</f>
        <v>0</v>
      </c>
      <c r="N99" s="1788">
        <f>+IF('Qualitative Disclosures for AS'!M920="","",'Qualitative Disclosures for AS'!M920)</f>
        <v>0</v>
      </c>
      <c r="O99" s="1788">
        <f>+IF('Qualitative Disclosures for AS'!N920="","",'Qualitative Disclosures for AS'!N920)</f>
        <v>0</v>
      </c>
      <c r="P99" s="1789">
        <f>+IF('Qualitative Disclosures for AS'!O920="","",'Qualitative Disclosures for AS'!O920)</f>
        <v>0</v>
      </c>
    </row>
    <row r="100" spans="3:16" ht="409.5" hidden="1" x14ac:dyDescent="0.3">
      <c r="D100" s="35" t="str">
        <f>+IF('Qualitative Disclosures for AS'!C921="","",'Qualitative Disclosures for AS'!C921)</f>
        <v>* Total shall tally with the amount of intangible assets under development in the balance sheet.</v>
      </c>
      <c r="E100" s="1" t="str">
        <f>+IF('Qualitative Disclosures for AS'!D921="","",'Qualitative Disclosures for AS'!D921)</f>
        <v/>
      </c>
      <c r="F100" s="1" t="str">
        <f>+IF('Qualitative Disclosures for AS'!E921="","",'Qualitative Disclosures for AS'!E921)</f>
        <v/>
      </c>
      <c r="G100" s="1" t="str">
        <f>+IF('Qualitative Disclosures for AS'!F921="","",'Qualitative Disclosures for AS'!F921)</f>
        <v/>
      </c>
      <c r="H100" s="1" t="str">
        <f>+IF('Qualitative Disclosures for AS'!G921="","",'Qualitative Disclosures for AS'!G921)</f>
        <v/>
      </c>
      <c r="I100" s="1" t="str">
        <f>+IF('Qualitative Disclosures for AS'!H921="","",'Qualitative Disclosures for AS'!H921)</f>
        <v/>
      </c>
      <c r="K100" s="35" t="str">
        <f>+IF('Qualitative Disclosures for AS'!J921="","",'Qualitative Disclosures for AS'!J921)</f>
        <v>* Total shall tally with the amount of intangible assets under development in the balance sheet.</v>
      </c>
      <c r="L100" s="1" t="str">
        <f>+IF('Qualitative Disclosures for AS'!K921="","",'Qualitative Disclosures for AS'!K921)</f>
        <v/>
      </c>
      <c r="M100" s="1" t="str">
        <f>+IF('Qualitative Disclosures for AS'!L921="","",'Qualitative Disclosures for AS'!L921)</f>
        <v/>
      </c>
      <c r="N100" s="1" t="str">
        <f>+IF('Qualitative Disclosures for AS'!M921="","",'Qualitative Disclosures for AS'!M921)</f>
        <v/>
      </c>
      <c r="O100" s="1" t="str">
        <f>+IF('Qualitative Disclosures for AS'!N921="","",'Qualitative Disclosures for AS'!N921)</f>
        <v/>
      </c>
      <c r="P100" s="1" t="str">
        <f>+IF('Qualitative Disclosures for AS'!O921="","",'Qualitative Disclosures for AS'!O921)</f>
        <v/>
      </c>
    </row>
    <row r="101" spans="3:16" hidden="1" x14ac:dyDescent="0.3"/>
    <row r="102" spans="3:16" hidden="1" x14ac:dyDescent="0.3">
      <c r="C102" s="896" t="b">
        <f>+'Master Data'!L18</f>
        <v>0</v>
      </c>
      <c r="D102" s="2981" t="str">
        <f>+IF('Qualitative Disclosures for AS'!C923="","",'Qualitative Disclosures for AS'!C923)</f>
        <v>Completion Schedule (For intangible assets under development whose completion is overdue or has exceeded its cost compared to its original plan):</v>
      </c>
      <c r="E102" s="2981" t="str">
        <f>+IF('Qualitative Disclosures for AS'!D923="","",'Qualitative Disclosures for AS'!D923)</f>
        <v/>
      </c>
      <c r="F102" s="2981" t="str">
        <f>+IF('Qualitative Disclosures for AS'!E923="","",'Qualitative Disclosures for AS'!E923)</f>
        <v/>
      </c>
      <c r="G102" s="2981" t="str">
        <f>+IF('Qualitative Disclosures for AS'!F923="","",'Qualitative Disclosures for AS'!F923)</f>
        <v/>
      </c>
      <c r="H102" s="2981" t="str">
        <f>+IF('Qualitative Disclosures for AS'!G923="","",'Qualitative Disclosures for AS'!G923)</f>
        <v/>
      </c>
      <c r="I102" s="2981" t="str">
        <f>+IF('Qualitative Disclosures for AS'!H923="","",'Qualitative Disclosures for AS'!H923)</f>
        <v/>
      </c>
      <c r="J102" s="2981" t="str">
        <f>+IF('Qualitative Disclosures for AS'!I923="","",'Qualitative Disclosures for AS'!I923)</f>
        <v/>
      </c>
    </row>
    <row r="103" spans="3:16" ht="17.25" hidden="1" thickBot="1" x14ac:dyDescent="0.35">
      <c r="H103" s="182" t="str">
        <f>+IF('Qualitative Disclosures for AS'!G924="","",'Qualitative Disclosures for AS'!G924)</f>
        <v>(Amount in Rs.)</v>
      </c>
    </row>
    <row r="104" spans="3:16" hidden="1" x14ac:dyDescent="0.3">
      <c r="D104" s="2983" t="str">
        <f>+IF('Qualitative Disclosures for AS'!C925="","",'Qualitative Disclosures for AS'!C925)</f>
        <v>Intangible assets under development</v>
      </c>
      <c r="E104" s="2992" t="str">
        <f>+IF('Qualitative Disclosures for AS'!D925="","",'Qualitative Disclosures for AS'!D925)</f>
        <v>To be completed in</v>
      </c>
      <c r="F104" s="2992" t="str">
        <f>+IF('Qualitative Disclosures for AS'!E925="","",'Qualitative Disclosures for AS'!E925)</f>
        <v/>
      </c>
      <c r="G104" s="2992" t="str">
        <f>+IF('Qualitative Disclosures for AS'!F925="","",'Qualitative Disclosures for AS'!F925)</f>
        <v/>
      </c>
      <c r="H104" s="2993" t="str">
        <f>+IF('Qualitative Disclosures for AS'!G925="","",'Qualitative Disclosures for AS'!G925)</f>
        <v/>
      </c>
    </row>
    <row r="105" spans="3:16" hidden="1" x14ac:dyDescent="0.3">
      <c r="D105" s="2984" t="str">
        <f>+IF('Qualitative Disclosures for AS'!C926="","",'Qualitative Disclosures for AS'!C926)</f>
        <v/>
      </c>
      <c r="E105" s="187" t="str">
        <f>+IF('Qualitative Disclosures for AS'!D926="","",'Qualitative Disclosures for AS'!D926)</f>
        <v>Less than 1 year</v>
      </c>
      <c r="F105" s="187" t="str">
        <f>+IF('Qualitative Disclosures for AS'!E926="","",'Qualitative Disclosures for AS'!E926)</f>
        <v>1-2 years</v>
      </c>
      <c r="G105" s="187" t="str">
        <f>+IF('Qualitative Disclosures for AS'!F926="","",'Qualitative Disclosures for AS'!F926)</f>
        <v>2-3 years</v>
      </c>
      <c r="H105" s="916" t="str">
        <f>+IF('Qualitative Disclosures for AS'!G926="","",'Qualitative Disclosures for AS'!G926)</f>
        <v>More than 3 years</v>
      </c>
    </row>
    <row r="106" spans="3:16" hidden="1" x14ac:dyDescent="0.3">
      <c r="D106" s="908" t="str">
        <f>+IF('Qualitative Disclosures for AS'!C927="","",'Qualitative Disclosures for AS'!C927)</f>
        <v>Projects in progress</v>
      </c>
      <c r="E106" s="1784">
        <f>+IF('Qualitative Disclosures for AS'!D927="","",'Qualitative Disclosures for AS'!D927)</f>
        <v>0</v>
      </c>
      <c r="F106" s="1784">
        <f>+IF('Qualitative Disclosures for AS'!E927="","",'Qualitative Disclosures for AS'!E927)</f>
        <v>0</v>
      </c>
      <c r="G106" s="1784">
        <f>+IF('Qualitative Disclosures for AS'!F927="","",'Qualitative Disclosures for AS'!F927)</f>
        <v>0</v>
      </c>
      <c r="H106" s="1787">
        <f>+IF('Qualitative Disclosures for AS'!G927="","",'Qualitative Disclosures for AS'!G927)</f>
        <v>0</v>
      </c>
      <c r="M106" s="42"/>
    </row>
    <row r="107" spans="3:16" hidden="1" x14ac:dyDescent="0.3">
      <c r="D107" s="908" t="str">
        <f>+IF('Qualitative Disclosures for AS'!C928="","",'Qualitative Disclosures for AS'!C928)</f>
        <v>Project 1</v>
      </c>
      <c r="E107" s="1784">
        <f>+IF('Qualitative Disclosures for AS'!D928="","",'Qualitative Disclosures for AS'!D928)</f>
        <v>0</v>
      </c>
      <c r="F107" s="1784">
        <f>+IF('Qualitative Disclosures for AS'!E928="","",'Qualitative Disclosures for AS'!E928)</f>
        <v>0</v>
      </c>
      <c r="G107" s="1784">
        <f>+IF('Qualitative Disclosures for AS'!F928="","",'Qualitative Disclosures for AS'!F928)</f>
        <v>0</v>
      </c>
      <c r="H107" s="1787">
        <f>+IF('Qualitative Disclosures for AS'!G928="","",'Qualitative Disclosures for AS'!G928)</f>
        <v>0</v>
      </c>
      <c r="M107" s="42"/>
    </row>
    <row r="108" spans="3:16" hidden="1" x14ac:dyDescent="0.3">
      <c r="D108" s="908" t="str">
        <f>+IF('Qualitative Disclosures for AS'!C929="","",'Qualitative Disclosures for AS'!C929)</f>
        <v>Project 2</v>
      </c>
      <c r="E108" s="1784">
        <f>+IF('Qualitative Disclosures for AS'!D929="","",'Qualitative Disclosures for AS'!D929)</f>
        <v>0</v>
      </c>
      <c r="F108" s="1784">
        <f>+IF('Qualitative Disclosures for AS'!E929="","",'Qualitative Disclosures for AS'!E929)</f>
        <v>0</v>
      </c>
      <c r="G108" s="1784">
        <f>+IF('Qualitative Disclosures for AS'!F929="","",'Qualitative Disclosures for AS'!F929)</f>
        <v>0</v>
      </c>
      <c r="H108" s="1787">
        <f>+IF('Qualitative Disclosures for AS'!G929="","",'Qualitative Disclosures for AS'!G929)</f>
        <v>0</v>
      </c>
      <c r="M108" s="42"/>
    </row>
    <row r="109" spans="3:16" hidden="1" x14ac:dyDescent="0.3">
      <c r="D109" s="908" t="str">
        <f>+IF('Qualitative Disclosures for AS'!C930="","",'Qualitative Disclosures for AS'!C930)</f>
        <v>Projects temporarily suspended</v>
      </c>
      <c r="E109" s="1784">
        <f>+IF('Qualitative Disclosures for AS'!D930="","",'Qualitative Disclosures for AS'!D930)</f>
        <v>0</v>
      </c>
      <c r="F109" s="1784">
        <f>+IF('Qualitative Disclosures for AS'!E930="","",'Qualitative Disclosures for AS'!E930)</f>
        <v>0</v>
      </c>
      <c r="G109" s="1784">
        <f>+IF('Qualitative Disclosures for AS'!F930="","",'Qualitative Disclosures for AS'!F930)</f>
        <v>0</v>
      </c>
      <c r="H109" s="1787">
        <f>+IF('Qualitative Disclosures for AS'!G930="","",'Qualitative Disclosures for AS'!G930)</f>
        <v>0</v>
      </c>
      <c r="M109" s="42"/>
    </row>
    <row r="110" spans="3:16" hidden="1" x14ac:dyDescent="0.3">
      <c r="D110" s="908" t="str">
        <f>+IF('Qualitative Disclosures for AS'!C931="","",'Qualitative Disclosures for AS'!C931)</f>
        <v>Project 1</v>
      </c>
      <c r="E110" s="1784">
        <f>+IF('Qualitative Disclosures for AS'!D931="","",'Qualitative Disclosures for AS'!D931)</f>
        <v>0</v>
      </c>
      <c r="F110" s="1784">
        <f>+IF('Qualitative Disclosures for AS'!E931="","",'Qualitative Disclosures for AS'!E931)</f>
        <v>0</v>
      </c>
      <c r="G110" s="1784">
        <f>+IF('Qualitative Disclosures for AS'!F931="","",'Qualitative Disclosures for AS'!F931)</f>
        <v>0</v>
      </c>
      <c r="H110" s="1787">
        <f>+IF('Qualitative Disclosures for AS'!G931="","",'Qualitative Disclosures for AS'!G931)</f>
        <v>0</v>
      </c>
      <c r="M110" s="42"/>
    </row>
    <row r="111" spans="3:16" ht="17.25" hidden="1" thickBot="1" x14ac:dyDescent="0.35">
      <c r="D111" s="911" t="str">
        <f>+IF('Qualitative Disclosures for AS'!C932="","",'Qualitative Disclosures for AS'!C932)</f>
        <v>Project 2</v>
      </c>
      <c r="E111" s="1788">
        <f>+IF('Qualitative Disclosures for AS'!D932="","",'Qualitative Disclosures for AS'!D932)</f>
        <v>0</v>
      </c>
      <c r="F111" s="1788">
        <f>+IF('Qualitative Disclosures for AS'!E932="","",'Qualitative Disclosures for AS'!E932)</f>
        <v>0</v>
      </c>
      <c r="G111" s="1788">
        <f>+IF('Qualitative Disclosures for AS'!F932="","",'Qualitative Disclosures for AS'!F932)</f>
        <v>0</v>
      </c>
      <c r="H111" s="1789">
        <f>+IF('Qualitative Disclosures for AS'!G932="","",'Qualitative Disclosures for AS'!G932)</f>
        <v>0</v>
      </c>
      <c r="M111" s="42"/>
    </row>
    <row r="112" spans="3:16" hidden="1" x14ac:dyDescent="0.3">
      <c r="M112" s="42"/>
    </row>
    <row r="113" spans="3:13" hidden="1" x14ac:dyDescent="0.3">
      <c r="D113" s="1440" t="str">
        <f>+IF('Qualitative Disclosures for AS'!C934="","",'Qualitative Disclosures for AS'!C934)</f>
        <v/>
      </c>
      <c r="E113" s="1440" t="str">
        <f>+IF('Qualitative Disclosures for AS'!D934="","",'Qualitative Disclosures for AS'!D934)</f>
        <v/>
      </c>
      <c r="F113" s="1440" t="str">
        <f>+IF('Qualitative Disclosures for AS'!E934="","",'Qualitative Disclosures for AS'!E934)</f>
        <v/>
      </c>
      <c r="G113" s="1440" t="str">
        <f>+IF('Qualitative Disclosures for AS'!F934="","",'Qualitative Disclosures for AS'!F934)</f>
        <v/>
      </c>
      <c r="H113" s="1440" t="str">
        <f>+IF('Qualitative Disclosures for AS'!G934="","",'Qualitative Disclosures for AS'!G934)</f>
        <v/>
      </c>
      <c r="I113" s="1440" t="str">
        <f>+IF('Qualitative Disclosures for AS'!H934="","",'Qualitative Disclosures for AS'!H934)</f>
        <v/>
      </c>
      <c r="J113" s="1440" t="str">
        <f>+IF('Qualitative Disclosures for AS'!I934="","",'Qualitative Disclosures for AS'!I934)</f>
        <v/>
      </c>
      <c r="M113" s="42"/>
    </row>
    <row r="114" spans="3:13" hidden="1" x14ac:dyDescent="0.3">
      <c r="D114" s="1440" t="str">
        <f>+IF('Qualitative Disclosures for AS'!C935="","",'Qualitative Disclosures for AS'!C935)</f>
        <v/>
      </c>
      <c r="E114" s="1440" t="str">
        <f>+IF('Qualitative Disclosures for AS'!D935="","",'Qualitative Disclosures for AS'!D935)</f>
        <v/>
      </c>
      <c r="F114" s="1440" t="str">
        <f>+IF('Qualitative Disclosures for AS'!E935="","",'Qualitative Disclosures for AS'!E935)</f>
        <v/>
      </c>
      <c r="G114" s="1440" t="str">
        <f>+IF('Qualitative Disclosures for AS'!F935="","",'Qualitative Disclosures for AS'!F935)</f>
        <v/>
      </c>
      <c r="H114" s="1440" t="str">
        <f>+IF('Qualitative Disclosures for AS'!G935="","",'Qualitative Disclosures for AS'!G935)</f>
        <v/>
      </c>
      <c r="I114" s="1440" t="str">
        <f>+IF('Qualitative Disclosures for AS'!H935="","",'Qualitative Disclosures for AS'!H935)</f>
        <v/>
      </c>
      <c r="J114" s="1440" t="str">
        <f>+IF('Qualitative Disclosures for AS'!I935="","",'Qualitative Disclosures for AS'!I935)</f>
        <v/>
      </c>
      <c r="M114" s="42"/>
    </row>
    <row r="115" spans="3:13" hidden="1" x14ac:dyDescent="0.3">
      <c r="D115" s="1440" t="str">
        <f>+IF('Qualitative Disclosures for AS'!C936="","",'Qualitative Disclosures for AS'!C936)</f>
        <v/>
      </c>
      <c r="E115" s="1440" t="str">
        <f>+IF('Qualitative Disclosures for AS'!D936="","",'Qualitative Disclosures for AS'!D936)</f>
        <v/>
      </c>
      <c r="F115" s="1440" t="str">
        <f>+IF('Qualitative Disclosures for AS'!E936="","",'Qualitative Disclosures for AS'!E936)</f>
        <v/>
      </c>
      <c r="G115" s="1440" t="str">
        <f>+IF('Qualitative Disclosures for AS'!F936="","",'Qualitative Disclosures for AS'!F936)</f>
        <v/>
      </c>
      <c r="H115" s="1440" t="str">
        <f>+IF('Qualitative Disclosures for AS'!G936="","",'Qualitative Disclosures for AS'!G936)</f>
        <v/>
      </c>
      <c r="I115" s="1440" t="str">
        <f>+IF('Qualitative Disclosures for AS'!H936="","",'Qualitative Disclosures for AS'!H936)</f>
        <v/>
      </c>
      <c r="J115" s="1440" t="str">
        <f>+IF('Qualitative Disclosures for AS'!I936="","",'Qualitative Disclosures for AS'!I936)</f>
        <v/>
      </c>
      <c r="M115" s="42"/>
    </row>
    <row r="116" spans="3:13" hidden="1" x14ac:dyDescent="0.3">
      <c r="D116" s="1440" t="str">
        <f>+IF('Qualitative Disclosures for AS'!C937="","",'Qualitative Disclosures for AS'!C937)</f>
        <v/>
      </c>
      <c r="E116" s="1440" t="str">
        <f>+IF('Qualitative Disclosures for AS'!D937="","",'Qualitative Disclosures for AS'!D937)</f>
        <v/>
      </c>
      <c r="F116" s="1440" t="str">
        <f>+IF('Qualitative Disclosures for AS'!E937="","",'Qualitative Disclosures for AS'!E937)</f>
        <v/>
      </c>
      <c r="G116" s="1440" t="str">
        <f>+IF('Qualitative Disclosures for AS'!F937="","",'Qualitative Disclosures for AS'!F937)</f>
        <v/>
      </c>
      <c r="H116" s="1440" t="str">
        <f>+IF('Qualitative Disclosures for AS'!G937="","",'Qualitative Disclosures for AS'!G937)</f>
        <v/>
      </c>
      <c r="I116" s="1440" t="str">
        <f>+IF('Qualitative Disclosures for AS'!H937="","",'Qualitative Disclosures for AS'!H937)</f>
        <v/>
      </c>
      <c r="J116" s="1440" t="str">
        <f>+IF('Qualitative Disclosures for AS'!I937="","",'Qualitative Disclosures for AS'!I937)</f>
        <v/>
      </c>
      <c r="M116" s="42"/>
    </row>
    <row r="117" spans="3:13" hidden="1" x14ac:dyDescent="0.3">
      <c r="D117" s="1440" t="str">
        <f>+IF('Qualitative Disclosures for AS'!C938="","",'Qualitative Disclosures for AS'!C938)</f>
        <v/>
      </c>
      <c r="E117" s="1440" t="str">
        <f>+IF('Qualitative Disclosures for AS'!D938="","",'Qualitative Disclosures for AS'!D938)</f>
        <v/>
      </c>
      <c r="F117" s="1440" t="str">
        <f>+IF('Qualitative Disclosures for AS'!E938="","",'Qualitative Disclosures for AS'!E938)</f>
        <v/>
      </c>
      <c r="G117" s="1440" t="str">
        <f>+IF('Qualitative Disclosures for AS'!F938="","",'Qualitative Disclosures for AS'!F938)</f>
        <v/>
      </c>
      <c r="H117" s="1440" t="str">
        <f>+IF('Qualitative Disclosures for AS'!G938="","",'Qualitative Disclosures for AS'!G938)</f>
        <v/>
      </c>
      <c r="I117" s="1440" t="str">
        <f>+IF('Qualitative Disclosures for AS'!H938="","",'Qualitative Disclosures for AS'!H938)</f>
        <v/>
      </c>
      <c r="J117" s="1440" t="str">
        <f>+IF('Qualitative Disclosures for AS'!I938="","",'Qualitative Disclosures for AS'!I938)</f>
        <v/>
      </c>
      <c r="M117" s="42"/>
    </row>
    <row r="118" spans="3:13" hidden="1" x14ac:dyDescent="0.3">
      <c r="D118" s="1440" t="str">
        <f>+IF('Qualitative Disclosures for AS'!C939="","",'Qualitative Disclosures for AS'!C939)</f>
        <v/>
      </c>
      <c r="E118" s="1440" t="str">
        <f>+IF('Qualitative Disclosures for AS'!D939="","",'Qualitative Disclosures for AS'!D939)</f>
        <v/>
      </c>
      <c r="F118" s="1440" t="str">
        <f>+IF('Qualitative Disclosures for AS'!E939="","",'Qualitative Disclosures for AS'!E939)</f>
        <v/>
      </c>
      <c r="G118" s="1440" t="str">
        <f>+IF('Qualitative Disclosures for AS'!F939="","",'Qualitative Disclosures for AS'!F939)</f>
        <v/>
      </c>
      <c r="H118" s="1440" t="str">
        <f>+IF('Qualitative Disclosures for AS'!G939="","",'Qualitative Disclosures for AS'!G939)</f>
        <v/>
      </c>
      <c r="I118" s="1440" t="str">
        <f>+IF('Qualitative Disclosures for AS'!H939="","",'Qualitative Disclosures for AS'!H939)</f>
        <v/>
      </c>
      <c r="J118" s="1440" t="str">
        <f>+IF('Qualitative Disclosures for AS'!I939="","",'Qualitative Disclosures for AS'!I939)</f>
        <v/>
      </c>
      <c r="M118" s="42"/>
    </row>
    <row r="120" spans="3:13" x14ac:dyDescent="0.3">
      <c r="C120" s="1134">
        <f>+C91+0.01</f>
        <v>33.059999999999995</v>
      </c>
      <c r="D120" s="4" t="str">
        <f>+IF('Qualitative Disclosures for AS'!C946="","",'Qualitative Disclosures for AS'!C946)</f>
        <v>Details of Benami Property held</v>
      </c>
      <c r="M120" s="177"/>
    </row>
    <row r="121" spans="3:13" hidden="1" x14ac:dyDescent="0.3">
      <c r="C121" s="907"/>
      <c r="D121" s="4"/>
      <c r="M121" s="177"/>
    </row>
    <row r="122" spans="3:13" x14ac:dyDescent="0.3">
      <c r="C122" s="907"/>
      <c r="D122" s="1" t="str">
        <f>+IF('Qualitative Disclosures for AS'!C948="","",'Qualitative Disclosures for AS'!C948)</f>
        <v>The Company does not hold any Benami Property as at the year ended 31st March, 2025.</v>
      </c>
      <c r="F122" s="1" t="str">
        <f>+IF('Qualitative Disclosures for AS'!E948="","",'Qualitative Disclosures for AS'!E948)</f>
        <v/>
      </c>
      <c r="G122" s="1" t="str">
        <f>+IF('Qualitative Disclosures for AS'!F948="","",'Qualitative Disclosures for AS'!F948)</f>
        <v/>
      </c>
      <c r="H122" s="1" t="str">
        <f>+IF('Qualitative Disclosures for AS'!G948="","",'Qualitative Disclosures for AS'!G948)</f>
        <v/>
      </c>
      <c r="I122" s="1" t="str">
        <f>+IF('Qualitative Disclosures for AS'!H948="","",'Qualitative Disclosures for AS'!H948)</f>
        <v/>
      </c>
      <c r="J122" s="1" t="str">
        <f>+IF('Qualitative Disclosures for AS'!I948="","",'Qualitative Disclosures for AS'!I948)</f>
        <v/>
      </c>
      <c r="M122" s="177"/>
    </row>
    <row r="123" spans="3:13" hidden="1" x14ac:dyDescent="0.3">
      <c r="C123" s="907"/>
      <c r="D123" s="1722" t="str">
        <f>+IF('Qualitative Disclosures for AS'!C949="","",'Qualitative Disclosures for AS'!C949)</f>
        <v/>
      </c>
      <c r="E123" s="1440" t="str">
        <f>+IF('Qualitative Disclosures for AS'!D949="","",'Qualitative Disclosures for AS'!D949)</f>
        <v/>
      </c>
      <c r="F123" s="1440" t="str">
        <f>+IF('Qualitative Disclosures for AS'!E949="","",'Qualitative Disclosures for AS'!E949)</f>
        <v/>
      </c>
      <c r="G123" s="1440" t="str">
        <f>+IF('Qualitative Disclosures for AS'!F949="","",'Qualitative Disclosures for AS'!F949)</f>
        <v/>
      </c>
      <c r="H123" s="1440" t="str">
        <f>+IF('Qualitative Disclosures for AS'!G949="","",'Qualitative Disclosures for AS'!G949)</f>
        <v/>
      </c>
      <c r="I123" s="1440" t="str">
        <f>+IF('Qualitative Disclosures for AS'!H949="","",'Qualitative Disclosures for AS'!H949)</f>
        <v/>
      </c>
      <c r="J123" s="1440" t="str">
        <f>+IF('Qualitative Disclosures for AS'!I949="","",'Qualitative Disclosures for AS'!I949)</f>
        <v/>
      </c>
      <c r="M123" s="177"/>
    </row>
    <row r="124" spans="3:13" hidden="1" x14ac:dyDescent="0.3">
      <c r="C124" s="907"/>
      <c r="D124" s="1722" t="str">
        <f>+IF('Qualitative Disclosures for AS'!C950="","",'Qualitative Disclosures for AS'!C950)</f>
        <v/>
      </c>
      <c r="E124" s="1440" t="str">
        <f>+IF('Qualitative Disclosures for AS'!D950="","",'Qualitative Disclosures for AS'!D950)</f>
        <v/>
      </c>
      <c r="F124" s="1440" t="str">
        <f>+IF('Qualitative Disclosures for AS'!E950="","",'Qualitative Disclosures for AS'!E950)</f>
        <v/>
      </c>
      <c r="G124" s="1440" t="str">
        <f>+IF('Qualitative Disclosures for AS'!F950="","",'Qualitative Disclosures for AS'!F950)</f>
        <v/>
      </c>
      <c r="H124" s="1440" t="str">
        <f>+IF('Qualitative Disclosures for AS'!G950="","",'Qualitative Disclosures for AS'!G950)</f>
        <v/>
      </c>
      <c r="I124" s="1440" t="str">
        <f>+IF('Qualitative Disclosures for AS'!H950="","",'Qualitative Disclosures for AS'!H950)</f>
        <v/>
      </c>
      <c r="J124" s="1440" t="str">
        <f>+IF('Qualitative Disclosures for AS'!I950="","",'Qualitative Disclosures for AS'!I950)</f>
        <v/>
      </c>
      <c r="M124" s="177"/>
    </row>
    <row r="125" spans="3:13" hidden="1" x14ac:dyDescent="0.3">
      <c r="C125" s="907"/>
      <c r="D125" s="1722" t="str">
        <f>+IF('Qualitative Disclosures for AS'!C951="","",'Qualitative Disclosures for AS'!C951)</f>
        <v/>
      </c>
      <c r="E125" s="1440" t="str">
        <f>+IF('Qualitative Disclosures for AS'!D951="","",'Qualitative Disclosures for AS'!D951)</f>
        <v/>
      </c>
      <c r="F125" s="1440" t="str">
        <f>+IF('Qualitative Disclosures for AS'!E951="","",'Qualitative Disclosures for AS'!E951)</f>
        <v/>
      </c>
      <c r="G125" s="1440" t="str">
        <f>+IF('Qualitative Disclosures for AS'!F951="","",'Qualitative Disclosures for AS'!F951)</f>
        <v/>
      </c>
      <c r="H125" s="1440" t="str">
        <f>+IF('Qualitative Disclosures for AS'!G951="","",'Qualitative Disclosures for AS'!G951)</f>
        <v/>
      </c>
      <c r="I125" s="1440" t="str">
        <f>+IF('Qualitative Disclosures for AS'!H951="","",'Qualitative Disclosures for AS'!H951)</f>
        <v/>
      </c>
      <c r="J125" s="1440" t="str">
        <f>+IF('Qualitative Disclosures for AS'!I951="","",'Qualitative Disclosures for AS'!I951)</f>
        <v/>
      </c>
      <c r="M125" s="177"/>
    </row>
    <row r="126" spans="3:13" hidden="1" x14ac:dyDescent="0.3">
      <c r="C126" s="907"/>
      <c r="D126" s="1722" t="str">
        <f>+IF('Qualitative Disclosures for AS'!C952="","",'Qualitative Disclosures for AS'!C952)</f>
        <v/>
      </c>
      <c r="E126" s="1440" t="str">
        <f>+IF('Qualitative Disclosures for AS'!D952="","",'Qualitative Disclosures for AS'!D952)</f>
        <v/>
      </c>
      <c r="F126" s="1440" t="str">
        <f>+IF('Qualitative Disclosures for AS'!E952="","",'Qualitative Disclosures for AS'!E952)</f>
        <v/>
      </c>
      <c r="G126" s="1440" t="str">
        <f>+IF('Qualitative Disclosures for AS'!F952="","",'Qualitative Disclosures for AS'!F952)</f>
        <v/>
      </c>
      <c r="H126" s="1440" t="str">
        <f>+IF('Qualitative Disclosures for AS'!G952="","",'Qualitative Disclosures for AS'!G952)</f>
        <v/>
      </c>
      <c r="I126" s="1440" t="str">
        <f>+IF('Qualitative Disclosures for AS'!H952="","",'Qualitative Disclosures for AS'!H952)</f>
        <v/>
      </c>
      <c r="J126" s="1440" t="str">
        <f>+IF('Qualitative Disclosures for AS'!I952="","",'Qualitative Disclosures for AS'!I952)</f>
        <v/>
      </c>
      <c r="M126" s="177"/>
    </row>
    <row r="127" spans="3:13" hidden="1" x14ac:dyDescent="0.3">
      <c r="C127" s="907"/>
      <c r="D127" s="1722" t="str">
        <f>+IF('Qualitative Disclosures for AS'!C953="","",'Qualitative Disclosures for AS'!C953)</f>
        <v/>
      </c>
      <c r="E127" s="1440" t="str">
        <f>+IF('Qualitative Disclosures for AS'!D953="","",'Qualitative Disclosures for AS'!D953)</f>
        <v/>
      </c>
      <c r="F127" s="1440" t="str">
        <f>+IF('Qualitative Disclosures for AS'!E953="","",'Qualitative Disclosures for AS'!E953)</f>
        <v/>
      </c>
      <c r="G127" s="1440" t="str">
        <f>+IF('Qualitative Disclosures for AS'!F953="","",'Qualitative Disclosures for AS'!F953)</f>
        <v/>
      </c>
      <c r="H127" s="1440" t="str">
        <f>+IF('Qualitative Disclosures for AS'!G953="","",'Qualitative Disclosures for AS'!G953)</f>
        <v/>
      </c>
      <c r="I127" s="1440" t="str">
        <f>+IF('Qualitative Disclosures for AS'!H953="","",'Qualitative Disclosures for AS'!H953)</f>
        <v/>
      </c>
      <c r="J127" s="1440" t="str">
        <f>+IF('Qualitative Disclosures for AS'!I953="","",'Qualitative Disclosures for AS'!I953)</f>
        <v/>
      </c>
      <c r="M127" s="177"/>
    </row>
    <row r="128" spans="3:13" x14ac:dyDescent="0.3">
      <c r="D128" s="5"/>
      <c r="E128" s="5"/>
      <c r="F128" s="5"/>
      <c r="G128" s="5"/>
      <c r="H128" s="5"/>
      <c r="I128" s="5"/>
      <c r="J128" s="5"/>
    </row>
    <row r="129" spans="3:13" x14ac:dyDescent="0.3">
      <c r="C129" s="1134">
        <f>+C120+0.01</f>
        <v>33.069999999999993</v>
      </c>
      <c r="D129" s="2980" t="str">
        <f>+IF('Qualitative Disclosures for AS'!C959="","",'Qualitative Disclosures for AS'!C959)</f>
        <v>Security of current assets against borrowings</v>
      </c>
      <c r="E129" s="2980" t="str">
        <f>+IF('Qualitative Disclosures for AS'!D959="","",'Qualitative Disclosures for AS'!D959)</f>
        <v/>
      </c>
      <c r="F129" s="2980" t="str">
        <f>+IF('Qualitative Disclosures for AS'!E959="","",'Qualitative Disclosures for AS'!E959)</f>
        <v/>
      </c>
      <c r="G129" s="2980" t="str">
        <f>+IF('Qualitative Disclosures for AS'!F959="","",'Qualitative Disclosures for AS'!F959)</f>
        <v/>
      </c>
      <c r="H129" s="2980" t="str">
        <f>+IF('Qualitative Disclosures for AS'!G959="","",'Qualitative Disclosures for AS'!G959)</f>
        <v/>
      </c>
      <c r="I129" s="2980" t="str">
        <f>+IF('Qualitative Disclosures for AS'!H959="","",'Qualitative Disclosures for AS'!H959)</f>
        <v/>
      </c>
      <c r="J129" s="2980" t="str">
        <f>+IF('Qualitative Disclosures for AS'!I959="","",'Qualitative Disclosures for AS'!I959)</f>
        <v/>
      </c>
    </row>
    <row r="130" spans="3:13" x14ac:dyDescent="0.3">
      <c r="C130" s="918"/>
      <c r="D130" s="551" t="str">
        <f>+'Qualitative Disclosures for AS'!C960</f>
        <v>The Company does not have any borrowings on the security of current assets.</v>
      </c>
      <c r="E130" s="181"/>
      <c r="F130" s="181"/>
      <c r="G130" s="181"/>
      <c r="H130" s="181"/>
      <c r="I130" s="181"/>
      <c r="J130" s="181"/>
    </row>
    <row r="131" spans="3:13" hidden="1" x14ac:dyDescent="0.3">
      <c r="D131" s="2981" t="str">
        <f>+IF('Qualitative Disclosures for AS'!C961="","",'Qualitative Disclosures for AS'!C961)</f>
        <v/>
      </c>
      <c r="E131" s="2981" t="str">
        <f>+IF('Qualitative Disclosures for AS'!D961="","",'Qualitative Disclosures for AS'!D961)</f>
        <v/>
      </c>
      <c r="F131" s="2981" t="str">
        <f>+IF('Qualitative Disclosures for AS'!E961="","",'Qualitative Disclosures for AS'!E961)</f>
        <v/>
      </c>
      <c r="G131" s="2981" t="str">
        <f>+IF('Qualitative Disclosures for AS'!F961="","",'Qualitative Disclosures for AS'!F961)</f>
        <v/>
      </c>
      <c r="H131" s="2981" t="str">
        <f>+IF('Qualitative Disclosures for AS'!G961="","",'Qualitative Disclosures for AS'!G961)</f>
        <v/>
      </c>
      <c r="I131" s="2981" t="str">
        <f>+IF('Qualitative Disclosures for AS'!H961="","",'Qualitative Disclosures for AS'!H961)</f>
        <v/>
      </c>
      <c r="J131" s="2981" t="str">
        <f>+IF('Qualitative Disclosures for AS'!I961="","",'Qualitative Disclosures for AS'!I961)</f>
        <v/>
      </c>
    </row>
    <row r="132" spans="3:13" hidden="1" x14ac:dyDescent="0.3">
      <c r="D132" s="2982"/>
      <c r="E132" s="2982"/>
      <c r="F132" s="2982"/>
      <c r="G132" s="2982"/>
      <c r="H132" s="2982"/>
      <c r="I132" s="2982"/>
      <c r="J132" s="2982"/>
    </row>
    <row r="133" spans="3:13" ht="75" hidden="1" x14ac:dyDescent="0.3">
      <c r="D133" s="919" t="str">
        <f>+IF('Qualitative Disclosures for AS'!C963="","",'Qualitative Disclosures for AS'!C963)</f>
        <v>Quarter</v>
      </c>
      <c r="E133" s="920" t="str">
        <f>+IF('Qualitative Disclosures for AS'!D963="","",'Qualitative Disclosures for AS'!D963)</f>
        <v>Name of bank</v>
      </c>
      <c r="F133" s="920" t="str">
        <f>+IF('Qualitative Disclosures for AS'!E963="","",'Qualitative Disclosures for AS'!E963)</f>
        <v>Particulars of Securities Provided</v>
      </c>
      <c r="G133" s="920" t="str">
        <f>+IF('Qualitative Disclosures for AS'!F963="","",'Qualitative Disclosures for AS'!F963)</f>
        <v>Amount as per books of account</v>
      </c>
      <c r="H133" s="920" t="str">
        <f>+IF('Qualitative Disclosures for AS'!G963="","",'Qualitative Disclosures for AS'!G963)</f>
        <v>Amount as reported in the quarterly return/ statement</v>
      </c>
      <c r="I133" s="920" t="str">
        <f>+IF('Qualitative Disclosures for AS'!H963="","",'Qualitative Disclosures for AS'!H963)</f>
        <v>Amount of difference</v>
      </c>
      <c r="J133" s="921" t="str">
        <f>+IF('Qualitative Disclosures for AS'!I963="","",'Qualitative Disclosures for AS'!I963)</f>
        <v>Reason for material discrepancies</v>
      </c>
    </row>
    <row r="134" spans="3:13" ht="17.25" hidden="1" thickBot="1" x14ac:dyDescent="0.35">
      <c r="D134" s="911" t="str">
        <f>+IF('Qualitative Disclosures for AS'!C964="","",'Qualitative Disclosures for AS'!C964)</f>
        <v>June 20XX</v>
      </c>
      <c r="E134" s="912" t="str">
        <f>+IF('Qualitative Disclosures for AS'!D964="","",'Qualitative Disclosures for AS'!D964)</f>
        <v>Bank X</v>
      </c>
      <c r="F134" s="912" t="str">
        <f>+IF('Qualitative Disclosures for AS'!E964="","",'Qualitative Disclosures for AS'!E964)</f>
        <v>Finished Goods</v>
      </c>
      <c r="G134" s="912" t="str">
        <f>+IF('Qualitative Disclosures for AS'!F964="","",'Qualitative Disclosures for AS'!F964)</f>
        <v/>
      </c>
      <c r="H134" s="912" t="str">
        <f>+IF('Qualitative Disclosures for AS'!G964="","",'Qualitative Disclosures for AS'!G964)</f>
        <v/>
      </c>
      <c r="I134" s="912" t="str">
        <f>+IF('Qualitative Disclosures for AS'!H964="","",'Qualitative Disclosures for AS'!H964)</f>
        <v/>
      </c>
      <c r="J134" s="913" t="str">
        <f>+IF('Qualitative Disclosures for AS'!I964="","",'Qualitative Disclosures for AS'!I964)</f>
        <v/>
      </c>
      <c r="M134" s="42"/>
    </row>
    <row r="135" spans="3:13" hidden="1" x14ac:dyDescent="0.3"/>
    <row r="136" spans="3:13" hidden="1" x14ac:dyDescent="0.3">
      <c r="D136" s="1440" t="str">
        <f>+IF('Qualitative Disclosures for AS'!C966="","",'Qualitative Disclosures for AS'!C966)</f>
        <v/>
      </c>
      <c r="E136" s="1440" t="str">
        <f>+IF('Qualitative Disclosures for AS'!D966="","",'Qualitative Disclosures for AS'!D966)</f>
        <v/>
      </c>
      <c r="F136" s="1440" t="str">
        <f>+IF('Qualitative Disclosures for AS'!E966="","",'Qualitative Disclosures for AS'!E966)</f>
        <v/>
      </c>
      <c r="G136" s="1440" t="str">
        <f>+IF('Qualitative Disclosures for AS'!F966="","",'Qualitative Disclosures for AS'!F966)</f>
        <v/>
      </c>
      <c r="H136" s="1440" t="str">
        <f>+IF('Qualitative Disclosures for AS'!G966="","",'Qualitative Disclosures for AS'!G966)</f>
        <v/>
      </c>
      <c r="I136" s="1440" t="str">
        <f>+IF('Qualitative Disclosures for AS'!H966="","",'Qualitative Disclosures for AS'!H966)</f>
        <v/>
      </c>
      <c r="J136" s="1440" t="str">
        <f>+IF('Qualitative Disclosures for AS'!I966="","",'Qualitative Disclosures for AS'!I966)</f>
        <v/>
      </c>
    </row>
    <row r="137" spans="3:13" hidden="1" x14ac:dyDescent="0.3">
      <c r="D137" s="1440" t="str">
        <f>+IF('Qualitative Disclosures for AS'!C967="","",'Qualitative Disclosures for AS'!C967)</f>
        <v/>
      </c>
      <c r="E137" s="1440" t="str">
        <f>+IF('Qualitative Disclosures for AS'!D967="","",'Qualitative Disclosures for AS'!D967)</f>
        <v/>
      </c>
      <c r="F137" s="1440" t="str">
        <f>+IF('Qualitative Disclosures for AS'!E967="","",'Qualitative Disclosures for AS'!E967)</f>
        <v/>
      </c>
      <c r="G137" s="1440" t="str">
        <f>+IF('Qualitative Disclosures for AS'!F967="","",'Qualitative Disclosures for AS'!F967)</f>
        <v/>
      </c>
      <c r="H137" s="1440" t="str">
        <f>+IF('Qualitative Disclosures for AS'!G967="","",'Qualitative Disclosures for AS'!G967)</f>
        <v/>
      </c>
      <c r="I137" s="1440" t="str">
        <f>+IF('Qualitative Disclosures for AS'!H967="","",'Qualitative Disclosures for AS'!H967)</f>
        <v/>
      </c>
      <c r="J137" s="1440" t="str">
        <f>+IF('Qualitative Disclosures for AS'!I967="","",'Qualitative Disclosures for AS'!I967)</f>
        <v/>
      </c>
    </row>
    <row r="138" spans="3:13" hidden="1" x14ac:dyDescent="0.3">
      <c r="D138" s="1440" t="str">
        <f>+IF('Qualitative Disclosures for AS'!C968="","",'Qualitative Disclosures for AS'!C968)</f>
        <v/>
      </c>
      <c r="E138" s="1440" t="str">
        <f>+IF('Qualitative Disclosures for AS'!D968="","",'Qualitative Disclosures for AS'!D968)</f>
        <v/>
      </c>
      <c r="F138" s="1440" t="str">
        <f>+IF('Qualitative Disclosures for AS'!E968="","",'Qualitative Disclosures for AS'!E968)</f>
        <v/>
      </c>
      <c r="G138" s="1440" t="str">
        <f>+IF('Qualitative Disclosures for AS'!F968="","",'Qualitative Disclosures for AS'!F968)</f>
        <v/>
      </c>
      <c r="H138" s="1440" t="str">
        <f>+IF('Qualitative Disclosures for AS'!G968="","",'Qualitative Disclosures for AS'!G968)</f>
        <v/>
      </c>
      <c r="I138" s="1440" t="str">
        <f>+IF('Qualitative Disclosures for AS'!H968="","",'Qualitative Disclosures for AS'!H968)</f>
        <v/>
      </c>
      <c r="J138" s="1440" t="str">
        <f>+IF('Qualitative Disclosures for AS'!I968="","",'Qualitative Disclosures for AS'!I968)</f>
        <v/>
      </c>
    </row>
    <row r="139" spans="3:13" hidden="1" x14ac:dyDescent="0.3">
      <c r="D139" s="1440" t="str">
        <f>+IF('Qualitative Disclosures for AS'!C969="","",'Qualitative Disclosures for AS'!C969)</f>
        <v/>
      </c>
      <c r="E139" s="1440" t="str">
        <f>+IF('Qualitative Disclosures for AS'!D969="","",'Qualitative Disclosures for AS'!D969)</f>
        <v/>
      </c>
      <c r="F139" s="1440" t="str">
        <f>+IF('Qualitative Disclosures for AS'!E969="","",'Qualitative Disclosures for AS'!E969)</f>
        <v/>
      </c>
      <c r="G139" s="1440" t="str">
        <f>+IF('Qualitative Disclosures for AS'!F969="","",'Qualitative Disclosures for AS'!F969)</f>
        <v/>
      </c>
      <c r="H139" s="1440" t="str">
        <f>+IF('Qualitative Disclosures for AS'!G969="","",'Qualitative Disclosures for AS'!G969)</f>
        <v/>
      </c>
      <c r="I139" s="1440" t="str">
        <f>+IF('Qualitative Disclosures for AS'!H969="","",'Qualitative Disclosures for AS'!H969)</f>
        <v/>
      </c>
      <c r="J139" s="1440" t="str">
        <f>+IF('Qualitative Disclosures for AS'!I969="","",'Qualitative Disclosures for AS'!I969)</f>
        <v/>
      </c>
    </row>
    <row r="140" spans="3:13" hidden="1" x14ac:dyDescent="0.3">
      <c r="D140" s="1440" t="str">
        <f>+IF('Qualitative Disclosures for AS'!C973="","",'Qualitative Disclosures for AS'!C973)</f>
        <v/>
      </c>
      <c r="E140" s="1440" t="str">
        <f>+IF('Qualitative Disclosures for AS'!D973="","",'Qualitative Disclosures for AS'!D973)</f>
        <v/>
      </c>
      <c r="F140" s="1440" t="str">
        <f>+IF('Qualitative Disclosures for AS'!E973="","",'Qualitative Disclosures for AS'!E973)</f>
        <v/>
      </c>
      <c r="G140" s="1440" t="str">
        <f>+IF('Qualitative Disclosures for AS'!F973="","",'Qualitative Disclosures for AS'!F973)</f>
        <v/>
      </c>
      <c r="H140" s="1440" t="str">
        <f>+IF('Qualitative Disclosures for AS'!G973="","",'Qualitative Disclosures for AS'!G973)</f>
        <v/>
      </c>
      <c r="I140" s="1440" t="str">
        <f>+IF('Qualitative Disclosures for AS'!H973="","",'Qualitative Disclosures for AS'!H973)</f>
        <v/>
      </c>
      <c r="J140" s="1440" t="str">
        <f>+IF('Qualitative Disclosures for AS'!I973="","",'Qualitative Disclosures for AS'!I973)</f>
        <v/>
      </c>
    </row>
    <row r="141" spans="3:13" hidden="1" x14ac:dyDescent="0.3">
      <c r="D141" s="1440" t="str">
        <f>+IF('Qualitative Disclosures for AS'!C974="","",'Qualitative Disclosures for AS'!C974)</f>
        <v/>
      </c>
      <c r="E141" s="1440" t="str">
        <f>+IF('Qualitative Disclosures for AS'!D974="","",'Qualitative Disclosures for AS'!D974)</f>
        <v/>
      </c>
      <c r="F141" s="1440" t="str">
        <f>+IF('Qualitative Disclosures for AS'!E974="","",'Qualitative Disclosures for AS'!E974)</f>
        <v/>
      </c>
      <c r="G141" s="1440" t="str">
        <f>+IF('Qualitative Disclosures for AS'!F974="","",'Qualitative Disclosures for AS'!F974)</f>
        <v/>
      </c>
      <c r="H141" s="1440" t="str">
        <f>+IF('Qualitative Disclosures for AS'!G974="","",'Qualitative Disclosures for AS'!G974)</f>
        <v/>
      </c>
      <c r="I141" s="1440" t="str">
        <f>+IF('Qualitative Disclosures for AS'!H974="","",'Qualitative Disclosures for AS'!H974)</f>
        <v/>
      </c>
      <c r="J141" s="1440" t="str">
        <f>+IF('Qualitative Disclosures for AS'!I974="","",'Qualitative Disclosures for AS'!I974)</f>
        <v/>
      </c>
    </row>
    <row r="142" spans="3:13" x14ac:dyDescent="0.3">
      <c r="D142" s="180"/>
      <c r="E142" s="180"/>
      <c r="F142" s="180"/>
      <c r="G142" s="180"/>
      <c r="H142" s="180"/>
      <c r="I142" s="180"/>
      <c r="J142" s="180"/>
    </row>
    <row r="143" spans="3:13" x14ac:dyDescent="0.3">
      <c r="C143" s="1134">
        <f>+C129+0.01</f>
        <v>33.079999999999991</v>
      </c>
      <c r="D143" s="4" t="str">
        <f>+IF('Qualitative Disclosures for AS'!C979="","",'Qualitative Disclosures for AS'!C979)</f>
        <v>Wilful Defaulter</v>
      </c>
    </row>
    <row r="144" spans="3:13" hidden="1" x14ac:dyDescent="0.3">
      <c r="C144" s="907"/>
      <c r="D144" s="4"/>
    </row>
    <row r="145" spans="3:16" x14ac:dyDescent="0.3">
      <c r="C145" s="907"/>
      <c r="D145" s="2396" t="str">
        <f>+IF('Qualitative Disclosures for AS'!C981="","",'Qualitative Disclosures for AS'!C981)</f>
        <v>The Company has not been declared Wilful Defaulter by any bank or financial institution during the year
 ended 31st March, 2025.</v>
      </c>
      <c r="I145" s="1" t="str">
        <f>+IF('Qualitative Disclosures for AS'!H1000="","",'Qualitative Disclosures for AS'!H1000)</f>
        <v/>
      </c>
      <c r="J145" s="1" t="str">
        <f>+IF('Qualitative Disclosures for AS'!I1000="","",'Qualitative Disclosures for AS'!I1000)</f>
        <v/>
      </c>
    </row>
    <row r="146" spans="3:16" hidden="1" x14ac:dyDescent="0.3">
      <c r="C146" s="907"/>
      <c r="D146" s="1722" t="str">
        <f>+IF('Qualitative Disclosures for AS'!C1001="","",'Qualitative Disclosures for AS'!C1001)</f>
        <v/>
      </c>
      <c r="E146" s="1440" t="str">
        <f>+IF('Qualitative Disclosures for AS'!D1001="","",'Qualitative Disclosures for AS'!D1001)</f>
        <v/>
      </c>
      <c r="F146" s="1440" t="str">
        <f>+IF('Qualitative Disclosures for AS'!E1001="","",'Qualitative Disclosures for AS'!E1001)</f>
        <v/>
      </c>
      <c r="G146" s="1440" t="str">
        <f>+IF('Qualitative Disclosures for AS'!F1001="","",'Qualitative Disclosures for AS'!F1001)</f>
        <v/>
      </c>
      <c r="H146" s="1440" t="str">
        <f>+IF('Qualitative Disclosures for AS'!G1001="","",'Qualitative Disclosures for AS'!G1001)</f>
        <v/>
      </c>
      <c r="I146" s="1440" t="str">
        <f>+IF('Qualitative Disclosures for AS'!H1001="","",'Qualitative Disclosures for AS'!H1001)</f>
        <v/>
      </c>
      <c r="J146" s="1440" t="str">
        <f>+IF('Qualitative Disclosures for AS'!I1001="","",'Qualitative Disclosures for AS'!I1001)</f>
        <v/>
      </c>
    </row>
    <row r="147" spans="3:16" hidden="1" x14ac:dyDescent="0.3">
      <c r="C147" s="907"/>
      <c r="D147" s="1722" t="str">
        <f>+IF('Qualitative Disclosures for AS'!C1002="","",'Qualitative Disclosures for AS'!C1002)</f>
        <v/>
      </c>
      <c r="E147" s="1440" t="str">
        <f>+IF('Qualitative Disclosures for AS'!D1002="","",'Qualitative Disclosures for AS'!D1002)</f>
        <v/>
      </c>
      <c r="F147" s="1440" t="str">
        <f>+IF('Qualitative Disclosures for AS'!E1002="","",'Qualitative Disclosures for AS'!E1002)</f>
        <v/>
      </c>
      <c r="G147" s="1440" t="str">
        <f>+IF('Qualitative Disclosures for AS'!F1002="","",'Qualitative Disclosures for AS'!F1002)</f>
        <v/>
      </c>
      <c r="H147" s="1440" t="str">
        <f>+IF('Qualitative Disclosures for AS'!G1002="","",'Qualitative Disclosures for AS'!G1002)</f>
        <v/>
      </c>
      <c r="I147" s="1440" t="str">
        <f>+IF('Qualitative Disclosures for AS'!H1002="","",'Qualitative Disclosures for AS'!H1002)</f>
        <v/>
      </c>
      <c r="J147" s="1440" t="str">
        <f>+IF('Qualitative Disclosures for AS'!I1002="","",'Qualitative Disclosures for AS'!I1002)</f>
        <v/>
      </c>
    </row>
    <row r="148" spans="3:16" hidden="1" x14ac:dyDescent="0.3">
      <c r="C148" s="907"/>
      <c r="D148" s="1722" t="str">
        <f>+IF('Qualitative Disclosures for AS'!C1003="","",'Qualitative Disclosures for AS'!C1003)</f>
        <v/>
      </c>
      <c r="E148" s="1440" t="str">
        <f>+IF('Qualitative Disclosures for AS'!D1003="","",'Qualitative Disclosures for AS'!D1003)</f>
        <v/>
      </c>
      <c r="F148" s="1440" t="str">
        <f>+IF('Qualitative Disclosures for AS'!E1003="","",'Qualitative Disclosures for AS'!E1003)</f>
        <v/>
      </c>
      <c r="G148" s="1440" t="str">
        <f>+IF('Qualitative Disclosures for AS'!F1003="","",'Qualitative Disclosures for AS'!F1003)</f>
        <v/>
      </c>
      <c r="H148" s="1440" t="str">
        <f>+IF('Qualitative Disclosures for AS'!G1003="","",'Qualitative Disclosures for AS'!G1003)</f>
        <v/>
      </c>
      <c r="I148" s="1440" t="str">
        <f>+IF('Qualitative Disclosures for AS'!H1003="","",'Qualitative Disclosures for AS'!H1003)</f>
        <v/>
      </c>
      <c r="J148" s="1440" t="str">
        <f>+IF('Qualitative Disclosures for AS'!I1003="","",'Qualitative Disclosures for AS'!I1003)</f>
        <v/>
      </c>
    </row>
    <row r="149" spans="3:16" hidden="1" x14ac:dyDescent="0.3">
      <c r="C149" s="907"/>
      <c r="D149" s="1722" t="str">
        <f>+IF('Qualitative Disclosures for AS'!C1004="","",'Qualitative Disclosures for AS'!C1004)</f>
        <v/>
      </c>
      <c r="E149" s="1440" t="str">
        <f>+IF('Qualitative Disclosures for AS'!D1004="","",'Qualitative Disclosures for AS'!D1004)</f>
        <v/>
      </c>
      <c r="F149" s="1440" t="str">
        <f>+IF('Qualitative Disclosures for AS'!E1004="","",'Qualitative Disclosures for AS'!E1004)</f>
        <v/>
      </c>
      <c r="G149" s="1440" t="str">
        <f>+IF('Qualitative Disclosures for AS'!F1004="","",'Qualitative Disclosures for AS'!F1004)</f>
        <v/>
      </c>
      <c r="H149" s="1440" t="str">
        <f>+IF('Qualitative Disclosures for AS'!G1004="","",'Qualitative Disclosures for AS'!G1004)</f>
        <v/>
      </c>
      <c r="I149" s="1440" t="str">
        <f>+IF('Qualitative Disclosures for AS'!H1004="","",'Qualitative Disclosures for AS'!H1004)</f>
        <v/>
      </c>
      <c r="J149" s="1440" t="str">
        <f>+IF('Qualitative Disclosures for AS'!I1004="","",'Qualitative Disclosures for AS'!I1004)</f>
        <v/>
      </c>
    </row>
    <row r="150" spans="3:16" hidden="1" x14ac:dyDescent="0.3">
      <c r="C150" s="907"/>
      <c r="D150" s="1722" t="str">
        <f>+IF('Qualitative Disclosures for AS'!C1005="","",'Qualitative Disclosures for AS'!C1005)</f>
        <v/>
      </c>
      <c r="E150" s="1440" t="str">
        <f>+IF('Qualitative Disclosures for AS'!D1005="","",'Qualitative Disclosures for AS'!D1005)</f>
        <v/>
      </c>
      <c r="F150" s="1440" t="str">
        <f>+IF('Qualitative Disclosures for AS'!E1005="","",'Qualitative Disclosures for AS'!E1005)</f>
        <v/>
      </c>
      <c r="G150" s="1440" t="str">
        <f>+IF('Qualitative Disclosures for AS'!F1005="","",'Qualitative Disclosures for AS'!F1005)</f>
        <v/>
      </c>
      <c r="H150" s="1440" t="str">
        <f>+IF('Qualitative Disclosures for AS'!G1005="","",'Qualitative Disclosures for AS'!G1005)</f>
        <v/>
      </c>
      <c r="I150" s="1440" t="str">
        <f>+IF('Qualitative Disclosures for AS'!H1005="","",'Qualitative Disclosures for AS'!H1005)</f>
        <v/>
      </c>
      <c r="J150" s="1440" t="str">
        <f>+IF('Qualitative Disclosures for AS'!I1005="","",'Qualitative Disclosures for AS'!I1005)</f>
        <v/>
      </c>
    </row>
    <row r="152" spans="3:16" x14ac:dyDescent="0.3">
      <c r="C152" s="1134">
        <f>+C143+0.01</f>
        <v>33.089999999999989</v>
      </c>
      <c r="D152" s="2980" t="str">
        <f>+IF('Qualitative Disclosures for AS'!C989="","",'Qualitative Disclosures for AS'!C989)</f>
        <v>Relationship with Struck off Companies</v>
      </c>
      <c r="E152" s="2980" t="str">
        <f>+IF('Qualitative Disclosures for AS'!D989="","",'Qualitative Disclosures for AS'!D989)</f>
        <v/>
      </c>
      <c r="F152" s="2980" t="str">
        <f>+IF('Qualitative Disclosures for AS'!E989="","",'Qualitative Disclosures for AS'!E989)</f>
        <v/>
      </c>
      <c r="G152" s="2980" t="str">
        <f>+IF('Qualitative Disclosures for AS'!F989="","",'Qualitative Disclosures for AS'!F989)</f>
        <v/>
      </c>
      <c r="H152" s="2980" t="str">
        <f>+IF('Qualitative Disclosures for AS'!G989="","",'Qualitative Disclosures for AS'!G989)</f>
        <v/>
      </c>
      <c r="I152" s="2980" t="str">
        <f>+IF('Qualitative Disclosures for AS'!H989="","",'Qualitative Disclosures for AS'!H989)</f>
        <v/>
      </c>
      <c r="J152" s="2980" t="str">
        <f>+IF('Qualitative Disclosures for AS'!I989="","",'Qualitative Disclosures for AS'!I989)</f>
        <v/>
      </c>
    </row>
    <row r="153" spans="3:16" hidden="1" x14ac:dyDescent="0.3">
      <c r="C153" s="1134"/>
      <c r="D153" s="189"/>
      <c r="E153" s="189"/>
      <c r="F153" s="189"/>
      <c r="G153" s="189"/>
      <c r="H153" s="189"/>
      <c r="I153" s="189"/>
      <c r="J153" s="189"/>
      <c r="P153" s="1">
        <f>+M145</f>
        <v>0</v>
      </c>
    </row>
    <row r="154" spans="3:16" x14ac:dyDescent="0.3">
      <c r="C154" s="1134"/>
      <c r="D154" s="1" t="str">
        <f>+'Qualitative Disclosures for AS'!C991</f>
        <v>The Company does not have relation with any Struck off Companies.</v>
      </c>
      <c r="E154" s="189"/>
      <c r="F154" s="189"/>
      <c r="G154" s="189"/>
      <c r="H154" s="189"/>
      <c r="I154" s="189"/>
      <c r="J154" s="189"/>
    </row>
    <row r="155" spans="3:16" hidden="1" x14ac:dyDescent="0.3">
      <c r="C155" s="907"/>
      <c r="D155" s="181"/>
      <c r="E155" s="181"/>
      <c r="F155" s="181"/>
      <c r="G155" s="181"/>
      <c r="H155" s="181"/>
      <c r="I155" s="181"/>
      <c r="J155" s="181"/>
    </row>
    <row r="156" spans="3:16" s="28" customFormat="1" ht="105" hidden="1" x14ac:dyDescent="0.25">
      <c r="C156" s="922"/>
      <c r="D156" s="919" t="str">
        <f>+IF('Qualitative Disclosures for AS'!C993="","",'Qualitative Disclosures for AS'!C993)</f>
        <v>Name of the struck off company</v>
      </c>
      <c r="E156" s="920" t="str">
        <f>+IF('Qualitative Disclosures for AS'!D993="","",'Qualitative Disclosures for AS'!D993)</f>
        <v>Nature of transactions with struck off company</v>
      </c>
      <c r="F156" s="920" t="str">
        <f>+IF('Qualitative Disclosures for AS'!E993="","",'Qualitative Disclosures for AS'!E993)</f>
        <v>Balance outstanding as at current period</v>
      </c>
      <c r="G156" s="920" t="str">
        <f>+IF('Qualitative Disclosures for AS'!F993="","",'Qualitative Disclosures for AS'!F993)</f>
        <v>Relationship with the struck off company, if any, to be disclosed</v>
      </c>
      <c r="H156" s="920" t="str">
        <f>+IF('Qualitative Disclosures for AS'!G993="","",'Qualitative Disclosures for AS'!G993)</f>
        <v>Balance outstanding as at previous period</v>
      </c>
      <c r="I156" s="921" t="str">
        <f>+IF('Qualitative Disclosures for AS'!H993="","",'Qualitative Disclosures for AS'!H993)</f>
        <v>Relationship with the struck off company, if any, to be disclosed</v>
      </c>
    </row>
    <row r="157" spans="3:16" hidden="1" x14ac:dyDescent="0.3">
      <c r="D157" s="908" t="str">
        <f>+IF('Qualitative Disclosures for AS'!C994="","",'Qualitative Disclosures for AS'!C994)</f>
        <v/>
      </c>
      <c r="E157" s="183" t="str">
        <f>+IF('Qualitative Disclosures for AS'!D994="","",'Qualitative Disclosures for AS'!D994)</f>
        <v>Investment in securities</v>
      </c>
      <c r="F157" s="183" t="str">
        <f>+IF('Qualitative Disclosures for AS'!E994="","",'Qualitative Disclosures for AS'!E994)</f>
        <v/>
      </c>
      <c r="G157" s="183" t="str">
        <f>+IF('Qualitative Disclosures for AS'!F994="","",'Qualitative Disclosures for AS'!F994)</f>
        <v/>
      </c>
      <c r="H157" s="183" t="str">
        <f>+IF('Qualitative Disclosures for AS'!G994="","",'Qualitative Disclosures for AS'!G994)</f>
        <v/>
      </c>
      <c r="I157" s="909" t="str">
        <f>+IF('Qualitative Disclosures for AS'!H994="","",'Qualitative Disclosures for AS'!H994)</f>
        <v/>
      </c>
      <c r="L157" s="177"/>
      <c r="M157" s="42"/>
    </row>
    <row r="158" spans="3:16" hidden="1" x14ac:dyDescent="0.3">
      <c r="D158" s="908" t="str">
        <f>+IF('Qualitative Disclosures for AS'!C995="","",'Qualitative Disclosures for AS'!C995)</f>
        <v/>
      </c>
      <c r="E158" s="183" t="str">
        <f>+IF('Qualitative Disclosures for AS'!D995="","",'Qualitative Disclosures for AS'!D995)</f>
        <v>Receivables</v>
      </c>
      <c r="F158" s="183" t="str">
        <f>+IF('Qualitative Disclosures for AS'!E995="","",'Qualitative Disclosures for AS'!E995)</f>
        <v/>
      </c>
      <c r="G158" s="183" t="str">
        <f>+IF('Qualitative Disclosures for AS'!F995="","",'Qualitative Disclosures for AS'!F995)</f>
        <v/>
      </c>
      <c r="H158" s="183" t="str">
        <f>+IF('Qualitative Disclosures for AS'!G995="","",'Qualitative Disclosures for AS'!G995)</f>
        <v/>
      </c>
      <c r="I158" s="909" t="str">
        <f>+IF('Qualitative Disclosures for AS'!H995="","",'Qualitative Disclosures for AS'!H995)</f>
        <v/>
      </c>
      <c r="M158" s="42"/>
    </row>
    <row r="159" spans="3:16" hidden="1" x14ac:dyDescent="0.3">
      <c r="D159" s="908" t="str">
        <f>+IF('Qualitative Disclosures for AS'!C996="","",'Qualitative Disclosures for AS'!C996)</f>
        <v/>
      </c>
      <c r="E159" s="183" t="str">
        <f>+IF('Qualitative Disclosures for AS'!D996="","",'Qualitative Disclosures for AS'!D996)</f>
        <v>Payables</v>
      </c>
      <c r="F159" s="183" t="str">
        <f>+IF('Qualitative Disclosures for AS'!E996="","",'Qualitative Disclosures for AS'!E996)</f>
        <v/>
      </c>
      <c r="G159" s="183" t="str">
        <f>+IF('Qualitative Disclosures for AS'!F996="","",'Qualitative Disclosures for AS'!F996)</f>
        <v/>
      </c>
      <c r="H159" s="183" t="str">
        <f>+IF('Qualitative Disclosures for AS'!G996="","",'Qualitative Disclosures for AS'!G996)</f>
        <v/>
      </c>
      <c r="I159" s="909" t="str">
        <f>+IF('Qualitative Disclosures for AS'!H996="","",'Qualitative Disclosures for AS'!H996)</f>
        <v/>
      </c>
      <c r="M159" s="42"/>
    </row>
    <row r="160" spans="3:16" ht="33" hidden="1" x14ac:dyDescent="0.3">
      <c r="D160" s="908" t="str">
        <f>+IF('Qualitative Disclosures for AS'!C997="","",'Qualitative Disclosures for AS'!C997)</f>
        <v/>
      </c>
      <c r="E160" s="923" t="str">
        <f>+IF('Qualitative Disclosures for AS'!D997="","",'Qualitative Disclosures for AS'!D997)</f>
        <v>Shares held by struck off company</v>
      </c>
      <c r="F160" s="183" t="str">
        <f>+IF('Qualitative Disclosures for AS'!E997="","",'Qualitative Disclosures for AS'!E997)</f>
        <v/>
      </c>
      <c r="G160" s="183" t="str">
        <f>+IF('Qualitative Disclosures for AS'!F997="","",'Qualitative Disclosures for AS'!F997)</f>
        <v/>
      </c>
      <c r="H160" s="183" t="str">
        <f>+IF('Qualitative Disclosures for AS'!G997="","",'Qualitative Disclosures for AS'!G997)</f>
        <v/>
      </c>
      <c r="I160" s="909" t="str">
        <f>+IF('Qualitative Disclosures for AS'!H997="","",'Qualitative Disclosures for AS'!H997)</f>
        <v/>
      </c>
      <c r="M160" s="42"/>
    </row>
    <row r="161" spans="3:13" ht="33.75" hidden="1" thickBot="1" x14ac:dyDescent="0.35">
      <c r="D161" s="911" t="str">
        <f>+IF('Qualitative Disclosures for AS'!C998="","",'Qualitative Disclosures for AS'!C998)</f>
        <v/>
      </c>
      <c r="E161" s="924" t="str">
        <f>+IF('Qualitative Disclosures for AS'!D998="","",'Qualitative Disclosures for AS'!D998)</f>
        <v>Other outstanding balances (to be specified)</v>
      </c>
      <c r="F161" s="912" t="str">
        <f>+IF('Qualitative Disclosures for AS'!E998="","",'Qualitative Disclosures for AS'!E998)</f>
        <v/>
      </c>
      <c r="G161" s="912" t="str">
        <f>+IF('Qualitative Disclosures for AS'!F998="","",'Qualitative Disclosures for AS'!F998)</f>
        <v/>
      </c>
      <c r="H161" s="912" t="str">
        <f>+IF('Qualitative Disclosures for AS'!G998="","",'Qualitative Disclosures for AS'!G998)</f>
        <v/>
      </c>
      <c r="I161" s="913" t="str">
        <f>+IF('Qualitative Disclosures for AS'!H998="","",'Qualitative Disclosures for AS'!H998)</f>
        <v/>
      </c>
      <c r="M161" s="42"/>
    </row>
    <row r="162" spans="3:13" hidden="1" x14ac:dyDescent="0.3">
      <c r="M162" s="42"/>
    </row>
    <row r="163" spans="3:13" hidden="1" x14ac:dyDescent="0.3">
      <c r="D163" s="1440" t="str">
        <f>+IF('Qualitative Disclosures for AS'!C1000="","",'Qualitative Disclosures for AS'!C1000)</f>
        <v/>
      </c>
      <c r="E163" s="1440" t="str">
        <f>+IF('Qualitative Disclosures for AS'!D1000="","",'Qualitative Disclosures for AS'!D1000)</f>
        <v/>
      </c>
      <c r="F163" s="1440" t="str">
        <f>+IF('Qualitative Disclosures for AS'!E1000="","",'Qualitative Disclosures for AS'!E1000)</f>
        <v/>
      </c>
      <c r="G163" s="1440" t="str">
        <f>+IF('Qualitative Disclosures for AS'!F1000="","",'Qualitative Disclosures for AS'!F1000)</f>
        <v/>
      </c>
      <c r="H163" s="1440" t="str">
        <f>+IF('Qualitative Disclosures for AS'!G1000="","",'Qualitative Disclosures for AS'!G1000)</f>
        <v/>
      </c>
      <c r="I163" s="1440" t="str">
        <f>+IF('Qualitative Disclosures for AS'!H1000="","",'Qualitative Disclosures for AS'!H1000)</f>
        <v/>
      </c>
      <c r="J163" s="1440" t="str">
        <f>+IF('Qualitative Disclosures for AS'!I1000="","",'Qualitative Disclosures for AS'!I1000)</f>
        <v/>
      </c>
      <c r="M163" s="42"/>
    </row>
    <row r="164" spans="3:13" hidden="1" x14ac:dyDescent="0.3">
      <c r="D164" s="1440" t="str">
        <f>+IF('Qualitative Disclosures for AS'!C1001="","",'Qualitative Disclosures for AS'!C1001)</f>
        <v/>
      </c>
      <c r="E164" s="1440" t="str">
        <f>+IF('Qualitative Disclosures for AS'!D1001="","",'Qualitative Disclosures for AS'!D1001)</f>
        <v/>
      </c>
      <c r="F164" s="1440" t="str">
        <f>+IF('Qualitative Disclosures for AS'!E1001="","",'Qualitative Disclosures for AS'!E1001)</f>
        <v/>
      </c>
      <c r="G164" s="1440" t="str">
        <f>+IF('Qualitative Disclosures for AS'!F1001="","",'Qualitative Disclosures for AS'!F1001)</f>
        <v/>
      </c>
      <c r="H164" s="1440" t="str">
        <f>+IF('Qualitative Disclosures for AS'!G1001="","",'Qualitative Disclosures for AS'!G1001)</f>
        <v/>
      </c>
      <c r="I164" s="1440" t="str">
        <f>+IF('Qualitative Disclosures for AS'!H1001="","",'Qualitative Disclosures for AS'!H1001)</f>
        <v/>
      </c>
      <c r="J164" s="1440" t="str">
        <f>+IF('Qualitative Disclosures for AS'!I1001="","",'Qualitative Disclosures for AS'!I1001)</f>
        <v/>
      </c>
      <c r="M164" s="42"/>
    </row>
    <row r="165" spans="3:13" hidden="1" x14ac:dyDescent="0.3">
      <c r="D165" s="1440" t="str">
        <f>+IF('Qualitative Disclosures for AS'!C1002="","",'Qualitative Disclosures for AS'!C1002)</f>
        <v/>
      </c>
      <c r="E165" s="1440" t="str">
        <f>+IF('Qualitative Disclosures for AS'!D1002="","",'Qualitative Disclosures for AS'!D1002)</f>
        <v/>
      </c>
      <c r="F165" s="1440" t="str">
        <f>+IF('Qualitative Disclosures for AS'!E1002="","",'Qualitative Disclosures for AS'!E1002)</f>
        <v/>
      </c>
      <c r="G165" s="1440" t="str">
        <f>+IF('Qualitative Disclosures for AS'!F1002="","",'Qualitative Disclosures for AS'!F1002)</f>
        <v/>
      </c>
      <c r="H165" s="1440" t="str">
        <f>+IF('Qualitative Disclosures for AS'!G1002="","",'Qualitative Disclosures for AS'!G1002)</f>
        <v/>
      </c>
      <c r="I165" s="1440" t="str">
        <f>+IF('Qualitative Disclosures for AS'!H1002="","",'Qualitative Disclosures for AS'!H1002)</f>
        <v/>
      </c>
      <c r="J165" s="1440" t="str">
        <f>+IF('Qualitative Disclosures for AS'!I1002="","",'Qualitative Disclosures for AS'!I1002)</f>
        <v/>
      </c>
      <c r="M165" s="42"/>
    </row>
    <row r="166" spans="3:13" hidden="1" x14ac:dyDescent="0.3">
      <c r="D166" s="1440" t="str">
        <f>+IF('Qualitative Disclosures for AS'!C1003="","",'Qualitative Disclosures for AS'!C1003)</f>
        <v/>
      </c>
      <c r="E166" s="1440" t="str">
        <f>+IF('Qualitative Disclosures for AS'!D1003="","",'Qualitative Disclosures for AS'!D1003)</f>
        <v/>
      </c>
      <c r="F166" s="1440" t="str">
        <f>+IF('Qualitative Disclosures for AS'!E1003="","",'Qualitative Disclosures for AS'!E1003)</f>
        <v/>
      </c>
      <c r="G166" s="1440" t="str">
        <f>+IF('Qualitative Disclosures for AS'!F1003="","",'Qualitative Disclosures for AS'!F1003)</f>
        <v/>
      </c>
      <c r="H166" s="1440" t="str">
        <f>+IF('Qualitative Disclosures for AS'!G1003="","",'Qualitative Disclosures for AS'!G1003)</f>
        <v/>
      </c>
      <c r="I166" s="1440" t="str">
        <f>+IF('Qualitative Disclosures for AS'!H1003="","",'Qualitative Disclosures for AS'!H1003)</f>
        <v/>
      </c>
      <c r="J166" s="1440" t="str">
        <f>+IF('Qualitative Disclosures for AS'!I1003="","",'Qualitative Disclosures for AS'!I1003)</f>
        <v/>
      </c>
      <c r="M166" s="42"/>
    </row>
    <row r="167" spans="3:13" hidden="1" x14ac:dyDescent="0.3">
      <c r="D167" s="1440" t="str">
        <f>+IF('Qualitative Disclosures for AS'!C1004="","",'Qualitative Disclosures for AS'!C1004)</f>
        <v/>
      </c>
      <c r="E167" s="1440" t="str">
        <f>+IF('Qualitative Disclosures for AS'!D1004="","",'Qualitative Disclosures for AS'!D1004)</f>
        <v/>
      </c>
      <c r="F167" s="1440" t="str">
        <f>+IF('Qualitative Disclosures for AS'!E1004="","",'Qualitative Disclosures for AS'!E1004)</f>
        <v/>
      </c>
      <c r="G167" s="1440" t="str">
        <f>+IF('Qualitative Disclosures for AS'!F1004="","",'Qualitative Disclosures for AS'!F1004)</f>
        <v/>
      </c>
      <c r="H167" s="1440" t="str">
        <f>+IF('Qualitative Disclosures for AS'!G1004="","",'Qualitative Disclosures for AS'!G1004)</f>
        <v/>
      </c>
      <c r="I167" s="1440" t="str">
        <f>+IF('Qualitative Disclosures for AS'!H1004="","",'Qualitative Disclosures for AS'!H1004)</f>
        <v/>
      </c>
      <c r="J167" s="1440" t="str">
        <f>+IF('Qualitative Disclosures for AS'!I1004="","",'Qualitative Disclosures for AS'!I1004)</f>
        <v/>
      </c>
      <c r="M167" s="42"/>
    </row>
    <row r="168" spans="3:13" hidden="1" x14ac:dyDescent="0.3">
      <c r="D168" s="1440" t="str">
        <f>+IF('Qualitative Disclosures for AS'!C1005="","",'Qualitative Disclosures for AS'!C1005)</f>
        <v/>
      </c>
      <c r="E168" s="1440" t="str">
        <f>+IF('Qualitative Disclosures for AS'!D1005="","",'Qualitative Disclosures for AS'!D1005)</f>
        <v/>
      </c>
      <c r="F168" s="1440" t="str">
        <f>+IF('Qualitative Disclosures for AS'!E1005="","",'Qualitative Disclosures for AS'!E1005)</f>
        <v/>
      </c>
      <c r="G168" s="1440" t="str">
        <f>+IF('Qualitative Disclosures for AS'!F1005="","",'Qualitative Disclosures for AS'!F1005)</f>
        <v/>
      </c>
      <c r="H168" s="1440" t="str">
        <f>+IF('Qualitative Disclosures for AS'!G1005="","",'Qualitative Disclosures for AS'!G1005)</f>
        <v/>
      </c>
      <c r="I168" s="1440" t="str">
        <f>+IF('Qualitative Disclosures for AS'!H1005="","",'Qualitative Disclosures for AS'!H1005)</f>
        <v/>
      </c>
      <c r="J168" s="1440" t="str">
        <f>+IF('Qualitative Disclosures for AS'!I1005="","",'Qualitative Disclosures for AS'!I1005)</f>
        <v/>
      </c>
      <c r="M168" s="42"/>
    </row>
    <row r="170" spans="3:13" x14ac:dyDescent="0.3">
      <c r="C170" s="1134">
        <f>+C152+0.01</f>
        <v>33.099999999999987</v>
      </c>
      <c r="D170" s="4" t="str">
        <f>+IF('Qualitative Disclosures for AS'!C1009="","",'Qualitative Disclosures for AS'!C1009)</f>
        <v>Registration of charges / Satisfaction of Charge</v>
      </c>
    </row>
    <row r="171" spans="3:13" hidden="1" x14ac:dyDescent="0.3">
      <c r="C171" s="925"/>
      <c r="D171" s="4"/>
    </row>
    <row r="172" spans="3:13" x14ac:dyDescent="0.3">
      <c r="C172" s="925"/>
      <c r="D172" s="1" t="str">
        <f>+IF('Qualitative Disclosures for AS'!C1011="","",'Qualitative Disclosures for AS'!C1011)</f>
        <v>The Company does not have any pending registraion or satisfaction of charges for the year ended 31st March 2025.</v>
      </c>
      <c r="H172" s="1" t="str">
        <f>+IF('Qualitative Disclosures for AS'!G1011="","",'Qualitative Disclosures for AS'!G1011)</f>
        <v/>
      </c>
      <c r="I172" s="1" t="str">
        <f>+IF('Qualitative Disclosures for AS'!H1011="","",'Qualitative Disclosures for AS'!H1011)</f>
        <v/>
      </c>
      <c r="J172" s="1" t="str">
        <f>+IF('Qualitative Disclosures for AS'!I1011="","",'Qualitative Disclosures for AS'!I1011)</f>
        <v/>
      </c>
    </row>
    <row r="173" spans="3:13" hidden="1" x14ac:dyDescent="0.3">
      <c r="C173" s="925"/>
      <c r="D173" s="1722" t="str">
        <f>+IF('Qualitative Disclosures for AS'!C1012="","",'Qualitative Disclosures for AS'!C1012)</f>
        <v/>
      </c>
      <c r="E173" s="1440" t="str">
        <f>+IF('Qualitative Disclosures for AS'!D1012="","",'Qualitative Disclosures for AS'!D1012)</f>
        <v/>
      </c>
      <c r="F173" s="1440" t="str">
        <f>+IF('Qualitative Disclosures for AS'!E1012="","",'Qualitative Disclosures for AS'!E1012)</f>
        <v/>
      </c>
      <c r="G173" s="1440" t="str">
        <f>+IF('Qualitative Disclosures for AS'!F1012="","",'Qualitative Disclosures for AS'!F1012)</f>
        <v/>
      </c>
      <c r="H173" s="1440" t="str">
        <f>+IF('Qualitative Disclosures for AS'!G1012="","",'Qualitative Disclosures for AS'!G1012)</f>
        <v/>
      </c>
      <c r="I173" s="1440" t="str">
        <f>+IF('Qualitative Disclosures for AS'!H1012="","",'Qualitative Disclosures for AS'!H1012)</f>
        <v/>
      </c>
      <c r="J173" s="1440" t="str">
        <f>+IF('Qualitative Disclosures for AS'!I1012="","",'Qualitative Disclosures for AS'!I1012)</f>
        <v/>
      </c>
    </row>
    <row r="174" spans="3:13" hidden="1" x14ac:dyDescent="0.3">
      <c r="C174" s="925"/>
      <c r="D174" s="1722" t="str">
        <f>+IF('Qualitative Disclosures for AS'!C1013="","",'Qualitative Disclosures for AS'!C1013)</f>
        <v/>
      </c>
      <c r="E174" s="1440" t="str">
        <f>+IF('Qualitative Disclosures for AS'!D1013="","",'Qualitative Disclosures for AS'!D1013)</f>
        <v/>
      </c>
      <c r="F174" s="1440" t="str">
        <f>+IF('Qualitative Disclosures for AS'!E1013="","",'Qualitative Disclosures for AS'!E1013)</f>
        <v/>
      </c>
      <c r="G174" s="1440" t="str">
        <f>+IF('Qualitative Disclosures for AS'!F1013="","",'Qualitative Disclosures for AS'!F1013)</f>
        <v/>
      </c>
      <c r="H174" s="1440" t="str">
        <f>+IF('Qualitative Disclosures for AS'!G1013="","",'Qualitative Disclosures for AS'!G1013)</f>
        <v/>
      </c>
      <c r="I174" s="1440" t="str">
        <f>+IF('Qualitative Disclosures for AS'!H1013="","",'Qualitative Disclosures for AS'!H1013)</f>
        <v/>
      </c>
      <c r="J174" s="1440" t="str">
        <f>+IF('Qualitative Disclosures for AS'!I1013="","",'Qualitative Disclosures for AS'!I1013)</f>
        <v/>
      </c>
    </row>
    <row r="175" spans="3:13" hidden="1" x14ac:dyDescent="0.3">
      <c r="C175" s="925"/>
      <c r="D175" s="1722" t="str">
        <f>+IF('Qualitative Disclosures for AS'!C1014="","",'Qualitative Disclosures for AS'!C1014)</f>
        <v/>
      </c>
      <c r="E175" s="1440" t="str">
        <f>+IF('Qualitative Disclosures for AS'!D1014="","",'Qualitative Disclosures for AS'!D1014)</f>
        <v/>
      </c>
      <c r="F175" s="1440" t="str">
        <f>+IF('Qualitative Disclosures for AS'!E1014="","",'Qualitative Disclosures for AS'!E1014)</f>
        <v/>
      </c>
      <c r="G175" s="1440" t="str">
        <f>+IF('Qualitative Disclosures for AS'!F1014="","",'Qualitative Disclosures for AS'!F1014)</f>
        <v/>
      </c>
      <c r="H175" s="1440" t="str">
        <f>+IF('Qualitative Disclosures for AS'!G1014="","",'Qualitative Disclosures for AS'!G1014)</f>
        <v/>
      </c>
      <c r="I175" s="1440" t="str">
        <f>+IF('Qualitative Disclosures for AS'!H1014="","",'Qualitative Disclosures for AS'!H1014)</f>
        <v/>
      </c>
      <c r="J175" s="1440" t="str">
        <f>+IF('Qualitative Disclosures for AS'!I1014="","",'Qualitative Disclosures for AS'!I1014)</f>
        <v/>
      </c>
    </row>
    <row r="176" spans="3:13" hidden="1" x14ac:dyDescent="0.3">
      <c r="C176" s="925"/>
      <c r="D176" s="1722" t="str">
        <f>+IF('Qualitative Disclosures for AS'!C1015="","",'Qualitative Disclosures for AS'!C1015)</f>
        <v/>
      </c>
      <c r="E176" s="1440" t="str">
        <f>+IF('Qualitative Disclosures for AS'!D1015="","",'Qualitative Disclosures for AS'!D1015)</f>
        <v/>
      </c>
      <c r="F176" s="1440" t="str">
        <f>+IF('Qualitative Disclosures for AS'!E1015="","",'Qualitative Disclosures for AS'!E1015)</f>
        <v/>
      </c>
      <c r="G176" s="1440" t="str">
        <f>+IF('Qualitative Disclosures for AS'!F1015="","",'Qualitative Disclosures for AS'!F1015)</f>
        <v/>
      </c>
      <c r="H176" s="1440" t="str">
        <f>+IF('Qualitative Disclosures for AS'!G1015="","",'Qualitative Disclosures for AS'!G1015)</f>
        <v/>
      </c>
      <c r="I176" s="1440" t="str">
        <f>+IF('Qualitative Disclosures for AS'!H1015="","",'Qualitative Disclosures for AS'!H1015)</f>
        <v/>
      </c>
      <c r="J176" s="1440" t="str">
        <f>+IF('Qualitative Disclosures for AS'!I1015="","",'Qualitative Disclosures for AS'!I1015)</f>
        <v/>
      </c>
    </row>
    <row r="177" spans="3:13" hidden="1" x14ac:dyDescent="0.3">
      <c r="C177" s="925"/>
      <c r="D177" s="1722" t="str">
        <f>+IF('Qualitative Disclosures for AS'!C1016="","",'Qualitative Disclosures for AS'!C1016)</f>
        <v/>
      </c>
      <c r="E177" s="1440" t="str">
        <f>+IF('Qualitative Disclosures for AS'!D1016="","",'Qualitative Disclosures for AS'!D1016)</f>
        <v/>
      </c>
      <c r="F177" s="1440" t="str">
        <f>+IF('Qualitative Disclosures for AS'!E1016="","",'Qualitative Disclosures for AS'!E1016)</f>
        <v/>
      </c>
      <c r="G177" s="1440" t="str">
        <f>+IF('Qualitative Disclosures for AS'!F1016="","",'Qualitative Disclosures for AS'!F1016)</f>
        <v/>
      </c>
      <c r="H177" s="1440" t="str">
        <f>+IF('Qualitative Disclosures for AS'!G1016="","",'Qualitative Disclosures for AS'!G1016)</f>
        <v/>
      </c>
      <c r="I177" s="1440" t="str">
        <f>+IF('Qualitative Disclosures for AS'!H1016="","",'Qualitative Disclosures for AS'!H1016)</f>
        <v/>
      </c>
      <c r="J177" s="1440" t="str">
        <f>+IF('Qualitative Disclosures for AS'!I1016="","",'Qualitative Disclosures for AS'!I1016)</f>
        <v/>
      </c>
    </row>
    <row r="178" spans="3:13" x14ac:dyDescent="0.3">
      <c r="D178" s="180"/>
      <c r="E178" s="180"/>
      <c r="F178" s="180"/>
      <c r="G178" s="180"/>
      <c r="H178" s="180"/>
      <c r="I178" s="180"/>
      <c r="J178" s="180"/>
    </row>
    <row r="179" spans="3:13" hidden="1" x14ac:dyDescent="0.3">
      <c r="C179" s="1134">
        <f>+'Master Data'!L24</f>
        <v>33.01</v>
      </c>
      <c r="D179" s="4" t="str">
        <f>+IF('Qualitative Disclosures for AS'!C1021="","",'Qualitative Disclosures for AS'!C1021)</f>
        <v>Compliance with number of layers of companies</v>
      </c>
    </row>
    <row r="180" spans="3:13" hidden="1" x14ac:dyDescent="0.3">
      <c r="C180" s="925"/>
      <c r="D180" s="4"/>
    </row>
    <row r="181" spans="3:13" hidden="1" x14ac:dyDescent="0.3">
      <c r="C181" s="925"/>
      <c r="D181" s="1722" t="str">
        <f>+IF('Qualitative Disclosures for AS'!C1023="","",'Qualitative Disclosures for AS'!C1023)</f>
        <v/>
      </c>
      <c r="E181" s="1440" t="str">
        <f>+IF('Qualitative Disclosures for AS'!D1023="","",'Qualitative Disclosures for AS'!D1023)</f>
        <v/>
      </c>
      <c r="F181" s="1440" t="str">
        <f>+IF('Qualitative Disclosures for AS'!E1023="","",'Qualitative Disclosures for AS'!E1023)</f>
        <v/>
      </c>
      <c r="G181" s="1440" t="str">
        <f>+IF('Qualitative Disclosures for AS'!F1023="","",'Qualitative Disclosures for AS'!F1023)</f>
        <v/>
      </c>
      <c r="H181" s="1440" t="str">
        <f>+IF('Qualitative Disclosures for AS'!G1023="","",'Qualitative Disclosures for AS'!G1023)</f>
        <v/>
      </c>
      <c r="I181" s="1440" t="str">
        <f>+IF('Qualitative Disclosures for AS'!H1023="","",'Qualitative Disclosures for AS'!H1023)</f>
        <v/>
      </c>
      <c r="J181" s="1440" t="str">
        <f>+IF('Qualitative Disclosures for AS'!I1023="","",'Qualitative Disclosures for AS'!I1023)</f>
        <v/>
      </c>
    </row>
    <row r="182" spans="3:13" hidden="1" x14ac:dyDescent="0.3">
      <c r="C182" s="925"/>
      <c r="D182" s="1722" t="str">
        <f>+IF('Qualitative Disclosures for AS'!C1024="","",'Qualitative Disclosures for AS'!C1024)</f>
        <v/>
      </c>
      <c r="E182" s="1440" t="str">
        <f>+IF('Qualitative Disclosures for AS'!D1024="","",'Qualitative Disclosures for AS'!D1024)</f>
        <v/>
      </c>
      <c r="F182" s="1440" t="str">
        <f>+IF('Qualitative Disclosures for AS'!E1024="","",'Qualitative Disclosures for AS'!E1024)</f>
        <v/>
      </c>
      <c r="G182" s="1440" t="str">
        <f>+IF('Qualitative Disclosures for AS'!F1024="","",'Qualitative Disclosures for AS'!F1024)</f>
        <v/>
      </c>
      <c r="H182" s="1440" t="str">
        <f>+IF('Qualitative Disclosures for AS'!G1024="","",'Qualitative Disclosures for AS'!G1024)</f>
        <v/>
      </c>
      <c r="I182" s="1440" t="str">
        <f>+IF('Qualitative Disclosures for AS'!H1024="","",'Qualitative Disclosures for AS'!H1024)</f>
        <v/>
      </c>
      <c r="J182" s="1440" t="str">
        <f>+IF('Qualitative Disclosures for AS'!I1024="","",'Qualitative Disclosures for AS'!I1024)</f>
        <v/>
      </c>
    </row>
    <row r="183" spans="3:13" hidden="1" x14ac:dyDescent="0.3">
      <c r="C183" s="925"/>
      <c r="D183" s="1722" t="str">
        <f>+IF('Qualitative Disclosures for AS'!C1025="","",'Qualitative Disclosures for AS'!C1025)</f>
        <v/>
      </c>
      <c r="E183" s="1440" t="str">
        <f>+IF('Qualitative Disclosures for AS'!D1025="","",'Qualitative Disclosures for AS'!D1025)</f>
        <v/>
      </c>
      <c r="F183" s="1440" t="str">
        <f>+IF('Qualitative Disclosures for AS'!E1025="","",'Qualitative Disclosures for AS'!E1025)</f>
        <v/>
      </c>
      <c r="G183" s="1440" t="str">
        <f>+IF('Qualitative Disclosures for AS'!F1025="","",'Qualitative Disclosures for AS'!F1025)</f>
        <v/>
      </c>
      <c r="H183" s="1440" t="str">
        <f>+IF('Qualitative Disclosures for AS'!G1025="","",'Qualitative Disclosures for AS'!G1025)</f>
        <v/>
      </c>
      <c r="I183" s="1440" t="str">
        <f>+IF('Qualitative Disclosures for AS'!H1025="","",'Qualitative Disclosures for AS'!H1025)</f>
        <v/>
      </c>
      <c r="J183" s="1440" t="str">
        <f>+IF('Qualitative Disclosures for AS'!I1025="","",'Qualitative Disclosures for AS'!I1025)</f>
        <v/>
      </c>
    </row>
    <row r="184" spans="3:13" hidden="1" x14ac:dyDescent="0.3">
      <c r="C184" s="925"/>
      <c r="D184" s="1722" t="str">
        <f>+IF('Qualitative Disclosures for AS'!C1026="","",'Qualitative Disclosures for AS'!C1026)</f>
        <v/>
      </c>
      <c r="E184" s="1440" t="str">
        <f>+IF('Qualitative Disclosures for AS'!D1026="","",'Qualitative Disclosures for AS'!D1026)</f>
        <v/>
      </c>
      <c r="F184" s="1440" t="str">
        <f>+IF('Qualitative Disclosures for AS'!E1026="","",'Qualitative Disclosures for AS'!E1026)</f>
        <v/>
      </c>
      <c r="G184" s="1440" t="str">
        <f>+IF('Qualitative Disclosures for AS'!F1026="","",'Qualitative Disclosures for AS'!F1026)</f>
        <v/>
      </c>
      <c r="H184" s="1440" t="str">
        <f>+IF('Qualitative Disclosures for AS'!G1026="","",'Qualitative Disclosures for AS'!G1026)</f>
        <v/>
      </c>
      <c r="I184" s="1440" t="str">
        <f>+IF('Qualitative Disclosures for AS'!H1026="","",'Qualitative Disclosures for AS'!H1026)</f>
        <v/>
      </c>
      <c r="J184" s="1440" t="str">
        <f>+IF('Qualitative Disclosures for AS'!I1026="","",'Qualitative Disclosures for AS'!I1026)</f>
        <v/>
      </c>
    </row>
    <row r="185" spans="3:13" hidden="1" x14ac:dyDescent="0.3">
      <c r="C185" s="925"/>
      <c r="D185" s="1722" t="str">
        <f>+IF('Qualitative Disclosures for AS'!C1027="","",'Qualitative Disclosures for AS'!C1027)</f>
        <v/>
      </c>
      <c r="E185" s="1440" t="str">
        <f>+IF('Qualitative Disclosures for AS'!D1027="","",'Qualitative Disclosures for AS'!D1027)</f>
        <v/>
      </c>
      <c r="F185" s="1440" t="str">
        <f>+IF('Qualitative Disclosures for AS'!E1027="","",'Qualitative Disclosures for AS'!E1027)</f>
        <v/>
      </c>
      <c r="G185" s="1440" t="str">
        <f>+IF('Qualitative Disclosures for AS'!F1027="","",'Qualitative Disclosures for AS'!F1027)</f>
        <v/>
      </c>
      <c r="H185" s="1440" t="str">
        <f>+IF('Qualitative Disclosures for AS'!G1027="","",'Qualitative Disclosures for AS'!G1027)</f>
        <v/>
      </c>
      <c r="I185" s="1440" t="str">
        <f>+IF('Qualitative Disclosures for AS'!H1027="","",'Qualitative Disclosures for AS'!H1027)</f>
        <v/>
      </c>
      <c r="J185" s="1440" t="str">
        <f>+IF('Qualitative Disclosures for AS'!I1027="","",'Qualitative Disclosures for AS'!I1027)</f>
        <v/>
      </c>
    </row>
    <row r="186" spans="3:13" hidden="1" x14ac:dyDescent="0.3">
      <c r="C186" s="925"/>
      <c r="D186" s="1722" t="str">
        <f>+IF('Qualitative Disclosures for AS'!C1028="","",'Qualitative Disclosures for AS'!C1028)</f>
        <v/>
      </c>
      <c r="E186" s="1440" t="str">
        <f>+IF('Qualitative Disclosures for AS'!D1028="","",'Qualitative Disclosures for AS'!D1028)</f>
        <v/>
      </c>
      <c r="F186" s="1440" t="str">
        <f>+IF('Qualitative Disclosures for AS'!E1028="","",'Qualitative Disclosures for AS'!E1028)</f>
        <v/>
      </c>
      <c r="G186" s="1440" t="str">
        <f>+IF('Qualitative Disclosures for AS'!F1028="","",'Qualitative Disclosures for AS'!F1028)</f>
        <v/>
      </c>
      <c r="H186" s="1440" t="str">
        <f>+IF('Qualitative Disclosures for AS'!G1028="","",'Qualitative Disclosures for AS'!G1028)</f>
        <v/>
      </c>
      <c r="I186" s="1440" t="str">
        <f>+IF('Qualitative Disclosures for AS'!H1028="","",'Qualitative Disclosures for AS'!H1028)</f>
        <v/>
      </c>
      <c r="J186" s="1440" t="str">
        <f>+IF('Qualitative Disclosures for AS'!I1028="","",'Qualitative Disclosures for AS'!I1028)</f>
        <v/>
      </c>
    </row>
    <row r="187" spans="3:13" hidden="1" x14ac:dyDescent="0.3"/>
    <row r="188" spans="3:13" x14ac:dyDescent="0.3">
      <c r="C188" s="1134">
        <f>+C170+0.01</f>
        <v>33.109999999999985</v>
      </c>
      <c r="D188" s="4" t="str">
        <f>+IF('Qualitative Disclosures for AS'!C1032="","",'Qualitative Disclosures for AS'!C1032)</f>
        <v>Analytical Ratios</v>
      </c>
    </row>
    <row r="190" spans="3:13" x14ac:dyDescent="0.3">
      <c r="D190" s="2698" t="str">
        <f>+IF('Qualitative Disclosures for AS'!C1034="","",'Qualitative Disclosures for AS'!C1034)</f>
        <v>Ratio</v>
      </c>
      <c r="E190" s="917" t="str">
        <f>+IF('Qualitative Disclosures for AS'!D1034="","",'Qualitative Disclosures for AS'!D1034)</f>
        <v>Numerator</v>
      </c>
      <c r="F190" s="917" t="str">
        <f>+IF('Qualitative Disclosures for AS'!E1034="","",'Qualitative Disclosures for AS'!E1034)</f>
        <v>Denominator</v>
      </c>
      <c r="G190" s="917" t="str">
        <f>+IF('Qualitative Disclosures for AS'!F1034="","",'Qualitative Disclosures for AS'!F1034)</f>
        <v>Current Period</v>
      </c>
      <c r="H190" s="2685" t="str">
        <f>+IF('Qualitative Disclosures for AS'!G1034="","",'Qualitative Disclosures for AS'!G1034)</f>
        <v>Previous Period</v>
      </c>
      <c r="I190" s="917" t="str">
        <f>+IF('Qualitative Disclosures for AS'!H1034="","",'Qualitative Disclosures for AS'!H1034)</f>
        <v>% Variance</v>
      </c>
      <c r="J190" s="917" t="str">
        <f>+IF('Qualitative Disclosures for AS'!I1034="","",'Qualitative Disclosures for AS'!I1034)</f>
        <v>Reason for variance</v>
      </c>
    </row>
    <row r="191" spans="3:13" x14ac:dyDescent="0.3">
      <c r="D191" s="2688" t="str">
        <f>+IF('Qualitative Disclosures for AS'!C1035="","",'Qualitative Disclosures for AS'!C1035)</f>
        <v>(a) Current ratio</v>
      </c>
      <c r="E191" s="2688" t="str">
        <f>+IF('Qualitative Disclosures for AS'!D1035="","",'Qualitative Disclosures for AS'!D1035)</f>
        <v>Current Assets</v>
      </c>
      <c r="F191" s="2688" t="str">
        <f>+IF('Qualitative Disclosures for AS'!E1035="","",'Qualitative Disclosures for AS'!E1035)</f>
        <v>Current Liabilities</v>
      </c>
      <c r="G191" s="2294">
        <f>+IF('Qualitative Disclosures for AS'!F1035="","",'Qualitative Disclosures for AS'!F1035)</f>
        <v>2.7349676010679191</v>
      </c>
      <c r="H191" s="2686">
        <f ca="1">+'Balance Sheet'!G63/'Balance Sheet'!G37</f>
        <v>3.1896021209394894</v>
      </c>
      <c r="I191" s="2687">
        <f ca="1">+(G191-H191)/H191</f>
        <v>-0.14253643640594857</v>
      </c>
      <c r="J191" s="2699" t="s">
        <v>3881</v>
      </c>
      <c r="M191" s="42"/>
    </row>
    <row r="192" spans="3:13" x14ac:dyDescent="0.3">
      <c r="D192" s="2688" t="str">
        <f>+IF('Qualitative Disclosures for AS'!C1036="","",'Qualitative Disclosures for AS'!C1036)</f>
        <v>(b) Debt-equity ratio</v>
      </c>
      <c r="E192" s="2688" t="str">
        <f>+IF('Qualitative Disclosures for AS'!D1036="","",'Qualitative Disclosures for AS'!D1036)</f>
        <v>Total Debt</v>
      </c>
      <c r="F192" s="2688" t="str">
        <f>+IF('Qualitative Disclosures for AS'!E1036="","",'Qualitative Disclosures for AS'!E1036)</f>
        <v>Shareholder’s Equity</v>
      </c>
      <c r="G192" s="2294">
        <f>+IF('Qualitative Disclosures for AS'!F1036="","",'Qualitative Disclosures for AS'!F1036)</f>
        <v>0</v>
      </c>
      <c r="H192" s="2686">
        <f>+IF('Qualitative Disclosures for AS'!G1036="","",'Qualitative Disclosures for AS'!G1036)</f>
        <v>0</v>
      </c>
      <c r="I192" s="2689">
        <v>0</v>
      </c>
      <c r="J192" s="2699" t="s">
        <v>3881</v>
      </c>
      <c r="M192" s="42"/>
    </row>
    <row r="193" spans="4:13" ht="33" x14ac:dyDescent="0.3">
      <c r="D193" s="2688" t="str">
        <f>+IF('Qualitative Disclosures for AS'!C1037="","",'Qualitative Disclosures for AS'!C1037)</f>
        <v>(c) Debt service coverage ratio</v>
      </c>
      <c r="E193" s="2688" t="str">
        <f>+IF('Qualitative Disclosures for AS'!D1037="","",'Qualitative Disclosures for AS'!D1037)</f>
        <v>Earnings available for debt service</v>
      </c>
      <c r="F193" s="2688" t="str">
        <f>+IF('Qualitative Disclosures for AS'!E1037="","",'Qualitative Disclosures for AS'!E1037)</f>
        <v>Debt Service</v>
      </c>
      <c r="G193" s="2294">
        <f>+IF('Qualitative Disclosures for AS'!F1037="","",'Qualitative Disclosures for AS'!F1037)</f>
        <v>0</v>
      </c>
      <c r="H193" s="2686">
        <f>+IF('Qualitative Disclosures for AS'!G1037="","",'Qualitative Disclosures for AS'!G1037)</f>
        <v>0</v>
      </c>
      <c r="I193" s="2689">
        <v>0</v>
      </c>
      <c r="J193" s="2699" t="s">
        <v>3881</v>
      </c>
      <c r="M193" s="42"/>
    </row>
    <row r="194" spans="4:13" ht="33" x14ac:dyDescent="0.3">
      <c r="D194" s="2688" t="str">
        <f>+IF('Qualitative Disclosures for AS'!C1038="","",'Qualitative Disclosures for AS'!C1038)</f>
        <v>(d) Return on equity ratio</v>
      </c>
      <c r="E194" s="2688" t="str">
        <f>+IF('Qualitative Disclosures for AS'!D1038="","",'Qualitative Disclosures for AS'!D1038)</f>
        <v>Profit for the year</v>
      </c>
      <c r="F194" s="2688" t="str">
        <f>+IF('Qualitative Disclosures for AS'!E1038="","",'Qualitative Disclosures for AS'!E1038)</f>
        <v>Average Shareholder’s Equity</v>
      </c>
      <c r="G194" s="2294">
        <f>+IF('Qualitative Disclosures for AS'!F1038="","",'Qualitative Disclosures for AS'!F1038)</f>
        <v>0.29063171005210248</v>
      </c>
      <c r="H194" s="2294">
        <f>+IF('Qualitative Disclosures for AS'!G1038="","",'Qualitative Disclosures for AS'!G1038)</f>
        <v>0.24511500408900858</v>
      </c>
      <c r="I194" s="2687">
        <f>+(G194-H194)/H194</f>
        <v>0.18569530711618709</v>
      </c>
      <c r="J194" s="2699" t="s">
        <v>3881</v>
      </c>
      <c r="M194" s="42"/>
    </row>
    <row r="195" spans="4:13" ht="49.5" x14ac:dyDescent="0.3">
      <c r="D195" s="2688" t="str">
        <f>+IF('Qualitative Disclosures for AS'!C1039="","",'Qualitative Disclosures for AS'!C1039)</f>
        <v>(e) Inventory turnover ratio</v>
      </c>
      <c r="E195" s="2688" t="str">
        <f>+IF('Qualitative Disclosures for AS'!D1039="","",'Qualitative Disclosures for AS'!D1039)</f>
        <v>Cost of goods sold</v>
      </c>
      <c r="F195" s="2688" t="str">
        <f>+IF('Qualitative Disclosures for AS'!E1039="","",'Qualitative Disclosures for AS'!E1039)</f>
        <v>Average Inventory</v>
      </c>
      <c r="G195" s="2294">
        <f>+IF('Qualitative Disclosures for AS'!F1039="","",'Qualitative Disclosures for AS'!F1039)</f>
        <v>54.7885651399232</v>
      </c>
      <c r="H195" s="2294">
        <f>+IF('Qualitative Disclosures for AS'!G1039="","",'Qualitative Disclosures for AS'!G1039)</f>
        <v>15.750944274840249</v>
      </c>
      <c r="I195" s="2687">
        <f>+(G195-H195)/H195</f>
        <v>2.4784305108259219</v>
      </c>
      <c r="J195" s="2699" t="s">
        <v>3882</v>
      </c>
      <c r="M195" s="42"/>
    </row>
    <row r="196" spans="4:13" ht="49.5" x14ac:dyDescent="0.3">
      <c r="D196" s="2688" t="str">
        <f>+IF('Qualitative Disclosures for AS'!C1040="","",'Qualitative Disclosures for AS'!C1040)</f>
        <v>(f) Trade receivables turnover ratio</v>
      </c>
      <c r="E196" s="2688" t="str">
        <f>+IF('Qualitative Disclosures for AS'!D1040="","",'Qualitative Disclosures for AS'!D1040)</f>
        <v>Revenue from operations</v>
      </c>
      <c r="F196" s="2688" t="str">
        <f>+IF('Qualitative Disclosures for AS'!E1040="","",'Qualitative Disclosures for AS'!E1040)</f>
        <v>Average Trade Receivables</v>
      </c>
      <c r="G196" s="2294">
        <f>+IF('Qualitative Disclosures for AS'!F1040="","",'Qualitative Disclosures for AS'!F1040)</f>
        <v>12.399565385185975</v>
      </c>
      <c r="H196" s="2686">
        <f>+IF('Qualitative Disclosures for AS'!G1040="","",'Qualitative Disclosures for AS'!G1040)</f>
        <v>17.004141105526312</v>
      </c>
      <c r="I196" s="2687">
        <f>+(G196-H196)/H196</f>
        <v>-0.27079143202615857</v>
      </c>
      <c r="J196" s="2699" t="s">
        <v>3884</v>
      </c>
      <c r="M196" s="42"/>
    </row>
    <row r="197" spans="4:13" ht="33" x14ac:dyDescent="0.3">
      <c r="D197" s="2688" t="str">
        <f>+IF('Qualitative Disclosures for AS'!C1041="","",'Qualitative Disclosures for AS'!C1041)</f>
        <v>(g) Trade payables turnover ratio</v>
      </c>
      <c r="E197" s="2688" t="str">
        <f>+IF('Qualitative Disclosures for AS'!D1041="","",'Qualitative Disclosures for AS'!D1041)</f>
        <v>Purchases (Other Expenses)</v>
      </c>
      <c r="F197" s="2688" t="str">
        <f>+IF('Qualitative Disclosures for AS'!E1041="","",'Qualitative Disclosures for AS'!E1041)</f>
        <v>Average Trade Payables</v>
      </c>
      <c r="G197" s="2294">
        <f>+IF('Qualitative Disclosures for AS'!F1041="","",'Qualitative Disclosures for AS'!F1041)</f>
        <v>4.000783013638789</v>
      </c>
      <c r="H197" s="2294">
        <f>+IF('Qualitative Disclosures for AS'!G1041="","",'Qualitative Disclosures for AS'!G1041)</f>
        <v>3.6919466778910643</v>
      </c>
      <c r="I197" s="2687">
        <f>+(G197-H197)/H197</f>
        <v>8.3651353254142857E-2</v>
      </c>
      <c r="J197" s="2699" t="s">
        <v>3881</v>
      </c>
      <c r="M197" s="42"/>
    </row>
    <row r="198" spans="4:13" x14ac:dyDescent="0.3">
      <c r="D198" s="2688" t="str">
        <f>+IF('Qualitative Disclosures for AS'!C1042="","",'Qualitative Disclosures for AS'!C1042)</f>
        <v>(h) Net capital turnover ratio</v>
      </c>
      <c r="E198" s="2688" t="str">
        <f>+IF('Qualitative Disclosures for AS'!D1042="","",'Qualitative Disclosures for AS'!D1042)</f>
        <v>Revenue from operations</v>
      </c>
      <c r="F198" s="2688" t="str">
        <f>+IF('Qualitative Disclosures for AS'!E1042="","",'Qualitative Disclosures for AS'!E1042)</f>
        <v>Working Capital</v>
      </c>
      <c r="G198" s="2294">
        <f>+IF('Qualitative Disclosures for AS'!F1042="","",'Qualitative Disclosures for AS'!F1042)</f>
        <v>4.0610130896444048</v>
      </c>
      <c r="H198" s="2294">
        <f ca="1">+IF('Qualitative Disclosures for AS'!G1042="","",'Qualitative Disclosures for AS'!G1042)</f>
        <v>5.0794525336914287</v>
      </c>
      <c r="I198" s="2687">
        <f t="shared" ref="I198:I200" ca="1" si="0">+(G198-H198)/H198</f>
        <v>-0.20050181339265036</v>
      </c>
      <c r="J198" s="2699" t="s">
        <v>3881</v>
      </c>
      <c r="M198" s="42"/>
    </row>
    <row r="199" spans="4:13" ht="49.5" x14ac:dyDescent="0.3">
      <c r="D199" s="2688" t="str">
        <f>+IF('Qualitative Disclosures for AS'!C1043="","",'Qualitative Disclosures for AS'!C1043)</f>
        <v>(i) Net profit ratio</v>
      </c>
      <c r="E199" s="2688" t="str">
        <f>+IF('Qualitative Disclosures for AS'!D1043="","",'Qualitative Disclosures for AS'!D1043)</f>
        <v>Profit for the year</v>
      </c>
      <c r="F199" s="2688" t="str">
        <f>+IF('Qualitative Disclosures for AS'!E1043="","",'Qualitative Disclosures for AS'!E1043)</f>
        <v>Revenue from operations</v>
      </c>
      <c r="G199" s="2294">
        <f>+IF('Qualitative Disclosures for AS'!F1043="","",'Qualitative Disclosures for AS'!F1043)</f>
        <v>6.3579828967924745E-2</v>
      </c>
      <c r="H199" s="2294">
        <f>+IF('Qualitative Disclosures for AS'!G1043="","",'Qualitative Disclosures for AS'!G1043)</f>
        <v>4.3801616595609168E-2</v>
      </c>
      <c r="I199" s="2687">
        <f t="shared" si="0"/>
        <v>0.45154069437469613</v>
      </c>
      <c r="J199" s="2699" t="s">
        <v>3886</v>
      </c>
      <c r="M199" s="42"/>
    </row>
    <row r="200" spans="4:13" ht="33" x14ac:dyDescent="0.3">
      <c r="D200" s="2691" t="str">
        <f>+IF('Qualitative Disclosures for AS'!C1044="","",'Qualitative Disclosures for AS'!C1044)</f>
        <v>(j) Return on capital employed</v>
      </c>
      <c r="E200" s="2691" t="str">
        <f>+IF('Qualitative Disclosures for AS'!D1044="","",'Qualitative Disclosures for AS'!D1044)</f>
        <v>Earnings before interest and tax</v>
      </c>
      <c r="F200" s="2691" t="str">
        <f>+IF('Qualitative Disclosures for AS'!E1044="","",'Qualitative Disclosures for AS'!E1044)</f>
        <v>Average Capital Employed</v>
      </c>
      <c r="G200" s="1783">
        <f>+IF('Qualitative Disclosures for AS'!F1044="","",'Qualitative Disclosures for AS'!F1044)</f>
        <v>0.37770232127608561</v>
      </c>
      <c r="H200" s="1783">
        <f>+IF('Qualitative Disclosures for AS'!G1044="","",'Qualitative Disclosures for AS'!G1044)</f>
        <v>0.33303056147321441</v>
      </c>
      <c r="I200" s="2690">
        <f t="shared" si="0"/>
        <v>0.13413711824301786</v>
      </c>
      <c r="J200" s="2700" t="s">
        <v>3881</v>
      </c>
      <c r="M200" s="42"/>
    </row>
    <row r="201" spans="4:13" hidden="1" x14ac:dyDescent="0.3">
      <c r="D201" s="184" t="str">
        <f>+IF('Qualitative Disclosures for AS'!C1045="","",'Qualitative Disclosures for AS'!C1045)</f>
        <v>(k) Return on investment</v>
      </c>
      <c r="E201" s="184" t="str">
        <f>+IF('Qualitative Disclosures for AS'!D1045="","",'Qualitative Disclosures for AS'!D1045)</f>
        <v>Return</v>
      </c>
      <c r="F201" s="184" t="str">
        <f>+IF('Qualitative Disclosures for AS'!E1045="","",'Qualitative Disclosures for AS'!E1045)</f>
        <v>Average Investment</v>
      </c>
      <c r="G201" s="2296">
        <f>+IF('Qualitative Disclosures for AS'!F1045="","",'Qualitative Disclosures for AS'!F1045)</f>
        <v>7.2657927513025619E-2</v>
      </c>
      <c r="H201" s="2643">
        <f>+IF('Qualitative Disclosures for AS'!G1045="","",'Qualitative Disclosures for AS'!G1045)</f>
        <v>0.22</v>
      </c>
      <c r="I201" s="2296">
        <f>+IF('Qualitative Disclosures for AS'!H1045="","",'Qualitative Disclosures for AS'!H1045)</f>
        <v>-0.66973669312261086</v>
      </c>
      <c r="J201" s="184" t="str">
        <f>+IF('Qualitative Disclosures for AS'!I1045="","",'Qualitative Disclosures for AS'!I1045)</f>
        <v/>
      </c>
      <c r="M201" s="42"/>
    </row>
    <row r="202" spans="4:13" x14ac:dyDescent="0.3">
      <c r="D202" s="181"/>
      <c r="E202" s="181"/>
      <c r="F202" s="181"/>
      <c r="G202" s="181"/>
      <c r="H202" s="181"/>
      <c r="I202" s="181"/>
      <c r="J202" s="181"/>
    </row>
    <row r="203" spans="4:13" ht="33" hidden="1" x14ac:dyDescent="0.3">
      <c r="D203" s="181" t="str">
        <f>+'Qualitative Disclosures for AS'!C1048</f>
        <v>Compliance with approved Scheme(s) of Arrangements</v>
      </c>
      <c r="E203" s="181"/>
      <c r="F203" s="181"/>
      <c r="G203" s="181"/>
      <c r="H203" s="181"/>
      <c r="I203" s="181"/>
      <c r="J203" s="181"/>
    </row>
    <row r="204" spans="4:13" ht="49.5" hidden="1" x14ac:dyDescent="0.3">
      <c r="D204" s="1721" t="str">
        <f>+IF('Qualitative Disclosures for AS'!C1050="","",'Qualitative Disclosures for AS'!C1050)</f>
        <v>There has been approved scheme of arrangements for the FY 24-25.</v>
      </c>
      <c r="E204" s="1721" t="str">
        <f>+IF('Qualitative Disclosures for AS'!D1050="","",'Qualitative Disclosures for AS'!D1050)</f>
        <v/>
      </c>
      <c r="F204" s="1721" t="str">
        <f>+IF('Qualitative Disclosures for AS'!E1050="","",'Qualitative Disclosures for AS'!E1050)</f>
        <v/>
      </c>
      <c r="G204" s="1721" t="str">
        <f>+IF('Qualitative Disclosures for AS'!F1050="","",'Qualitative Disclosures for AS'!F1050)</f>
        <v/>
      </c>
      <c r="H204" s="1721" t="str">
        <f>+IF('Qualitative Disclosures for AS'!G1050="","",'Qualitative Disclosures for AS'!G1050)</f>
        <v/>
      </c>
      <c r="I204" s="1721" t="str">
        <f>+IF('Qualitative Disclosures for AS'!H1050="","",'Qualitative Disclosures for AS'!H1050)</f>
        <v/>
      </c>
      <c r="J204" s="1721" t="str">
        <f>+IF('Qualitative Disclosures for AS'!I1050="","",'Qualitative Disclosures for AS'!I1050)</f>
        <v/>
      </c>
    </row>
    <row r="205" spans="4:13" hidden="1" x14ac:dyDescent="0.3">
      <c r="D205" s="1721" t="str">
        <f>+IF('Qualitative Disclosures for AS'!C1051="","",'Qualitative Disclosures for AS'!C1051)</f>
        <v/>
      </c>
      <c r="E205" s="1721" t="str">
        <f>+IF('Qualitative Disclosures for AS'!D1051="","",'Qualitative Disclosures for AS'!D1051)</f>
        <v/>
      </c>
      <c r="F205" s="1721" t="str">
        <f>+IF('Qualitative Disclosures for AS'!E1051="","",'Qualitative Disclosures for AS'!E1051)</f>
        <v/>
      </c>
      <c r="G205" s="1721" t="str">
        <f>+IF('Qualitative Disclosures for AS'!F1051="","",'Qualitative Disclosures for AS'!F1051)</f>
        <v/>
      </c>
      <c r="H205" s="1721" t="str">
        <f>+IF('Qualitative Disclosures for AS'!G1051="","",'Qualitative Disclosures for AS'!G1051)</f>
        <v/>
      </c>
      <c r="I205" s="1721" t="str">
        <f>+IF('Qualitative Disclosures for AS'!H1051="","",'Qualitative Disclosures for AS'!H1051)</f>
        <v/>
      </c>
      <c r="J205" s="1721" t="str">
        <f>+IF('Qualitative Disclosures for AS'!I1051="","",'Qualitative Disclosures for AS'!I1051)</f>
        <v/>
      </c>
    </row>
    <row r="206" spans="4:13" hidden="1" x14ac:dyDescent="0.3">
      <c r="D206" s="1721" t="str">
        <f>+IF('Qualitative Disclosures for AS'!C1052="","",'Qualitative Disclosures for AS'!C1052)</f>
        <v/>
      </c>
      <c r="E206" s="1721" t="str">
        <f>+IF('Qualitative Disclosures for AS'!D1052="","",'Qualitative Disclosures for AS'!D1052)</f>
        <v/>
      </c>
      <c r="F206" s="1721" t="str">
        <f>+IF('Qualitative Disclosures for AS'!E1052="","",'Qualitative Disclosures for AS'!E1052)</f>
        <v/>
      </c>
      <c r="G206" s="1721" t="str">
        <f>+IF('Qualitative Disclosures for AS'!F1052="","",'Qualitative Disclosures for AS'!F1052)</f>
        <v/>
      </c>
      <c r="H206" s="1721" t="str">
        <f>+IF('Qualitative Disclosures for AS'!G1052="","",'Qualitative Disclosures for AS'!G1052)</f>
        <v/>
      </c>
      <c r="I206" s="1721" t="str">
        <f>+IF('Qualitative Disclosures for AS'!H1052="","",'Qualitative Disclosures for AS'!H1052)</f>
        <v/>
      </c>
      <c r="J206" s="1721" t="str">
        <f>+IF('Qualitative Disclosures for AS'!I1052="","",'Qualitative Disclosures for AS'!I1052)</f>
        <v/>
      </c>
    </row>
    <row r="207" spans="4:13" hidden="1" x14ac:dyDescent="0.3">
      <c r="D207" s="1721" t="str">
        <f>+IF('Qualitative Disclosures for AS'!C1053="","",'Qualitative Disclosures for AS'!C1053)</f>
        <v/>
      </c>
      <c r="E207" s="1721" t="str">
        <f>+IF('Qualitative Disclosures for AS'!D1053="","",'Qualitative Disclosures for AS'!D1053)</f>
        <v/>
      </c>
      <c r="F207" s="1721" t="str">
        <f>+IF('Qualitative Disclosures for AS'!E1053="","",'Qualitative Disclosures for AS'!E1053)</f>
        <v/>
      </c>
      <c r="G207" s="1721" t="str">
        <f>+IF('Qualitative Disclosures for AS'!F1053="","",'Qualitative Disclosures for AS'!F1053)</f>
        <v/>
      </c>
      <c r="H207" s="1721" t="str">
        <f>+IF('Qualitative Disclosures for AS'!G1053="","",'Qualitative Disclosures for AS'!G1053)</f>
        <v/>
      </c>
      <c r="I207" s="1721" t="str">
        <f>+IF('Qualitative Disclosures for AS'!H1053="","",'Qualitative Disclosures for AS'!H1053)</f>
        <v/>
      </c>
      <c r="J207" s="1721" t="str">
        <f>+IF('Qualitative Disclosures for AS'!I1053="","",'Qualitative Disclosures for AS'!I1053)</f>
        <v/>
      </c>
    </row>
    <row r="208" spans="4:13" hidden="1" x14ac:dyDescent="0.3">
      <c r="D208" s="1721" t="str">
        <f>+IF('Qualitative Disclosures for AS'!C1054="","",'Qualitative Disclosures for AS'!C1054)</f>
        <v/>
      </c>
      <c r="E208" s="1721" t="str">
        <f>+IF('Qualitative Disclosures for AS'!D1054="","",'Qualitative Disclosures for AS'!D1054)</f>
        <v/>
      </c>
      <c r="F208" s="1721" t="str">
        <f>+IF('Qualitative Disclosures for AS'!E1054="","",'Qualitative Disclosures for AS'!E1054)</f>
        <v/>
      </c>
      <c r="G208" s="1721" t="str">
        <f>+IF('Qualitative Disclosures for AS'!F1054="","",'Qualitative Disclosures for AS'!F1054)</f>
        <v/>
      </c>
      <c r="H208" s="1721" t="str">
        <f>+IF('Qualitative Disclosures for AS'!G1054="","",'Qualitative Disclosures for AS'!G1054)</f>
        <v/>
      </c>
      <c r="I208" s="1721" t="str">
        <f>+IF('Qualitative Disclosures for AS'!H1054="","",'Qualitative Disclosures for AS'!H1054)</f>
        <v/>
      </c>
      <c r="J208" s="1721" t="str">
        <f>+IF('Qualitative Disclosures for AS'!I1054="","",'Qualitative Disclosures for AS'!I1054)</f>
        <v/>
      </c>
    </row>
    <row r="209" spans="3:10" hidden="1" x14ac:dyDescent="0.3">
      <c r="D209" s="1721" t="str">
        <f>+IF('Qualitative Disclosures for AS'!C1055="","",'Qualitative Disclosures for AS'!C1055)</f>
        <v/>
      </c>
      <c r="E209" s="1721" t="str">
        <f>+IF('Qualitative Disclosures for AS'!D1055="","",'Qualitative Disclosures for AS'!D1055)</f>
        <v/>
      </c>
      <c r="F209" s="1721" t="str">
        <f>+IF('Qualitative Disclosures for AS'!E1055="","",'Qualitative Disclosures for AS'!E1055)</f>
        <v/>
      </c>
      <c r="G209" s="1721" t="str">
        <f>+IF('Qualitative Disclosures for AS'!F1055="","",'Qualitative Disclosures for AS'!F1055)</f>
        <v/>
      </c>
      <c r="H209" s="1721" t="str">
        <f>+IF('Qualitative Disclosures for AS'!G1055="","",'Qualitative Disclosures for AS'!G1055)</f>
        <v/>
      </c>
      <c r="I209" s="1721" t="str">
        <f>+IF('Qualitative Disclosures for AS'!H1055="","",'Qualitative Disclosures for AS'!H1055)</f>
        <v/>
      </c>
      <c r="J209" s="1721" t="str">
        <f>+IF('Qualitative Disclosures for AS'!I1055="","",'Qualitative Disclosures for AS'!I1055)</f>
        <v/>
      </c>
    </row>
    <row r="210" spans="3:10" hidden="1" x14ac:dyDescent="0.3">
      <c r="D210" s="181"/>
      <c r="E210" s="181"/>
      <c r="F210" s="181"/>
      <c r="G210" s="181"/>
      <c r="H210" s="181"/>
      <c r="I210" s="181"/>
      <c r="J210" s="181"/>
    </row>
    <row r="211" spans="3:10" hidden="1" x14ac:dyDescent="0.3"/>
    <row r="212" spans="3:10" hidden="1" x14ac:dyDescent="0.3">
      <c r="C212" s="1134">
        <f>+'Master Data'!L26</f>
        <v>33.019999999999996</v>
      </c>
      <c r="D212" s="4" t="str">
        <f>+IF('Qualitative Disclosures for AS'!C1048="","",'Qualitative Disclosures for AS'!C1048)</f>
        <v>Compliance with approved Scheme(s) of Arrangements</v>
      </c>
    </row>
    <row r="213" spans="3:10" hidden="1" x14ac:dyDescent="0.3">
      <c r="C213" s="925"/>
      <c r="D213" s="4"/>
    </row>
    <row r="214" spans="3:10" hidden="1" x14ac:dyDescent="0.3">
      <c r="C214" s="925"/>
      <c r="D214" s="4" t="str">
        <f>+IF('Qualitative Disclosures for AS'!C1050="","",'Qualitative Disclosures for AS'!C1050)</f>
        <v>There has been approved scheme of arrangements for the FY 24-25.</v>
      </c>
      <c r="F214" s="1" t="str">
        <f>+IF('Qualitative Disclosures for AS'!E1050="","",'Qualitative Disclosures for AS'!E1050)</f>
        <v/>
      </c>
      <c r="G214" s="1" t="str">
        <f>+IF('Qualitative Disclosures for AS'!F1050="","",'Qualitative Disclosures for AS'!F1050)</f>
        <v/>
      </c>
      <c r="H214" s="1" t="str">
        <f>+IF('Qualitative Disclosures for AS'!G1050="","",'Qualitative Disclosures for AS'!G1050)</f>
        <v/>
      </c>
      <c r="I214" s="1" t="str">
        <f>+IF('Qualitative Disclosures for AS'!H1050="","",'Qualitative Disclosures for AS'!H1050)</f>
        <v/>
      </c>
      <c r="J214" s="1" t="str">
        <f>+IF('Qualitative Disclosures for AS'!I1050="","",'Qualitative Disclosures for AS'!I1050)</f>
        <v/>
      </c>
    </row>
    <row r="215" spans="3:10" hidden="1" x14ac:dyDescent="0.3">
      <c r="C215" s="925"/>
      <c r="D215" s="1722" t="str">
        <f>+IF('Qualitative Disclosures for AS'!C1051="","",'Qualitative Disclosures for AS'!C1051)</f>
        <v/>
      </c>
      <c r="E215" s="1440" t="str">
        <f>+IF('Qualitative Disclosures for AS'!D1051="","",'Qualitative Disclosures for AS'!D1051)</f>
        <v/>
      </c>
      <c r="F215" s="1440" t="str">
        <f>+IF('Qualitative Disclosures for AS'!E1051="","",'Qualitative Disclosures for AS'!E1051)</f>
        <v/>
      </c>
      <c r="G215" s="1440" t="str">
        <f>+IF('Qualitative Disclosures for AS'!F1051="","",'Qualitative Disclosures for AS'!F1051)</f>
        <v/>
      </c>
      <c r="H215" s="1440" t="str">
        <f>+IF('Qualitative Disclosures for AS'!G1051="","",'Qualitative Disclosures for AS'!G1051)</f>
        <v/>
      </c>
      <c r="I215" s="1440" t="str">
        <f>+IF('Qualitative Disclosures for AS'!H1051="","",'Qualitative Disclosures for AS'!H1051)</f>
        <v/>
      </c>
      <c r="J215" s="1440" t="str">
        <f>+IF('Qualitative Disclosures for AS'!I1051="","",'Qualitative Disclosures for AS'!I1051)</f>
        <v/>
      </c>
    </row>
    <row r="216" spans="3:10" hidden="1" x14ac:dyDescent="0.3">
      <c r="C216" s="925"/>
      <c r="D216" s="1722" t="str">
        <f>+IF('Qualitative Disclosures for AS'!C1052="","",'Qualitative Disclosures for AS'!C1052)</f>
        <v/>
      </c>
      <c r="E216" s="1440" t="str">
        <f>+IF('Qualitative Disclosures for AS'!D1052="","",'Qualitative Disclosures for AS'!D1052)</f>
        <v/>
      </c>
      <c r="F216" s="1440" t="str">
        <f>+IF('Qualitative Disclosures for AS'!E1052="","",'Qualitative Disclosures for AS'!E1052)</f>
        <v/>
      </c>
      <c r="G216" s="1440" t="str">
        <f>+IF('Qualitative Disclosures for AS'!F1052="","",'Qualitative Disclosures for AS'!F1052)</f>
        <v/>
      </c>
      <c r="H216" s="1440" t="str">
        <f>+IF('Qualitative Disclosures for AS'!G1052="","",'Qualitative Disclosures for AS'!G1052)</f>
        <v/>
      </c>
      <c r="I216" s="1440" t="str">
        <f>+IF('Qualitative Disclosures for AS'!H1052="","",'Qualitative Disclosures for AS'!H1052)</f>
        <v/>
      </c>
      <c r="J216" s="1440" t="str">
        <f>+IF('Qualitative Disclosures for AS'!I1052="","",'Qualitative Disclosures for AS'!I1052)</f>
        <v/>
      </c>
    </row>
    <row r="217" spans="3:10" hidden="1" x14ac:dyDescent="0.3">
      <c r="C217" s="925"/>
      <c r="D217" s="1722" t="str">
        <f>+IF('Qualitative Disclosures for AS'!C1053="","",'Qualitative Disclosures for AS'!C1053)</f>
        <v/>
      </c>
      <c r="E217" s="1440" t="str">
        <f>+IF('Qualitative Disclosures for AS'!D1053="","",'Qualitative Disclosures for AS'!D1053)</f>
        <v/>
      </c>
      <c r="F217" s="1440" t="str">
        <f>+IF('Qualitative Disclosures for AS'!E1053="","",'Qualitative Disclosures for AS'!E1053)</f>
        <v/>
      </c>
      <c r="G217" s="1440" t="str">
        <f>+IF('Qualitative Disclosures for AS'!F1053="","",'Qualitative Disclosures for AS'!F1053)</f>
        <v/>
      </c>
      <c r="H217" s="1440" t="str">
        <f>+IF('Qualitative Disclosures for AS'!G1053="","",'Qualitative Disclosures for AS'!G1053)</f>
        <v/>
      </c>
      <c r="I217" s="1440" t="str">
        <f>+IF('Qualitative Disclosures for AS'!H1053="","",'Qualitative Disclosures for AS'!H1053)</f>
        <v/>
      </c>
      <c r="J217" s="1440" t="str">
        <f>+IF('Qualitative Disclosures for AS'!I1053="","",'Qualitative Disclosures for AS'!I1053)</f>
        <v/>
      </c>
    </row>
    <row r="218" spans="3:10" hidden="1" x14ac:dyDescent="0.3">
      <c r="C218" s="925"/>
      <c r="D218" s="1722" t="str">
        <f>+IF('Qualitative Disclosures for AS'!C1054="","",'Qualitative Disclosures for AS'!C1054)</f>
        <v/>
      </c>
      <c r="E218" s="1440" t="str">
        <f>+IF('Qualitative Disclosures for AS'!D1054="","",'Qualitative Disclosures for AS'!D1054)</f>
        <v/>
      </c>
      <c r="F218" s="1440" t="str">
        <f>+IF('Qualitative Disclosures for AS'!E1054="","",'Qualitative Disclosures for AS'!E1054)</f>
        <v/>
      </c>
      <c r="G218" s="1440" t="str">
        <f>+IF('Qualitative Disclosures for AS'!F1054="","",'Qualitative Disclosures for AS'!F1054)</f>
        <v/>
      </c>
      <c r="H218" s="1440" t="str">
        <f>+IF('Qualitative Disclosures for AS'!G1054="","",'Qualitative Disclosures for AS'!G1054)</f>
        <v/>
      </c>
      <c r="I218" s="1440" t="str">
        <f>+IF('Qualitative Disclosures for AS'!H1054="","",'Qualitative Disclosures for AS'!H1054)</f>
        <v/>
      </c>
      <c r="J218" s="1440" t="str">
        <f>+IF('Qualitative Disclosures for AS'!I1054="","",'Qualitative Disclosures for AS'!I1054)</f>
        <v/>
      </c>
    </row>
    <row r="219" spans="3:10" hidden="1" x14ac:dyDescent="0.3">
      <c r="C219" s="925"/>
      <c r="D219" s="1722" t="str">
        <f>+IF('Qualitative Disclosures for AS'!C1055="","",'Qualitative Disclosures for AS'!C1055)</f>
        <v/>
      </c>
      <c r="E219" s="1440" t="str">
        <f>+IF('Qualitative Disclosures for AS'!D1055="","",'Qualitative Disclosures for AS'!D1055)</f>
        <v/>
      </c>
      <c r="F219" s="1440" t="str">
        <f>+IF('Qualitative Disclosures for AS'!E1055="","",'Qualitative Disclosures for AS'!E1055)</f>
        <v/>
      </c>
      <c r="G219" s="1440" t="str">
        <f>+IF('Qualitative Disclosures for AS'!F1055="","",'Qualitative Disclosures for AS'!F1055)</f>
        <v/>
      </c>
      <c r="H219" s="1440" t="str">
        <f>+IF('Qualitative Disclosures for AS'!G1055="","",'Qualitative Disclosures for AS'!G1055)</f>
        <v/>
      </c>
      <c r="I219" s="1440" t="str">
        <f>+IF('Qualitative Disclosures for AS'!H1055="","",'Qualitative Disclosures for AS'!H1055)</f>
        <v/>
      </c>
      <c r="J219" s="1440" t="str">
        <f>+IF('Qualitative Disclosures for AS'!I1055="","",'Qualitative Disclosures for AS'!I1055)</f>
        <v/>
      </c>
    </row>
    <row r="220" spans="3:10" hidden="1" x14ac:dyDescent="0.3"/>
    <row r="221" spans="3:10" x14ac:dyDescent="0.3">
      <c r="C221" s="1134">
        <f>+C188+0.01</f>
        <v>33.119999999999983</v>
      </c>
      <c r="D221" s="4" t="str">
        <f>+IF('Qualitative Disclosures for AS'!C1060="","",'Qualitative Disclosures for AS'!C1060)</f>
        <v>Utilisation of Borrowed funds and share premium</v>
      </c>
    </row>
    <row r="222" spans="3:10" hidden="1" x14ac:dyDescent="0.3">
      <c r="C222" s="925"/>
      <c r="D222" s="4"/>
    </row>
    <row r="223" spans="3:10" x14ac:dyDescent="0.3">
      <c r="C223" s="925"/>
      <c r="D223" s="1" t="str">
        <f>+IF('Qualitative Disclosures for AS'!C1062="","",'Qualitative Disclosures for AS'!C1062)</f>
        <v>There is has been no utilization of borrowed funds and share premium for the year ended 31st March 2025.</v>
      </c>
      <c r="H223" s="1" t="str">
        <f>+IF('Qualitative Disclosures for AS'!G1062="","",'Qualitative Disclosures for AS'!G1062)</f>
        <v/>
      </c>
      <c r="I223" s="1" t="str">
        <f>+IF('Qualitative Disclosures for AS'!H1062="","",'Qualitative Disclosures for AS'!H1062)</f>
        <v/>
      </c>
      <c r="J223" s="1" t="str">
        <f>+IF('Qualitative Disclosures for AS'!I1062="","",'Qualitative Disclosures for AS'!I1062)</f>
        <v/>
      </c>
    </row>
    <row r="224" spans="3:10" hidden="1" x14ac:dyDescent="0.3">
      <c r="C224" s="925"/>
      <c r="D224" s="1722" t="str">
        <f>+IF('Qualitative Disclosures for AS'!C1063="","",'Qualitative Disclosures for AS'!C1063)</f>
        <v/>
      </c>
      <c r="E224" s="1440" t="str">
        <f>+IF('Qualitative Disclosures for AS'!D1063="","",'Qualitative Disclosures for AS'!D1063)</f>
        <v/>
      </c>
      <c r="F224" s="1440" t="str">
        <f>+IF('Qualitative Disclosures for AS'!E1063="","",'Qualitative Disclosures for AS'!E1063)</f>
        <v/>
      </c>
      <c r="G224" s="1440" t="str">
        <f>+IF('Qualitative Disclosures for AS'!F1063="","",'Qualitative Disclosures for AS'!F1063)</f>
        <v/>
      </c>
      <c r="H224" s="1440" t="str">
        <f>+IF('Qualitative Disclosures for AS'!G1063="","",'Qualitative Disclosures for AS'!G1063)</f>
        <v/>
      </c>
      <c r="I224" s="1440" t="str">
        <f>+IF('Qualitative Disclosures for AS'!H1063="","",'Qualitative Disclosures for AS'!H1063)</f>
        <v/>
      </c>
      <c r="J224" s="1440" t="str">
        <f>+IF('Qualitative Disclosures for AS'!I1063="","",'Qualitative Disclosures for AS'!I1063)</f>
        <v/>
      </c>
    </row>
    <row r="225" spans="3:10" hidden="1" x14ac:dyDescent="0.3">
      <c r="C225" s="925"/>
      <c r="D225" s="1722" t="str">
        <f>+IF('Qualitative Disclosures for AS'!C1064="","",'Qualitative Disclosures for AS'!C1064)</f>
        <v/>
      </c>
      <c r="E225" s="1440" t="str">
        <f>+IF('Qualitative Disclosures for AS'!D1064="","",'Qualitative Disclosures for AS'!D1064)</f>
        <v/>
      </c>
      <c r="F225" s="1440" t="str">
        <f>+IF('Qualitative Disclosures for AS'!E1064="","",'Qualitative Disclosures for AS'!E1064)</f>
        <v/>
      </c>
      <c r="G225" s="1440" t="str">
        <f>+IF('Qualitative Disclosures for AS'!F1064="","",'Qualitative Disclosures for AS'!F1064)</f>
        <v/>
      </c>
      <c r="H225" s="1440" t="str">
        <f>+IF('Qualitative Disclosures for AS'!G1064="","",'Qualitative Disclosures for AS'!G1064)</f>
        <v/>
      </c>
      <c r="I225" s="1440" t="str">
        <f>+IF('Qualitative Disclosures for AS'!H1064="","",'Qualitative Disclosures for AS'!H1064)</f>
        <v/>
      </c>
      <c r="J225" s="1440" t="str">
        <f>+IF('Qualitative Disclosures for AS'!I1064="","",'Qualitative Disclosures for AS'!I1064)</f>
        <v/>
      </c>
    </row>
    <row r="226" spans="3:10" hidden="1" x14ac:dyDescent="0.3">
      <c r="C226" s="925"/>
      <c r="D226" s="1722" t="str">
        <f>+IF('Qualitative Disclosures for AS'!C1065="","",'Qualitative Disclosures for AS'!C1065)</f>
        <v/>
      </c>
      <c r="E226" s="1440" t="str">
        <f>+IF('Qualitative Disclosures for AS'!D1065="","",'Qualitative Disclosures for AS'!D1065)</f>
        <v/>
      </c>
      <c r="F226" s="1440" t="str">
        <f>+IF('Qualitative Disclosures for AS'!E1065="","",'Qualitative Disclosures for AS'!E1065)</f>
        <v/>
      </c>
      <c r="G226" s="1440" t="str">
        <f>+IF('Qualitative Disclosures for AS'!F1065="","",'Qualitative Disclosures for AS'!F1065)</f>
        <v/>
      </c>
      <c r="H226" s="1440" t="str">
        <f>+IF('Qualitative Disclosures for AS'!G1065="","",'Qualitative Disclosures for AS'!G1065)</f>
        <v/>
      </c>
      <c r="I226" s="1440" t="str">
        <f>+IF('Qualitative Disclosures for AS'!H1065="","",'Qualitative Disclosures for AS'!H1065)</f>
        <v/>
      </c>
      <c r="J226" s="1440" t="str">
        <f>+IF('Qualitative Disclosures for AS'!I1065="","",'Qualitative Disclosures for AS'!I1065)</f>
        <v/>
      </c>
    </row>
    <row r="227" spans="3:10" hidden="1" x14ac:dyDescent="0.3">
      <c r="C227" s="925"/>
      <c r="D227" s="1722" t="str">
        <f>+IF('Qualitative Disclosures for AS'!C1066="","",'Qualitative Disclosures for AS'!C1066)</f>
        <v/>
      </c>
      <c r="E227" s="1440" t="str">
        <f>+IF('Qualitative Disclosures for AS'!D1066="","",'Qualitative Disclosures for AS'!D1066)</f>
        <v/>
      </c>
      <c r="F227" s="1440" t="str">
        <f>+IF('Qualitative Disclosures for AS'!E1066="","",'Qualitative Disclosures for AS'!E1066)</f>
        <v/>
      </c>
      <c r="G227" s="1440" t="str">
        <f>+IF('Qualitative Disclosures for AS'!F1066="","",'Qualitative Disclosures for AS'!F1066)</f>
        <v/>
      </c>
      <c r="H227" s="1440" t="str">
        <f>+IF('Qualitative Disclosures for AS'!G1066="","",'Qualitative Disclosures for AS'!G1066)</f>
        <v/>
      </c>
      <c r="I227" s="1440" t="str">
        <f>+IF('Qualitative Disclosures for AS'!H1066="","",'Qualitative Disclosures for AS'!H1066)</f>
        <v/>
      </c>
      <c r="J227" s="1440" t="str">
        <f>+IF('Qualitative Disclosures for AS'!I1066="","",'Qualitative Disclosures for AS'!I1066)</f>
        <v/>
      </c>
    </row>
    <row r="228" spans="3:10" hidden="1" x14ac:dyDescent="0.3">
      <c r="C228" s="925"/>
      <c r="D228" s="1722" t="str">
        <f>+IF('Qualitative Disclosures for AS'!C1067="","",'Qualitative Disclosures for AS'!C1067)</f>
        <v/>
      </c>
      <c r="E228" s="1440" t="str">
        <f>+IF('Qualitative Disclosures for AS'!D1067="","",'Qualitative Disclosures for AS'!D1067)</f>
        <v/>
      </c>
      <c r="F228" s="1440" t="str">
        <f>+IF('Qualitative Disclosures for AS'!E1067="","",'Qualitative Disclosures for AS'!E1067)</f>
        <v/>
      </c>
      <c r="G228" s="1440" t="str">
        <f>+IF('Qualitative Disclosures for AS'!F1067="","",'Qualitative Disclosures for AS'!F1067)</f>
        <v/>
      </c>
      <c r="H228" s="1440" t="str">
        <f>+IF('Qualitative Disclosures for AS'!G1067="","",'Qualitative Disclosures for AS'!G1067)</f>
        <v/>
      </c>
      <c r="I228" s="1440" t="str">
        <f>+IF('Qualitative Disclosures for AS'!H1067="","",'Qualitative Disclosures for AS'!H1067)</f>
        <v/>
      </c>
      <c r="J228" s="1440" t="str">
        <f>+IF('Qualitative Disclosures for AS'!I1067="","",'Qualitative Disclosures for AS'!I1067)</f>
        <v/>
      </c>
    </row>
    <row r="230" spans="3:10" x14ac:dyDescent="0.3">
      <c r="C230" s="1134">
        <f>+C221+0.01</f>
        <v>33.129999999999981</v>
      </c>
      <c r="D230" s="189" t="str">
        <f>+IF('Qualitative Disclosures for AS'!C1070="","",'Qualitative Disclosures for AS'!C1070)</f>
        <v>Undisclosed income</v>
      </c>
      <c r="E230" s="188"/>
      <c r="F230" s="188"/>
      <c r="G230" s="188"/>
      <c r="H230" s="188"/>
      <c r="I230" s="188"/>
      <c r="J230" s="188"/>
    </row>
    <row r="231" spans="3:10" hidden="1" x14ac:dyDescent="0.3">
      <c r="D231" s="2981"/>
      <c r="E231" s="2981"/>
      <c r="F231" s="2981"/>
      <c r="G231" s="2981"/>
      <c r="H231" s="2981"/>
      <c r="I231" s="2981"/>
      <c r="J231" s="2981"/>
    </row>
    <row r="232" spans="3:10" x14ac:dyDescent="0.3">
      <c r="D232" s="1" t="str">
        <f>+IF('Qualitative Disclosures for AS'!C1072="","",'Qualitative Disclosures for AS'!C1072)</f>
        <v>The Company does not have any undisclosed income for the year ended 31st March, 2025.</v>
      </c>
      <c r="E232" s="180"/>
      <c r="F232" s="180"/>
      <c r="G232" s="180" t="str">
        <f>+IF('Qualitative Disclosures for AS'!F1072="","",'Qualitative Disclosures for AS'!F1072)</f>
        <v/>
      </c>
      <c r="H232" s="180" t="str">
        <f>+IF('Qualitative Disclosures for AS'!G1072="","",'Qualitative Disclosures for AS'!G1072)</f>
        <v/>
      </c>
      <c r="I232" s="180" t="str">
        <f>+IF('Qualitative Disclosures for AS'!H1072="","",'Qualitative Disclosures for AS'!H1072)</f>
        <v/>
      </c>
      <c r="J232" s="180" t="str">
        <f>+IF('Qualitative Disclosures for AS'!I1072="","",'Qualitative Disclosures for AS'!I1072)</f>
        <v/>
      </c>
    </row>
    <row r="233" spans="3:10" hidden="1" x14ac:dyDescent="0.3">
      <c r="D233" s="1719" t="str">
        <f>+IF('Qualitative Disclosures for AS'!C1073="","",'Qualitative Disclosures for AS'!C1073)</f>
        <v/>
      </c>
      <c r="E233" s="1719" t="str">
        <f>+IF('Qualitative Disclosures for AS'!D1073="","",'Qualitative Disclosures for AS'!D1073)</f>
        <v/>
      </c>
      <c r="F233" s="1719" t="str">
        <f>+IF('Qualitative Disclosures for AS'!E1073="","",'Qualitative Disclosures for AS'!E1073)</f>
        <v/>
      </c>
      <c r="G233" s="1719" t="str">
        <f>+IF('Qualitative Disclosures for AS'!F1073="","",'Qualitative Disclosures for AS'!F1073)</f>
        <v/>
      </c>
      <c r="H233" s="1719" t="str">
        <f>+IF('Qualitative Disclosures for AS'!G1073="","",'Qualitative Disclosures for AS'!G1073)</f>
        <v/>
      </c>
      <c r="I233" s="1719" t="str">
        <f>+IF('Qualitative Disclosures for AS'!H1073="","",'Qualitative Disclosures for AS'!H1073)</f>
        <v/>
      </c>
      <c r="J233" s="1719" t="str">
        <f>+IF('Qualitative Disclosures for AS'!I1073="","",'Qualitative Disclosures for AS'!I1073)</f>
        <v/>
      </c>
    </row>
    <row r="234" spans="3:10" hidden="1" x14ac:dyDescent="0.3">
      <c r="D234" s="1719" t="str">
        <f>+IF('Qualitative Disclosures for AS'!C1074="","",'Qualitative Disclosures for AS'!C1074)</f>
        <v/>
      </c>
      <c r="E234" s="1719" t="str">
        <f>+IF('Qualitative Disclosures for AS'!D1074="","",'Qualitative Disclosures for AS'!D1074)</f>
        <v/>
      </c>
      <c r="F234" s="1719" t="str">
        <f>+IF('Qualitative Disclosures for AS'!E1074="","",'Qualitative Disclosures for AS'!E1074)</f>
        <v/>
      </c>
      <c r="G234" s="1719" t="str">
        <f>+IF('Qualitative Disclosures for AS'!F1074="","",'Qualitative Disclosures for AS'!F1074)</f>
        <v/>
      </c>
      <c r="H234" s="1719" t="str">
        <f>+IF('Qualitative Disclosures for AS'!G1074="","",'Qualitative Disclosures for AS'!G1074)</f>
        <v/>
      </c>
      <c r="I234" s="1719" t="str">
        <f>+IF('Qualitative Disclosures for AS'!H1074="","",'Qualitative Disclosures for AS'!H1074)</f>
        <v/>
      </c>
      <c r="J234" s="1719" t="str">
        <f>+IF('Qualitative Disclosures for AS'!I1074="","",'Qualitative Disclosures for AS'!I1074)</f>
        <v/>
      </c>
    </row>
    <row r="235" spans="3:10" hidden="1" x14ac:dyDescent="0.3">
      <c r="D235" s="1719" t="str">
        <f>+IF('Qualitative Disclosures for AS'!C1075="","",'Qualitative Disclosures for AS'!C1075)</f>
        <v/>
      </c>
      <c r="E235" s="1719" t="str">
        <f>+IF('Qualitative Disclosures for AS'!D1075="","",'Qualitative Disclosures for AS'!D1075)</f>
        <v/>
      </c>
      <c r="F235" s="1719" t="str">
        <f>+IF('Qualitative Disclosures for AS'!E1075="","",'Qualitative Disclosures for AS'!E1075)</f>
        <v/>
      </c>
      <c r="G235" s="1719" t="str">
        <f>+IF('Qualitative Disclosures for AS'!F1075="","",'Qualitative Disclosures for AS'!F1075)</f>
        <v/>
      </c>
      <c r="H235" s="1719" t="str">
        <f>+IF('Qualitative Disclosures for AS'!G1075="","",'Qualitative Disclosures for AS'!G1075)</f>
        <v/>
      </c>
      <c r="I235" s="1719" t="str">
        <f>+IF('Qualitative Disclosures for AS'!H1075="","",'Qualitative Disclosures for AS'!H1075)</f>
        <v/>
      </c>
      <c r="J235" s="1719" t="str">
        <f>+IF('Qualitative Disclosures for AS'!I1075="","",'Qualitative Disclosures for AS'!I1075)</f>
        <v/>
      </c>
    </row>
    <row r="236" spans="3:10" hidden="1" x14ac:dyDescent="0.3">
      <c r="D236" s="1719" t="str">
        <f>+IF('Qualitative Disclosures for AS'!C1076="","",'Qualitative Disclosures for AS'!C1076)</f>
        <v/>
      </c>
      <c r="E236" s="1719" t="str">
        <f>+IF('Qualitative Disclosures for AS'!D1076="","",'Qualitative Disclosures for AS'!D1076)</f>
        <v/>
      </c>
      <c r="F236" s="1719" t="str">
        <f>+IF('Qualitative Disclosures for AS'!E1076="","",'Qualitative Disclosures for AS'!E1076)</f>
        <v/>
      </c>
      <c r="G236" s="1719" t="str">
        <f>+IF('Qualitative Disclosures for AS'!F1076="","",'Qualitative Disclosures for AS'!F1076)</f>
        <v/>
      </c>
      <c r="H236" s="1719" t="str">
        <f>+IF('Qualitative Disclosures for AS'!G1076="","",'Qualitative Disclosures for AS'!G1076)</f>
        <v/>
      </c>
      <c r="I236" s="1719" t="str">
        <f>+IF('Qualitative Disclosures for AS'!H1076="","",'Qualitative Disclosures for AS'!H1076)</f>
        <v/>
      </c>
      <c r="J236" s="1719" t="str">
        <f>+IF('Qualitative Disclosures for AS'!I1076="","",'Qualitative Disclosures for AS'!I1076)</f>
        <v/>
      </c>
    </row>
    <row r="237" spans="3:10" hidden="1" x14ac:dyDescent="0.3">
      <c r="D237" s="1719" t="str">
        <f>+IF('Qualitative Disclosures for AS'!C1077="","",'Qualitative Disclosures for AS'!C1077)</f>
        <v/>
      </c>
      <c r="E237" s="1719" t="str">
        <f>+IF('Qualitative Disclosures for AS'!D1077="","",'Qualitative Disclosures for AS'!D1077)</f>
        <v/>
      </c>
      <c r="F237" s="1719" t="str">
        <f>+IF('Qualitative Disclosures for AS'!E1077="","",'Qualitative Disclosures for AS'!E1077)</f>
        <v/>
      </c>
      <c r="G237" s="1719" t="str">
        <f>+IF('Qualitative Disclosures for AS'!F1077="","",'Qualitative Disclosures for AS'!F1077)</f>
        <v/>
      </c>
      <c r="H237" s="1719" t="str">
        <f>+IF('Qualitative Disclosures for AS'!G1077="","",'Qualitative Disclosures for AS'!G1077)</f>
        <v/>
      </c>
      <c r="I237" s="1719" t="str">
        <f>+IF('Qualitative Disclosures for AS'!H1077="","",'Qualitative Disclosures for AS'!H1077)</f>
        <v/>
      </c>
      <c r="J237" s="1719" t="str">
        <f>+IF('Qualitative Disclosures for AS'!I1077="","",'Qualitative Disclosures for AS'!I1077)</f>
        <v/>
      </c>
    </row>
    <row r="238" spans="3:10" x14ac:dyDescent="0.3">
      <c r="D238" s="180"/>
      <c r="E238" s="180"/>
      <c r="F238" s="180"/>
      <c r="G238" s="180"/>
      <c r="H238" s="180"/>
      <c r="I238" s="180"/>
      <c r="J238" s="180"/>
    </row>
    <row r="239" spans="3:10" x14ac:dyDescent="0.3">
      <c r="C239" s="1134">
        <f>+C230+0.01</f>
        <v>33.139999999999979</v>
      </c>
      <c r="D239" s="2988" t="str">
        <f>+IF('Qualitative Disclosures for AS'!C1080="","",'Qualitative Disclosures for AS'!C1080)</f>
        <v>Corporate Social Responsibility (CSR)</v>
      </c>
      <c r="E239" s="2988" t="str">
        <f>+IF('Qualitative Disclosures for AS'!D1080="","",'Qualitative Disclosures for AS'!D1080)</f>
        <v/>
      </c>
      <c r="F239" s="2988" t="str">
        <f>+IF('Qualitative Disclosures for AS'!E1080="","",'Qualitative Disclosures for AS'!E1080)</f>
        <v/>
      </c>
      <c r="G239" s="2988" t="str">
        <f>+IF('Qualitative Disclosures for AS'!F1080="","",'Qualitative Disclosures for AS'!F1080)</f>
        <v/>
      </c>
      <c r="H239" s="2988" t="str">
        <f>+IF('Qualitative Disclosures for AS'!G1080="","",'Qualitative Disclosures for AS'!G1080)</f>
        <v/>
      </c>
      <c r="I239" s="2988" t="str">
        <f>+IF('Qualitative Disclosures for AS'!H1080="","",'Qualitative Disclosures for AS'!H1080)</f>
        <v/>
      </c>
      <c r="J239" s="2988" t="str">
        <f>+IF('Qualitative Disclosures for AS'!I1080="","",'Qualitative Disclosures for AS'!I1080)</f>
        <v/>
      </c>
    </row>
    <row r="240" spans="3:10" hidden="1" x14ac:dyDescent="0.3">
      <c r="C240" s="925"/>
      <c r="D240" s="961"/>
      <c r="E240" s="961"/>
      <c r="F240" s="961"/>
      <c r="G240" s="961"/>
      <c r="H240" s="961"/>
      <c r="I240" s="961"/>
      <c r="J240" s="961"/>
    </row>
    <row r="241" spans="3:10" x14ac:dyDescent="0.3">
      <c r="C241" s="925"/>
      <c r="D241" s="657" t="str">
        <f>+IF('Qualitative Disclosures for AS'!C1082="","",'Qualitative Disclosures for AS'!C1082)</f>
        <v>Corporate Social Responsibility is not applicable to the company for the year ended 31st March 2025.</v>
      </c>
      <c r="E241" s="961"/>
      <c r="F241" s="961"/>
      <c r="G241" s="961" t="str">
        <f>+IF('Qualitative Disclosures for AS'!F1082="","",'Qualitative Disclosures for AS'!F1082)</f>
        <v/>
      </c>
      <c r="H241" s="961" t="str">
        <f>+IF('Qualitative Disclosures for AS'!G1082="","",'Qualitative Disclosures for AS'!G1082)</f>
        <v/>
      </c>
      <c r="I241" s="961" t="str">
        <f>+IF('Qualitative Disclosures for AS'!H1082="","",'Qualitative Disclosures for AS'!H1082)</f>
        <v/>
      </c>
      <c r="J241" s="961" t="str">
        <f>+IF('Qualitative Disclosures for AS'!I1082="","",'Qualitative Disclosures for AS'!I1082)</f>
        <v/>
      </c>
    </row>
    <row r="242" spans="3:10" hidden="1" x14ac:dyDescent="0.3">
      <c r="C242" s="925"/>
      <c r="D242" s="1723" t="str">
        <f>+IF('Qualitative Disclosures for AS'!C1083="","",'Qualitative Disclosures for AS'!C1083)</f>
        <v/>
      </c>
      <c r="E242" s="1723" t="str">
        <f>+IF('Qualitative Disclosures for AS'!D1083="","",'Qualitative Disclosures for AS'!D1083)</f>
        <v/>
      </c>
      <c r="F242" s="1723" t="str">
        <f>+IF('Qualitative Disclosures for AS'!E1083="","",'Qualitative Disclosures for AS'!E1083)</f>
        <v/>
      </c>
      <c r="G242" s="1723" t="str">
        <f>+IF('Qualitative Disclosures for AS'!F1083="","",'Qualitative Disclosures for AS'!F1083)</f>
        <v/>
      </c>
      <c r="H242" s="1723" t="str">
        <f>+IF('Qualitative Disclosures for AS'!G1083="","",'Qualitative Disclosures for AS'!G1083)</f>
        <v/>
      </c>
      <c r="I242" s="1723" t="str">
        <f>+IF('Qualitative Disclosures for AS'!H1083="","",'Qualitative Disclosures for AS'!H1083)</f>
        <v/>
      </c>
      <c r="J242" s="1723" t="str">
        <f>+IF('Qualitative Disclosures for AS'!I1083="","",'Qualitative Disclosures for AS'!I1083)</f>
        <v/>
      </c>
    </row>
    <row r="243" spans="3:10" hidden="1" x14ac:dyDescent="0.3">
      <c r="C243" s="925"/>
      <c r="D243" s="1723" t="str">
        <f>+IF('Qualitative Disclosures for AS'!C1084="","",'Qualitative Disclosures for AS'!C1084)</f>
        <v/>
      </c>
      <c r="E243" s="1723" t="str">
        <f>+IF('Qualitative Disclosures for AS'!D1084="","",'Qualitative Disclosures for AS'!D1084)</f>
        <v/>
      </c>
      <c r="F243" s="1723" t="str">
        <f>+IF('Qualitative Disclosures for AS'!E1084="","",'Qualitative Disclosures for AS'!E1084)</f>
        <v/>
      </c>
      <c r="G243" s="1723" t="str">
        <f>+IF('Qualitative Disclosures for AS'!F1084="","",'Qualitative Disclosures for AS'!F1084)</f>
        <v/>
      </c>
      <c r="H243" s="1723" t="str">
        <f>+IF('Qualitative Disclosures for AS'!G1084="","",'Qualitative Disclosures for AS'!G1084)</f>
        <v/>
      </c>
      <c r="I243" s="1723" t="str">
        <f>+IF('Qualitative Disclosures for AS'!H1084="","",'Qualitative Disclosures for AS'!H1084)</f>
        <v/>
      </c>
      <c r="J243" s="1723" t="str">
        <f>+IF('Qualitative Disclosures for AS'!I1084="","",'Qualitative Disclosures for AS'!I1084)</f>
        <v/>
      </c>
    </row>
    <row r="244" spans="3:10" hidden="1" x14ac:dyDescent="0.3">
      <c r="C244" s="925"/>
      <c r="D244" s="1723" t="str">
        <f>+IF('Qualitative Disclosures for AS'!C1085="","",'Qualitative Disclosures for AS'!C1085)</f>
        <v/>
      </c>
      <c r="E244" s="1723" t="str">
        <f>+IF('Qualitative Disclosures for AS'!D1085="","",'Qualitative Disclosures for AS'!D1085)</f>
        <v/>
      </c>
      <c r="F244" s="1723" t="str">
        <f>+IF('Qualitative Disclosures for AS'!E1085="","",'Qualitative Disclosures for AS'!E1085)</f>
        <v/>
      </c>
      <c r="G244" s="1723" t="str">
        <f>+IF('Qualitative Disclosures for AS'!F1085="","",'Qualitative Disclosures for AS'!F1085)</f>
        <v/>
      </c>
      <c r="H244" s="1723" t="str">
        <f>+IF('Qualitative Disclosures for AS'!G1085="","",'Qualitative Disclosures for AS'!G1085)</f>
        <v/>
      </c>
      <c r="I244" s="1723" t="str">
        <f>+IF('Qualitative Disclosures for AS'!H1085="","",'Qualitative Disclosures for AS'!H1085)</f>
        <v/>
      </c>
      <c r="J244" s="1723" t="str">
        <f>+IF('Qualitative Disclosures for AS'!I1085="","",'Qualitative Disclosures for AS'!I1085)</f>
        <v/>
      </c>
    </row>
    <row r="245" spans="3:10" hidden="1" x14ac:dyDescent="0.3">
      <c r="C245" s="925"/>
      <c r="D245" s="1723" t="str">
        <f>+IF('Qualitative Disclosures for AS'!C1086="","",'Qualitative Disclosures for AS'!C1086)</f>
        <v/>
      </c>
      <c r="E245" s="1723" t="str">
        <f>+IF('Qualitative Disclosures for AS'!D1086="","",'Qualitative Disclosures for AS'!D1086)</f>
        <v/>
      </c>
      <c r="F245" s="1723" t="str">
        <f>+IF('Qualitative Disclosures for AS'!E1086="","",'Qualitative Disclosures for AS'!E1086)</f>
        <v/>
      </c>
      <c r="G245" s="1723" t="str">
        <f>+IF('Qualitative Disclosures for AS'!F1086="","",'Qualitative Disclosures for AS'!F1086)</f>
        <v/>
      </c>
      <c r="H245" s="1723" t="str">
        <f>+IF('Qualitative Disclosures for AS'!G1086="","",'Qualitative Disclosures for AS'!G1086)</f>
        <v/>
      </c>
      <c r="I245" s="1723" t="str">
        <f>+IF('Qualitative Disclosures for AS'!H1086="","",'Qualitative Disclosures for AS'!H1086)</f>
        <v/>
      </c>
      <c r="J245" s="1723" t="str">
        <f>+IF('Qualitative Disclosures for AS'!I1086="","",'Qualitative Disclosures for AS'!I1086)</f>
        <v/>
      </c>
    </row>
    <row r="246" spans="3:10" hidden="1" x14ac:dyDescent="0.3">
      <c r="C246" s="925"/>
      <c r="D246" s="1723" t="str">
        <f>+IF('Qualitative Disclosures for AS'!C1087="","",'Qualitative Disclosures for AS'!C1087)</f>
        <v/>
      </c>
      <c r="E246" s="1723" t="str">
        <f>+IF('Qualitative Disclosures for AS'!D1087="","",'Qualitative Disclosures for AS'!D1087)</f>
        <v/>
      </c>
      <c r="F246" s="1723" t="str">
        <f>+IF('Qualitative Disclosures for AS'!E1087="","",'Qualitative Disclosures for AS'!E1087)</f>
        <v/>
      </c>
      <c r="G246" s="1723" t="str">
        <f>+IF('Qualitative Disclosures for AS'!F1087="","",'Qualitative Disclosures for AS'!F1087)</f>
        <v/>
      </c>
      <c r="H246" s="1723" t="str">
        <f>+IF('Qualitative Disclosures for AS'!G1087="","",'Qualitative Disclosures for AS'!G1087)</f>
        <v/>
      </c>
      <c r="I246" s="1723" t="str">
        <f>+IF('Qualitative Disclosures for AS'!H1087="","",'Qualitative Disclosures for AS'!H1087)</f>
        <v/>
      </c>
      <c r="J246" s="1723" t="str">
        <f>+IF('Qualitative Disclosures for AS'!I1087="","",'Qualitative Disclosures for AS'!I1087)</f>
        <v/>
      </c>
    </row>
    <row r="247" spans="3:10" hidden="1" x14ac:dyDescent="0.3">
      <c r="C247" s="925"/>
      <c r="D247" s="961"/>
      <c r="E247" s="2298"/>
      <c r="F247" s="961"/>
      <c r="G247" s="961"/>
      <c r="H247" s="961"/>
      <c r="I247" s="961"/>
      <c r="J247" s="961"/>
    </row>
    <row r="248" spans="3:10" x14ac:dyDescent="0.3">
      <c r="D248" s="180"/>
      <c r="E248" s="180"/>
      <c r="F248" s="180"/>
      <c r="G248" s="180"/>
      <c r="H248" s="180"/>
      <c r="I248" s="180"/>
      <c r="J248" s="180"/>
    </row>
    <row r="249" spans="3:10" x14ac:dyDescent="0.3">
      <c r="C249" s="1134">
        <f>+C239+0.01</f>
        <v>33.149999999999977</v>
      </c>
      <c r="D249" s="2979" t="str">
        <f>+IF('Qualitative Disclosures for AS'!C1091="","",'Qualitative Disclosures for AS'!C1091)</f>
        <v>Details of Crypto Currency or Virtual Currency</v>
      </c>
      <c r="E249" s="2979" t="str">
        <f>+IF('Qualitative Disclosures for AS'!D1091="","",'Qualitative Disclosures for AS'!D1091)</f>
        <v/>
      </c>
      <c r="F249" s="2979" t="str">
        <f>+IF('Qualitative Disclosures for AS'!E1091="","",'Qualitative Disclosures for AS'!E1091)</f>
        <v/>
      </c>
      <c r="G249" s="2979" t="str">
        <f>+IF('Qualitative Disclosures for AS'!F1091="","",'Qualitative Disclosures for AS'!F1091)</f>
        <v/>
      </c>
      <c r="H249" s="2979" t="str">
        <f>+IF('Qualitative Disclosures for AS'!G1091="","",'Qualitative Disclosures for AS'!G1091)</f>
        <v/>
      </c>
      <c r="I249" s="2979" t="str">
        <f>+IF('Qualitative Disclosures for AS'!H1091="","",'Qualitative Disclosures for AS'!H1091)</f>
        <v/>
      </c>
      <c r="J249" s="2979" t="str">
        <f>+IF('Qualitative Disclosures for AS'!I1091="","",'Qualitative Disclosures for AS'!I1091)</f>
        <v/>
      </c>
    </row>
    <row r="250" spans="3:10" hidden="1" x14ac:dyDescent="0.3">
      <c r="C250" s="925"/>
      <c r="D250" s="961"/>
      <c r="E250" s="961"/>
      <c r="F250" s="961"/>
      <c r="G250" s="961"/>
      <c r="H250" s="961"/>
      <c r="I250" s="961"/>
      <c r="J250" s="961"/>
    </row>
    <row r="251" spans="3:10" x14ac:dyDescent="0.3">
      <c r="C251" s="925"/>
      <c r="D251" s="1" t="str">
        <f>+IF('Qualitative Disclosures for AS'!C1093="","",'Qualitative Disclosures for AS'!C1093)</f>
        <v>The Company has not traded or invested in Crypto currency or Virtual Currency during the year ended 31st March 2025.</v>
      </c>
      <c r="E251" s="961"/>
      <c r="F251" s="961"/>
      <c r="G251" s="961" t="str">
        <f>+IF('Qualitative Disclosures for AS'!F1093="","",'Qualitative Disclosures for AS'!F1093)</f>
        <v/>
      </c>
      <c r="H251" s="961" t="str">
        <f>+IF('Qualitative Disclosures for AS'!G1093="","",'Qualitative Disclosures for AS'!G1093)</f>
        <v/>
      </c>
      <c r="I251" s="961" t="str">
        <f>+IF('Qualitative Disclosures for AS'!H1093="","",'Qualitative Disclosures for AS'!H1093)</f>
        <v/>
      </c>
      <c r="J251" s="961" t="str">
        <f>+IF('Qualitative Disclosures for AS'!I1093="","",'Qualitative Disclosures for AS'!I1093)</f>
        <v/>
      </c>
    </row>
    <row r="252" spans="3:10" hidden="1" x14ac:dyDescent="0.3">
      <c r="C252" s="925"/>
      <c r="D252" s="1723" t="str">
        <f>+IF('Qualitative Disclosures for AS'!C1094="","",'Qualitative Disclosures for AS'!C1094)</f>
        <v/>
      </c>
      <c r="E252" s="1723" t="str">
        <f>+IF('Qualitative Disclosures for AS'!D1094="","",'Qualitative Disclosures for AS'!D1094)</f>
        <v/>
      </c>
      <c r="F252" s="1723" t="str">
        <f>+IF('Qualitative Disclosures for AS'!E1094="","",'Qualitative Disclosures for AS'!E1094)</f>
        <v/>
      </c>
      <c r="G252" s="1723" t="str">
        <f>+IF('Qualitative Disclosures for AS'!F1094="","",'Qualitative Disclosures for AS'!F1094)</f>
        <v/>
      </c>
      <c r="H252" s="1723" t="str">
        <f>+IF('Qualitative Disclosures for AS'!G1094="","",'Qualitative Disclosures for AS'!G1094)</f>
        <v/>
      </c>
      <c r="I252" s="1723" t="str">
        <f>+IF('Qualitative Disclosures for AS'!H1094="","",'Qualitative Disclosures for AS'!H1094)</f>
        <v/>
      </c>
      <c r="J252" s="1723" t="str">
        <f>+IF('Qualitative Disclosures for AS'!I1094="","",'Qualitative Disclosures for AS'!I1094)</f>
        <v/>
      </c>
    </row>
    <row r="253" spans="3:10" hidden="1" x14ac:dyDescent="0.3">
      <c r="C253" s="925"/>
      <c r="D253" s="1723" t="str">
        <f>+IF('Qualitative Disclosures for AS'!C1095="","",'Qualitative Disclosures for AS'!C1095)</f>
        <v/>
      </c>
      <c r="E253" s="1723" t="str">
        <f>+IF('Qualitative Disclosures for AS'!D1095="","",'Qualitative Disclosures for AS'!D1095)</f>
        <v/>
      </c>
      <c r="F253" s="1723" t="str">
        <f>+IF('Qualitative Disclosures for AS'!E1095="","",'Qualitative Disclosures for AS'!E1095)</f>
        <v/>
      </c>
      <c r="G253" s="1723" t="str">
        <f>+IF('Qualitative Disclosures for AS'!F1095="","",'Qualitative Disclosures for AS'!F1095)</f>
        <v/>
      </c>
      <c r="H253" s="1723" t="str">
        <f>+IF('Qualitative Disclosures for AS'!G1095="","",'Qualitative Disclosures for AS'!G1095)</f>
        <v/>
      </c>
      <c r="I253" s="1723" t="str">
        <f>+IF('Qualitative Disclosures for AS'!H1095="","",'Qualitative Disclosures for AS'!H1095)</f>
        <v/>
      </c>
      <c r="J253" s="1723" t="str">
        <f>+IF('Qualitative Disclosures for AS'!I1095="","",'Qualitative Disclosures for AS'!I1095)</f>
        <v/>
      </c>
    </row>
    <row r="254" spans="3:10" hidden="1" x14ac:dyDescent="0.3">
      <c r="C254" s="925"/>
      <c r="D254" s="1723" t="str">
        <f>+IF('Qualitative Disclosures for AS'!C1096="","",'Qualitative Disclosures for AS'!C1096)</f>
        <v/>
      </c>
      <c r="E254" s="1723" t="str">
        <f>+IF('Qualitative Disclosures for AS'!D1096="","",'Qualitative Disclosures for AS'!D1096)</f>
        <v/>
      </c>
      <c r="F254" s="1723" t="str">
        <f>+IF('Qualitative Disclosures for AS'!E1096="","",'Qualitative Disclosures for AS'!E1096)</f>
        <v/>
      </c>
      <c r="G254" s="1723" t="str">
        <f>+IF('Qualitative Disclosures for AS'!F1096="","",'Qualitative Disclosures for AS'!F1096)</f>
        <v/>
      </c>
      <c r="H254" s="1723" t="str">
        <f>+IF('Qualitative Disclosures for AS'!G1096="","",'Qualitative Disclosures for AS'!G1096)</f>
        <v/>
      </c>
      <c r="I254" s="1723" t="str">
        <f>+IF('Qualitative Disclosures for AS'!H1096="","",'Qualitative Disclosures for AS'!H1096)</f>
        <v/>
      </c>
      <c r="J254" s="1723" t="str">
        <f>+IF('Qualitative Disclosures for AS'!I1096="","",'Qualitative Disclosures for AS'!I1096)</f>
        <v/>
      </c>
    </row>
    <row r="255" spans="3:10" hidden="1" x14ac:dyDescent="0.3">
      <c r="C255" s="925"/>
      <c r="D255" s="1723" t="str">
        <f>+IF('Qualitative Disclosures for AS'!C1097="","",'Qualitative Disclosures for AS'!C1097)</f>
        <v/>
      </c>
      <c r="E255" s="1723" t="str">
        <f>+IF('Qualitative Disclosures for AS'!D1097="","",'Qualitative Disclosures for AS'!D1097)</f>
        <v/>
      </c>
      <c r="F255" s="1723" t="str">
        <f>+IF('Qualitative Disclosures for AS'!E1097="","",'Qualitative Disclosures for AS'!E1097)</f>
        <v/>
      </c>
      <c r="G255" s="1723" t="str">
        <f>+IF('Qualitative Disclosures for AS'!F1097="","",'Qualitative Disclosures for AS'!F1097)</f>
        <v/>
      </c>
      <c r="H255" s="1723" t="str">
        <f>+IF('Qualitative Disclosures for AS'!G1097="","",'Qualitative Disclosures for AS'!G1097)</f>
        <v/>
      </c>
      <c r="I255" s="1723" t="str">
        <f>+IF('Qualitative Disclosures for AS'!H1097="","",'Qualitative Disclosures for AS'!H1097)</f>
        <v/>
      </c>
      <c r="J255" s="1723" t="str">
        <f>+IF('Qualitative Disclosures for AS'!I1097="","",'Qualitative Disclosures for AS'!I1097)</f>
        <v/>
      </c>
    </row>
    <row r="256" spans="3:10" hidden="1" x14ac:dyDescent="0.3">
      <c r="C256" s="925"/>
      <c r="D256" s="1723" t="str">
        <f>+IF('Qualitative Disclosures for AS'!C1098="","",'Qualitative Disclosures for AS'!C1098)</f>
        <v/>
      </c>
      <c r="E256" s="1723" t="str">
        <f>+IF('Qualitative Disclosures for AS'!D1098="","",'Qualitative Disclosures for AS'!D1098)</f>
        <v/>
      </c>
      <c r="F256" s="1723" t="str">
        <f>+IF('Qualitative Disclosures for AS'!E1098="","",'Qualitative Disclosures for AS'!E1098)</f>
        <v/>
      </c>
      <c r="G256" s="1723" t="str">
        <f>+IF('Qualitative Disclosures for AS'!F1098="","",'Qualitative Disclosures for AS'!F1098)</f>
        <v/>
      </c>
      <c r="H256" s="1723" t="str">
        <f>+IF('Qualitative Disclosures for AS'!G1098="","",'Qualitative Disclosures for AS'!G1098)</f>
        <v/>
      </c>
      <c r="I256" s="1723" t="str">
        <f>+IF('Qualitative Disclosures for AS'!H1098="","",'Qualitative Disclosures for AS'!H1098)</f>
        <v/>
      </c>
      <c r="J256" s="1723" t="str">
        <f>+IF('Qualitative Disclosures for AS'!I1098="","",'Qualitative Disclosures for AS'!I1098)</f>
        <v/>
      </c>
    </row>
    <row r="257" spans="3:12" hidden="1" x14ac:dyDescent="0.3">
      <c r="C257" s="925"/>
      <c r="D257" s="961"/>
      <c r="E257" s="961"/>
      <c r="F257" s="961"/>
      <c r="G257" s="961"/>
      <c r="H257" s="961"/>
      <c r="I257" s="961"/>
      <c r="J257" s="961"/>
    </row>
    <row r="258" spans="3:12" x14ac:dyDescent="0.3">
      <c r="D258" s="1129"/>
      <c r="E258" s="1129"/>
      <c r="F258" s="1129"/>
      <c r="G258" s="1129"/>
      <c r="H258" s="1129"/>
      <c r="I258" s="1129"/>
      <c r="J258" s="1129"/>
      <c r="K258" s="1129"/>
      <c r="L258" s="1129"/>
    </row>
    <row r="259" spans="3:12" x14ac:dyDescent="0.3">
      <c r="C259" s="2669">
        <v>34</v>
      </c>
      <c r="D259" s="1135" t="s">
        <v>1917</v>
      </c>
      <c r="E259" s="1129"/>
      <c r="F259" s="1129"/>
      <c r="G259" s="1129"/>
      <c r="H259" s="1129"/>
      <c r="I259" s="1129"/>
      <c r="J259" s="1129"/>
      <c r="K259" s="1129"/>
      <c r="L259" s="1129"/>
    </row>
    <row r="260" spans="3:12" hidden="1" x14ac:dyDescent="0.3">
      <c r="D260" s="1129"/>
      <c r="E260" s="1129"/>
      <c r="F260" s="1129"/>
      <c r="G260" s="1129"/>
      <c r="H260" s="1129"/>
      <c r="I260" s="1129"/>
      <c r="J260" s="1129"/>
      <c r="K260" s="1129"/>
      <c r="L260" s="1129"/>
    </row>
    <row r="261" spans="3:12" x14ac:dyDescent="0.3">
      <c r="D261" s="657" t="s">
        <v>681</v>
      </c>
      <c r="E261" s="657"/>
      <c r="F261" s="657"/>
      <c r="G261" s="657"/>
      <c r="H261" s="657"/>
      <c r="I261" s="657"/>
      <c r="J261" s="657"/>
      <c r="K261" s="657"/>
      <c r="L261" s="657"/>
    </row>
    <row r="262" spans="3:12" x14ac:dyDescent="0.3">
      <c r="D262" s="657"/>
      <c r="E262" s="657"/>
      <c r="F262" s="657"/>
      <c r="G262" s="657"/>
      <c r="H262" s="657"/>
      <c r="I262" s="657"/>
      <c r="J262" s="657"/>
      <c r="K262" s="657"/>
      <c r="L262" s="657"/>
    </row>
    <row r="263" spans="3:12" x14ac:dyDescent="0.3">
      <c r="C263" s="2669">
        <v>35</v>
      </c>
      <c r="D263" s="1135" t="s">
        <v>3845</v>
      </c>
      <c r="E263" s="657"/>
      <c r="F263" s="657"/>
      <c r="G263" s="657"/>
      <c r="H263" s="657"/>
      <c r="I263" s="657"/>
      <c r="J263" s="657"/>
      <c r="K263" s="657"/>
      <c r="L263" s="657"/>
    </row>
    <row r="264" spans="3:12" ht="34.5" customHeight="1" x14ac:dyDescent="0.3">
      <c r="D264" s="2989" t="s">
        <v>3846</v>
      </c>
      <c r="E264" s="2989"/>
      <c r="F264" s="2989"/>
      <c r="G264" s="2989"/>
      <c r="H264" s="2989"/>
      <c r="I264" s="2989"/>
      <c r="J264" s="2989"/>
      <c r="K264" s="657"/>
      <c r="L264" s="657"/>
    </row>
    <row r="265" spans="3:12" x14ac:dyDescent="0.3">
      <c r="D265" s="2673"/>
      <c r="E265" s="2673"/>
      <c r="F265" s="2673"/>
      <c r="G265" s="2673"/>
      <c r="H265" s="2673"/>
      <c r="I265" s="2673"/>
      <c r="J265" s="2673"/>
      <c r="K265" s="657"/>
      <c r="L265" s="657"/>
    </row>
    <row r="266" spans="3:12" x14ac:dyDescent="0.3">
      <c r="D266" s="2673"/>
      <c r="E266" s="2673"/>
      <c r="F266" s="2673"/>
      <c r="G266" s="2673"/>
      <c r="H266" s="2673"/>
      <c r="I266" s="2673"/>
      <c r="J266" s="2673"/>
      <c r="K266" s="657"/>
      <c r="L266" s="657"/>
    </row>
    <row r="267" spans="3:12" x14ac:dyDescent="0.3">
      <c r="C267" s="2697"/>
      <c r="D267" s="1231" t="s">
        <v>3926</v>
      </c>
      <c r="E267" s="113"/>
      <c r="F267" s="113"/>
      <c r="H267" s="1231" t="s">
        <v>14</v>
      </c>
      <c r="J267" s="113"/>
      <c r="K267" s="1231"/>
      <c r="L267" s="1231"/>
    </row>
    <row r="268" spans="3:12" x14ac:dyDescent="0.3">
      <c r="C268" s="2697"/>
      <c r="D268" s="1231" t="s">
        <v>15</v>
      </c>
      <c r="E268" s="113"/>
      <c r="F268" s="113" t="s">
        <v>16</v>
      </c>
      <c r="H268" s="1231" t="s">
        <v>3169</v>
      </c>
      <c r="J268" s="113"/>
      <c r="K268" s="1231"/>
      <c r="L268" s="1231"/>
    </row>
    <row r="269" spans="3:12" x14ac:dyDescent="0.3">
      <c r="C269" s="2697"/>
      <c r="D269" s="1231" t="s">
        <v>3927</v>
      </c>
      <c r="E269" s="113"/>
      <c r="F269" s="113"/>
      <c r="I269" s="113"/>
      <c r="J269" s="113"/>
      <c r="K269" s="1231"/>
      <c r="L269" s="1231"/>
    </row>
    <row r="270" spans="3:12" x14ac:dyDescent="0.3">
      <c r="C270" s="2697"/>
      <c r="D270" s="1231" t="str">
        <f>+'Balance Sheet'!C71</f>
        <v>UDIN : xxxxxxxxxxxxxxxxxxxxxx</v>
      </c>
      <c r="E270" s="113"/>
      <c r="F270" s="113"/>
      <c r="I270" s="113"/>
      <c r="J270" s="113"/>
      <c r="K270" s="1231"/>
      <c r="L270" s="1231"/>
    </row>
    <row r="271" spans="3:12" x14ac:dyDescent="0.3">
      <c r="C271" s="2697"/>
      <c r="K271" s="1231"/>
      <c r="L271" s="1231"/>
    </row>
    <row r="272" spans="3:12" x14ac:dyDescent="0.3">
      <c r="C272" s="2697"/>
      <c r="K272" s="1231"/>
      <c r="L272" s="1231"/>
    </row>
    <row r="273" spans="4:12" x14ac:dyDescent="0.3">
      <c r="K273" s="657"/>
      <c r="L273" s="657"/>
    </row>
    <row r="274" spans="4:12" x14ac:dyDescent="0.3">
      <c r="K274" s="657"/>
      <c r="L274" s="657"/>
    </row>
    <row r="275" spans="4:12" x14ac:dyDescent="0.3">
      <c r="K275" s="657"/>
      <c r="L275" s="657"/>
    </row>
    <row r="276" spans="4:12" x14ac:dyDescent="0.3">
      <c r="D276" s="1" t="s">
        <v>3799</v>
      </c>
      <c r="H276" s="1" t="s">
        <v>3307</v>
      </c>
      <c r="J276" s="1" t="s">
        <v>3308</v>
      </c>
      <c r="K276" s="657"/>
      <c r="L276" s="657"/>
    </row>
    <row r="277" spans="4:12" x14ac:dyDescent="0.3">
      <c r="D277" s="1" t="s">
        <v>18</v>
      </c>
      <c r="H277" s="1" t="s">
        <v>1699</v>
      </c>
      <c r="J277" s="1" t="s">
        <v>1699</v>
      </c>
      <c r="K277" s="657"/>
      <c r="L277" s="657"/>
    </row>
    <row r="278" spans="4:12" x14ac:dyDescent="0.3">
      <c r="D278" s="1" t="s">
        <v>3905</v>
      </c>
      <c r="H278" s="1" t="s">
        <v>3906</v>
      </c>
      <c r="J278" s="1" t="s">
        <v>3907</v>
      </c>
      <c r="K278" s="657"/>
      <c r="L278" s="657"/>
    </row>
    <row r="279" spans="4:12" x14ac:dyDescent="0.3">
      <c r="D279" s="1" t="s">
        <v>3294</v>
      </c>
      <c r="H279" s="1" t="s">
        <v>3908</v>
      </c>
      <c r="J279" s="1" t="s">
        <v>3909</v>
      </c>
      <c r="K279" s="657"/>
      <c r="L279" s="657"/>
    </row>
    <row r="280" spans="4:12" x14ac:dyDescent="0.3">
      <c r="D280" s="1" t="s">
        <v>3915</v>
      </c>
      <c r="H280" s="1" t="s">
        <v>3916</v>
      </c>
      <c r="J280" s="1" t="s">
        <v>3915</v>
      </c>
      <c r="K280" s="657"/>
      <c r="L280" s="657"/>
    </row>
    <row r="281" spans="4:12" x14ac:dyDescent="0.3">
      <c r="D281" s="657"/>
      <c r="E281" s="657"/>
      <c r="F281" s="657"/>
      <c r="H281" s="657"/>
      <c r="J281" s="657"/>
      <c r="K281" s="657"/>
      <c r="L281" s="657"/>
    </row>
    <row r="282" spans="4:12" x14ac:dyDescent="0.3">
      <c r="K282" s="1129"/>
      <c r="L282" s="1129"/>
    </row>
    <row r="283" spans="4:12" ht="16.5" hidden="1" customHeight="1" x14ac:dyDescent="0.3">
      <c r="K283" s="1129"/>
      <c r="L283" s="1129"/>
    </row>
    <row r="284" spans="4:12" ht="16.5" hidden="1" customHeight="1" x14ac:dyDescent="0.3">
      <c r="K284" s="1129"/>
      <c r="L284" s="1129"/>
    </row>
    <row r="285" spans="4:12" ht="16.5" hidden="1" customHeight="1" x14ac:dyDescent="0.3">
      <c r="K285" s="1129"/>
      <c r="L285" s="1129"/>
    </row>
    <row r="286" spans="4:12" ht="16.5" hidden="1" customHeight="1" x14ac:dyDescent="0.3">
      <c r="K286" s="1129"/>
      <c r="L286" s="1129"/>
    </row>
    <row r="287" spans="4:12" ht="14.45" hidden="1" customHeight="1" x14ac:dyDescent="0.3"/>
    <row r="288" spans="4:12" ht="14.45" hidden="1" customHeight="1" x14ac:dyDescent="0.3"/>
    <row r="289" ht="14.45" hidden="1" customHeight="1" x14ac:dyDescent="0.3"/>
  </sheetData>
  <sheetProtection formatCells="0" formatColumns="0" formatRows="0"/>
  <mergeCells count="32">
    <mergeCell ref="D264:J264"/>
    <mergeCell ref="K58:K59"/>
    <mergeCell ref="L58:O58"/>
    <mergeCell ref="P58:P59"/>
    <mergeCell ref="K95:K96"/>
    <mergeCell ref="L95:O95"/>
    <mergeCell ref="P95:P96"/>
    <mergeCell ref="D104:D105"/>
    <mergeCell ref="E104:H104"/>
    <mergeCell ref="D58:D59"/>
    <mergeCell ref="E58:H58"/>
    <mergeCell ref="I58:I59"/>
    <mergeCell ref="D72:J72"/>
    <mergeCell ref="D74:D75"/>
    <mergeCell ref="E74:H74"/>
    <mergeCell ref="D92:J92"/>
    <mergeCell ref="D23:J23"/>
    <mergeCell ref="D30:J30"/>
    <mergeCell ref="D31:J31"/>
    <mergeCell ref="E33:F33"/>
    <mergeCell ref="G33:H33"/>
    <mergeCell ref="D95:D96"/>
    <mergeCell ref="E95:H95"/>
    <mergeCell ref="I95:I96"/>
    <mergeCell ref="D102:J102"/>
    <mergeCell ref="D239:J239"/>
    <mergeCell ref="D249:J249"/>
    <mergeCell ref="D129:J129"/>
    <mergeCell ref="D131:J131"/>
    <mergeCell ref="D132:J132"/>
    <mergeCell ref="D152:J152"/>
    <mergeCell ref="D231:J231"/>
  </mergeCells>
  <pageMargins left="0.7" right="0.7" top="0.75" bottom="0.75" header="0.3" footer="0.3"/>
  <pageSetup paperSize="9" scale="46"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3:O1340"/>
  <sheetViews>
    <sheetView showGridLines="0" view="pageBreakPreview" topLeftCell="D1145" zoomScale="80" zoomScaleNormal="70" zoomScaleSheetLayoutView="80" workbookViewId="0">
      <selection activeCell="E1145" sqref="E1145"/>
    </sheetView>
  </sheetViews>
  <sheetFormatPr defaultColWidth="8.85546875" defaultRowHeight="16.5" x14ac:dyDescent="0.3"/>
  <cols>
    <col min="1" max="2" width="3.7109375" style="1" customWidth="1"/>
    <col min="3" max="3" width="146.5703125" style="1" bestFit="1" customWidth="1"/>
    <col min="4" max="4" width="132.5703125" style="1" bestFit="1" customWidth="1"/>
    <col min="5" max="5" width="30.85546875" style="1" bestFit="1" customWidth="1"/>
    <col min="6" max="6" width="53.7109375" style="1" bestFit="1" customWidth="1"/>
    <col min="7" max="7" width="23.7109375" style="1" bestFit="1" customWidth="1"/>
    <col min="8" max="8" width="16.7109375" style="1" bestFit="1" customWidth="1"/>
    <col min="9" max="9" width="23.28515625" style="1" bestFit="1" customWidth="1"/>
    <col min="10" max="10" width="96.5703125" style="1" bestFit="1" customWidth="1"/>
    <col min="11" max="11" width="17.28515625" style="1" bestFit="1" customWidth="1"/>
    <col min="12" max="13" width="9.85546875" style="1" bestFit="1" customWidth="1"/>
    <col min="14" max="14" width="19.140625" style="1" bestFit="1" customWidth="1"/>
    <col min="15" max="15" width="16.7109375" style="1" bestFit="1" customWidth="1"/>
    <col min="16" max="16384" width="8.85546875" style="1"/>
  </cols>
  <sheetData>
    <row r="3" spans="3:5" x14ac:dyDescent="0.3">
      <c r="C3" s="4" t="str">
        <f>+Company_Name</f>
        <v>Sample Company</v>
      </c>
    </row>
    <row r="4" spans="3:5" x14ac:dyDescent="0.3">
      <c r="C4" s="4" t="s">
        <v>1868</v>
      </c>
    </row>
    <row r="6" spans="3:5" x14ac:dyDescent="0.3">
      <c r="C6" s="815" t="s">
        <v>1738</v>
      </c>
      <c r="D6" s="41"/>
      <c r="E6" s="41"/>
    </row>
    <row r="7" spans="3:5" x14ac:dyDescent="0.3">
      <c r="C7" s="815"/>
      <c r="D7" s="41"/>
      <c r="E7" s="41"/>
    </row>
    <row r="8" spans="3:5" x14ac:dyDescent="0.3">
      <c r="C8" s="314" t="s">
        <v>20</v>
      </c>
      <c r="D8" s="314" t="str">
        <f>BSCY</f>
        <v>As At 31st March 2025</v>
      </c>
      <c r="E8" s="314" t="str">
        <f>BSPY</f>
        <v>As At 31st March 2024</v>
      </c>
    </row>
    <row r="9" spans="3:5" x14ac:dyDescent="0.3">
      <c r="C9" s="813" t="s">
        <v>1738</v>
      </c>
      <c r="D9" s="104"/>
      <c r="E9" s="156"/>
    </row>
    <row r="10" spans="3:5" x14ac:dyDescent="0.3">
      <c r="C10" s="116" t="s">
        <v>287</v>
      </c>
      <c r="D10" s="106"/>
      <c r="E10" s="139"/>
    </row>
    <row r="11" spans="3:5" x14ac:dyDescent="0.3">
      <c r="C11" s="116" t="s">
        <v>553</v>
      </c>
      <c r="D11" s="106"/>
      <c r="E11" s="139"/>
    </row>
    <row r="12" spans="3:5" x14ac:dyDescent="0.3">
      <c r="C12" s="116" t="s">
        <v>288</v>
      </c>
      <c r="D12" s="106"/>
      <c r="E12" s="139"/>
    </row>
    <row r="13" spans="3:5" x14ac:dyDescent="0.3">
      <c r="C13" s="116" t="s">
        <v>289</v>
      </c>
      <c r="D13" s="106"/>
      <c r="E13" s="139"/>
    </row>
    <row r="14" spans="3:5" x14ac:dyDescent="0.3">
      <c r="C14" s="116" t="s">
        <v>448</v>
      </c>
      <c r="D14" s="106"/>
      <c r="E14" s="139"/>
    </row>
    <row r="15" spans="3:5" x14ac:dyDescent="0.3">
      <c r="C15" s="116" t="s">
        <v>449</v>
      </c>
      <c r="D15" s="106"/>
      <c r="E15" s="139"/>
    </row>
    <row r="16" spans="3:5" x14ac:dyDescent="0.3">
      <c r="C16" s="124"/>
      <c r="D16" s="108"/>
      <c r="E16" s="143"/>
    </row>
    <row r="17" spans="3:9" x14ac:dyDescent="0.3">
      <c r="C17" s="18"/>
      <c r="D17" s="18"/>
      <c r="E17" s="18"/>
    </row>
    <row r="18" spans="3:9" x14ac:dyDescent="0.3">
      <c r="C18" s="958"/>
      <c r="D18" s="1063"/>
      <c r="E18" s="1063"/>
      <c r="F18" s="1063"/>
      <c r="G18" s="1063"/>
      <c r="H18" s="1063"/>
      <c r="I18" s="959"/>
    </row>
    <row r="19" spans="3:9" x14ac:dyDescent="0.3">
      <c r="C19" s="960"/>
      <c r="D19" s="113"/>
      <c r="E19" s="113"/>
      <c r="F19" s="113"/>
      <c r="G19" s="113"/>
      <c r="H19" s="113"/>
      <c r="I19" s="135"/>
    </row>
    <row r="20" spans="3:9" x14ac:dyDescent="0.3">
      <c r="C20" s="960"/>
      <c r="D20" s="113"/>
      <c r="E20" s="113"/>
      <c r="F20" s="113"/>
      <c r="G20" s="113"/>
      <c r="H20" s="113"/>
      <c r="I20" s="135"/>
    </row>
    <row r="21" spans="3:9" x14ac:dyDescent="0.3">
      <c r="C21" s="960"/>
      <c r="D21" s="113"/>
      <c r="E21" s="113"/>
      <c r="F21" s="113"/>
      <c r="G21" s="113"/>
      <c r="H21" s="113"/>
      <c r="I21" s="135"/>
    </row>
    <row r="22" spans="3:9" x14ac:dyDescent="0.3">
      <c r="C22" s="960"/>
      <c r="D22" s="113"/>
      <c r="E22" s="113"/>
      <c r="F22" s="113"/>
      <c r="G22" s="113"/>
      <c r="H22" s="113"/>
      <c r="I22" s="135"/>
    </row>
    <row r="23" spans="3:9" x14ac:dyDescent="0.3">
      <c r="C23" s="960"/>
      <c r="D23" s="113"/>
      <c r="E23" s="113"/>
      <c r="F23" s="113"/>
      <c r="G23" s="113"/>
      <c r="H23" s="113"/>
      <c r="I23" s="135"/>
    </row>
    <row r="24" spans="3:9" x14ac:dyDescent="0.3">
      <c r="C24" s="960"/>
      <c r="D24" s="113"/>
      <c r="E24" s="113"/>
      <c r="F24" s="113"/>
      <c r="G24" s="113"/>
      <c r="H24" s="113"/>
      <c r="I24" s="135"/>
    </row>
    <row r="25" spans="3:9" x14ac:dyDescent="0.3">
      <c r="C25" s="960"/>
      <c r="D25" s="113"/>
      <c r="E25" s="113"/>
      <c r="F25" s="113"/>
      <c r="G25" s="113"/>
      <c r="H25" s="113"/>
      <c r="I25" s="135"/>
    </row>
    <row r="26" spans="3:9" x14ac:dyDescent="0.3">
      <c r="C26" s="960"/>
      <c r="D26" s="113"/>
      <c r="E26" s="113"/>
      <c r="F26" s="113"/>
      <c r="G26" s="113"/>
      <c r="H26" s="113"/>
      <c r="I26" s="135"/>
    </row>
    <row r="27" spans="3:9" x14ac:dyDescent="0.3">
      <c r="C27" s="960"/>
      <c r="D27" s="113"/>
      <c r="E27" s="113"/>
      <c r="F27" s="113"/>
      <c r="G27" s="113"/>
      <c r="H27" s="113"/>
      <c r="I27" s="135"/>
    </row>
    <row r="28" spans="3:9" x14ac:dyDescent="0.3">
      <c r="C28" s="960"/>
      <c r="D28" s="113"/>
      <c r="E28" s="113"/>
      <c r="F28" s="113"/>
      <c r="G28" s="113"/>
      <c r="H28" s="113"/>
      <c r="I28" s="135"/>
    </row>
    <row r="29" spans="3:9" x14ac:dyDescent="0.3">
      <c r="C29" s="1064"/>
      <c r="D29" s="1065"/>
      <c r="E29" s="1065"/>
      <c r="F29" s="1065"/>
      <c r="G29" s="1065"/>
      <c r="H29" s="1065"/>
      <c r="I29" s="144"/>
    </row>
    <row r="30" spans="3:9" x14ac:dyDescent="0.3">
      <c r="C30" s="18"/>
      <c r="D30" s="18"/>
      <c r="E30" s="18"/>
    </row>
    <row r="31" spans="3:9" x14ac:dyDescent="0.3">
      <c r="C31" s="145" t="s">
        <v>1739</v>
      </c>
      <c r="D31" s="18"/>
      <c r="E31" s="18"/>
    </row>
    <row r="32" spans="3:9" x14ac:dyDescent="0.3">
      <c r="C32" s="145"/>
      <c r="D32" s="18"/>
      <c r="E32" s="18"/>
    </row>
    <row r="33" spans="3:9" x14ac:dyDescent="0.3">
      <c r="C33" s="851" t="s">
        <v>20</v>
      </c>
      <c r="D33" s="314" t="str">
        <f>BSCY</f>
        <v>As At 31st March 2025</v>
      </c>
      <c r="E33" s="823" t="str">
        <f>BSPY</f>
        <v>As At 31st March 2024</v>
      </c>
    </row>
    <row r="34" spans="3:9" x14ac:dyDescent="0.3">
      <c r="C34" s="120" t="s">
        <v>483</v>
      </c>
      <c r="D34" s="106"/>
      <c r="E34" s="139"/>
    </row>
    <row r="35" spans="3:9" x14ac:dyDescent="0.3">
      <c r="C35" s="288" t="s">
        <v>484</v>
      </c>
      <c r="D35" s="106"/>
      <c r="E35" s="139"/>
    </row>
    <row r="36" spans="3:9" x14ac:dyDescent="0.3">
      <c r="C36" s="288" t="s">
        <v>485</v>
      </c>
      <c r="D36" s="106"/>
      <c r="E36" s="139"/>
    </row>
    <row r="37" spans="3:9" x14ac:dyDescent="0.3">
      <c r="C37" s="288" t="s">
        <v>486</v>
      </c>
      <c r="D37" s="108"/>
      <c r="E37" s="143"/>
    </row>
    <row r="38" spans="3:9" x14ac:dyDescent="0.3">
      <c r="C38" s="120"/>
      <c r="D38" s="106"/>
      <c r="E38" s="139"/>
    </row>
    <row r="39" spans="3:9" ht="33" x14ac:dyDescent="0.3">
      <c r="C39" s="814" t="s">
        <v>650</v>
      </c>
      <c r="D39" s="108"/>
      <c r="E39" s="143"/>
    </row>
    <row r="40" spans="3:9" x14ac:dyDescent="0.3">
      <c r="C40" s="147"/>
      <c r="D40" s="18"/>
      <c r="E40" s="18"/>
    </row>
    <row r="41" spans="3:9" x14ac:dyDescent="0.3">
      <c r="C41" s="1066"/>
      <c r="D41" s="1073"/>
      <c r="E41" s="1073"/>
      <c r="F41" s="1073"/>
      <c r="G41" s="1073"/>
      <c r="H41" s="1073"/>
      <c r="I41" s="1074"/>
    </row>
    <row r="42" spans="3:9" x14ac:dyDescent="0.3">
      <c r="C42" s="1067"/>
      <c r="D42" s="1070"/>
      <c r="E42" s="1070"/>
      <c r="F42" s="1070"/>
      <c r="G42" s="1070"/>
      <c r="H42" s="1070"/>
      <c r="I42" s="1075"/>
    </row>
    <row r="43" spans="3:9" x14ac:dyDescent="0.3">
      <c r="C43" s="1067"/>
      <c r="D43" s="1070"/>
      <c r="E43" s="1070"/>
      <c r="F43" s="1070"/>
      <c r="G43" s="1070"/>
      <c r="H43" s="1070"/>
      <c r="I43" s="1075"/>
    </row>
    <row r="44" spans="3:9" x14ac:dyDescent="0.3">
      <c r="C44" s="1067"/>
      <c r="D44" s="1070"/>
      <c r="E44" s="1070"/>
      <c r="F44" s="1070"/>
      <c r="G44" s="1070"/>
      <c r="H44" s="1070"/>
      <c r="I44" s="1075"/>
    </row>
    <row r="45" spans="3:9" x14ac:dyDescent="0.3">
      <c r="C45" s="1067"/>
      <c r="D45" s="1070"/>
      <c r="E45" s="1070"/>
      <c r="F45" s="1070"/>
      <c r="G45" s="1070"/>
      <c r="H45" s="1070"/>
      <c r="I45" s="1075"/>
    </row>
    <row r="46" spans="3:9" x14ac:dyDescent="0.3">
      <c r="C46" s="1067"/>
      <c r="D46" s="1070"/>
      <c r="E46" s="1070"/>
      <c r="F46" s="1070"/>
      <c r="G46" s="1070"/>
      <c r="H46" s="1070"/>
      <c r="I46" s="1075"/>
    </row>
    <row r="47" spans="3:9" x14ac:dyDescent="0.3">
      <c r="C47" s="1067"/>
      <c r="D47" s="1070"/>
      <c r="E47" s="1070"/>
      <c r="F47" s="1070"/>
      <c r="G47" s="1070"/>
      <c r="H47" s="1070"/>
      <c r="I47" s="1075"/>
    </row>
    <row r="48" spans="3:9" x14ac:dyDescent="0.3">
      <c r="C48" s="1067"/>
      <c r="D48" s="1070"/>
      <c r="E48" s="1070"/>
      <c r="F48" s="1070"/>
      <c r="G48" s="1070"/>
      <c r="H48" s="1070"/>
      <c r="I48" s="1075"/>
    </row>
    <row r="49" spans="3:9" x14ac:dyDescent="0.3">
      <c r="C49" s="1067"/>
      <c r="D49" s="1070"/>
      <c r="E49" s="1070"/>
      <c r="F49" s="1070"/>
      <c r="G49" s="1070"/>
      <c r="H49" s="1070"/>
      <c r="I49" s="1075"/>
    </row>
    <row r="50" spans="3:9" x14ac:dyDescent="0.3">
      <c r="C50" s="1067"/>
      <c r="D50" s="1070"/>
      <c r="E50" s="1070"/>
      <c r="F50" s="1070"/>
      <c r="G50" s="1070"/>
      <c r="H50" s="1070"/>
      <c r="I50" s="1075"/>
    </row>
    <row r="51" spans="3:9" x14ac:dyDescent="0.3">
      <c r="C51" s="1067"/>
      <c r="D51" s="1070"/>
      <c r="E51" s="1070"/>
      <c r="F51" s="1070"/>
      <c r="G51" s="1070"/>
      <c r="H51" s="1070"/>
      <c r="I51" s="1075"/>
    </row>
    <row r="52" spans="3:9" x14ac:dyDescent="0.3">
      <c r="C52" s="1068"/>
      <c r="D52" s="1076"/>
      <c r="E52" s="1076"/>
      <c r="F52" s="1076"/>
      <c r="G52" s="1076"/>
      <c r="H52" s="1076"/>
      <c r="I52" s="1077"/>
    </row>
    <row r="53" spans="3:9" x14ac:dyDescent="0.3">
      <c r="C53" s="18"/>
      <c r="D53" s="18"/>
      <c r="E53" s="18"/>
    </row>
    <row r="54" spans="3:9" x14ac:dyDescent="0.3">
      <c r="C54" s="145" t="s">
        <v>1740</v>
      </c>
      <c r="D54" s="18"/>
      <c r="E54" s="18"/>
    </row>
    <row r="55" spans="3:9" x14ac:dyDescent="0.3">
      <c r="C55" s="18"/>
      <c r="D55" s="18"/>
      <c r="E55" s="18"/>
    </row>
    <row r="56" spans="3:9" x14ac:dyDescent="0.3">
      <c r="C56" s="3056" t="s">
        <v>651</v>
      </c>
      <c r="D56" s="2969"/>
      <c r="E56" s="3057"/>
    </row>
    <row r="57" spans="3:9" x14ac:dyDescent="0.3">
      <c r="C57" s="2958" t="s">
        <v>820</v>
      </c>
      <c r="D57" s="2959"/>
      <c r="E57" s="2960"/>
    </row>
    <row r="58" spans="3:9" x14ac:dyDescent="0.3">
      <c r="C58" s="3058" t="s">
        <v>470</v>
      </c>
      <c r="D58" s="2964"/>
      <c r="E58" s="3059"/>
    </row>
    <row r="59" spans="3:9" x14ac:dyDescent="0.3">
      <c r="C59" s="974"/>
      <c r="D59" s="2828" t="str">
        <f>BSCY</f>
        <v>As At 31st March 2025</v>
      </c>
      <c r="E59" s="2829"/>
    </row>
    <row r="60" spans="3:9" x14ac:dyDescent="0.3">
      <c r="C60" s="130" t="s">
        <v>290</v>
      </c>
      <c r="D60" s="607"/>
      <c r="E60" s="607"/>
    </row>
    <row r="61" spans="3:9" x14ac:dyDescent="0.3">
      <c r="C61" s="130" t="s">
        <v>565</v>
      </c>
      <c r="D61" s="1081"/>
      <c r="E61" s="166"/>
    </row>
    <row r="62" spans="3:9" x14ac:dyDescent="0.3">
      <c r="C62" s="130" t="s">
        <v>564</v>
      </c>
      <c r="D62" s="175"/>
      <c r="E62" s="166"/>
    </row>
    <row r="63" spans="3:9" x14ac:dyDescent="0.3">
      <c r="C63" s="130" t="s">
        <v>291</v>
      </c>
      <c r="D63" s="175"/>
      <c r="E63" s="166"/>
    </row>
    <row r="64" spans="3:9" x14ac:dyDescent="0.3">
      <c r="C64" s="130" t="s">
        <v>292</v>
      </c>
      <c r="D64" s="176"/>
      <c r="E64" s="862"/>
    </row>
    <row r="65" spans="3:9" x14ac:dyDescent="0.3">
      <c r="C65" s="130"/>
      <c r="D65" s="130"/>
      <c r="E65" s="861"/>
    </row>
    <row r="66" spans="3:9" x14ac:dyDescent="0.3">
      <c r="C66" s="130" t="s">
        <v>293</v>
      </c>
      <c r="D66" s="130"/>
      <c r="E66" s="861"/>
    </row>
    <row r="67" spans="3:9" x14ac:dyDescent="0.3">
      <c r="C67" s="130" t="s">
        <v>294</v>
      </c>
      <c r="D67" s="861"/>
      <c r="E67" s="861"/>
    </row>
    <row r="68" spans="3:9" x14ac:dyDescent="0.3">
      <c r="C68" s="130" t="s">
        <v>295</v>
      </c>
      <c r="D68" s="861"/>
      <c r="E68" s="861"/>
    </row>
    <row r="69" spans="3:9" x14ac:dyDescent="0.3">
      <c r="C69" s="130"/>
      <c r="D69" s="166"/>
      <c r="E69" s="862"/>
    </row>
    <row r="70" spans="3:9" x14ac:dyDescent="0.3">
      <c r="C70" s="814" t="s">
        <v>296</v>
      </c>
      <c r="D70" s="863"/>
      <c r="E70" s="864"/>
    </row>
    <row r="71" spans="3:9" x14ac:dyDescent="0.3">
      <c r="C71" s="147"/>
      <c r="D71" s="147"/>
      <c r="E71" s="1069"/>
    </row>
    <row r="72" spans="3:9" x14ac:dyDescent="0.3">
      <c r="C72" s="1066"/>
      <c r="D72" s="1073"/>
      <c r="E72" s="1073"/>
      <c r="F72" s="1073"/>
      <c r="G72" s="1073"/>
      <c r="H72" s="1073"/>
      <c r="I72" s="1074"/>
    </row>
    <row r="73" spans="3:9" x14ac:dyDescent="0.3">
      <c r="C73" s="1067"/>
      <c r="D73" s="1070"/>
      <c r="E73" s="1070"/>
      <c r="F73" s="1070"/>
      <c r="G73" s="1070"/>
      <c r="H73" s="1070"/>
      <c r="I73" s="1075"/>
    </row>
    <row r="74" spans="3:9" x14ac:dyDescent="0.3">
      <c r="C74" s="1067"/>
      <c r="D74" s="1070"/>
      <c r="E74" s="1070"/>
      <c r="F74" s="1070"/>
      <c r="G74" s="1070"/>
      <c r="H74" s="1070"/>
      <c r="I74" s="1075"/>
    </row>
    <row r="75" spans="3:9" x14ac:dyDescent="0.3">
      <c r="C75" s="1067"/>
      <c r="D75" s="1070"/>
      <c r="E75" s="1070"/>
      <c r="F75" s="1070"/>
      <c r="G75" s="1070"/>
      <c r="H75" s="1070"/>
      <c r="I75" s="1075"/>
    </row>
    <row r="76" spans="3:9" x14ac:dyDescent="0.3">
      <c r="C76" s="1067"/>
      <c r="D76" s="1070"/>
      <c r="E76" s="1070"/>
      <c r="F76" s="1070"/>
      <c r="G76" s="1070"/>
      <c r="H76" s="1070"/>
      <c r="I76" s="1075"/>
    </row>
    <row r="77" spans="3:9" x14ac:dyDescent="0.3">
      <c r="C77" s="1067"/>
      <c r="D77" s="1070"/>
      <c r="E77" s="1070"/>
      <c r="F77" s="1070"/>
      <c r="G77" s="1070"/>
      <c r="H77" s="1070"/>
      <c r="I77" s="1075"/>
    </row>
    <row r="78" spans="3:9" x14ac:dyDescent="0.3">
      <c r="C78" s="1067"/>
      <c r="D78" s="1070"/>
      <c r="E78" s="1070"/>
      <c r="F78" s="1070"/>
      <c r="G78" s="1070"/>
      <c r="H78" s="1070"/>
      <c r="I78" s="1075"/>
    </row>
    <row r="79" spans="3:9" x14ac:dyDescent="0.3">
      <c r="C79" s="1067"/>
      <c r="D79" s="1070"/>
      <c r="E79" s="1070"/>
      <c r="F79" s="1070"/>
      <c r="G79" s="1070"/>
      <c r="H79" s="1070"/>
      <c r="I79" s="1075"/>
    </row>
    <row r="80" spans="3:9" x14ac:dyDescent="0.3">
      <c r="C80" s="1067"/>
      <c r="D80" s="1070"/>
      <c r="E80" s="1070"/>
      <c r="F80" s="1070"/>
      <c r="G80" s="1070"/>
      <c r="H80" s="1070"/>
      <c r="I80" s="1075"/>
    </row>
    <row r="81" spans="3:9" x14ac:dyDescent="0.3">
      <c r="C81" s="1067"/>
      <c r="D81" s="1070"/>
      <c r="E81" s="1070"/>
      <c r="F81" s="1070"/>
      <c r="G81" s="1070"/>
      <c r="H81" s="1070"/>
      <c r="I81" s="1075"/>
    </row>
    <row r="82" spans="3:9" x14ac:dyDescent="0.3">
      <c r="C82" s="1067"/>
      <c r="D82" s="1070"/>
      <c r="E82" s="1070"/>
      <c r="F82" s="1070"/>
      <c r="G82" s="1070"/>
      <c r="H82" s="1070"/>
      <c r="I82" s="1075"/>
    </row>
    <row r="83" spans="3:9" x14ac:dyDescent="0.3">
      <c r="C83" s="1068"/>
      <c r="D83" s="1076"/>
      <c r="E83" s="1076"/>
      <c r="F83" s="1076"/>
      <c r="G83" s="1076"/>
      <c r="H83" s="1076"/>
      <c r="I83" s="1077"/>
    </row>
    <row r="84" spans="3:9" x14ac:dyDescent="0.3">
      <c r="C84" s="1070"/>
      <c r="D84" s="1070"/>
      <c r="E84" s="1070"/>
      <c r="F84" s="1070"/>
      <c r="G84" s="1070"/>
      <c r="H84" s="1070"/>
      <c r="I84" s="1070"/>
    </row>
    <row r="85" spans="3:9" x14ac:dyDescent="0.3">
      <c r="C85" s="1070"/>
      <c r="D85" s="1070"/>
      <c r="E85" s="1070"/>
      <c r="F85" s="1070"/>
      <c r="G85" s="1070"/>
      <c r="H85" s="1070"/>
      <c r="I85" s="1070"/>
    </row>
    <row r="86" spans="3:9" x14ac:dyDescent="0.3">
      <c r="C86" s="1070"/>
      <c r="D86" s="1070"/>
      <c r="E86" s="1070"/>
      <c r="F86" s="1070"/>
      <c r="G86" s="1070"/>
      <c r="H86" s="1070"/>
      <c r="I86" s="1070"/>
    </row>
    <row r="87" spans="3:9" x14ac:dyDescent="0.3">
      <c r="C87" s="131" t="s">
        <v>1869</v>
      </c>
      <c r="D87" s="18"/>
      <c r="E87" s="18"/>
    </row>
    <row r="89" spans="3:9" x14ac:dyDescent="0.3">
      <c r="C89" s="101" t="s">
        <v>297</v>
      </c>
      <c r="D89" s="18"/>
      <c r="E89" s="18"/>
      <c r="F89" s="18"/>
      <c r="G89" s="18"/>
      <c r="H89" s="18"/>
      <c r="I89" s="18"/>
    </row>
    <row r="90" spans="3:9" x14ac:dyDescent="0.3">
      <c r="C90" s="1032" t="s">
        <v>102</v>
      </c>
      <c r="D90" s="18"/>
      <c r="E90" s="18"/>
      <c r="F90" s="18"/>
      <c r="G90" s="18"/>
      <c r="H90" s="18"/>
      <c r="I90" s="18"/>
    </row>
    <row r="91" spans="3:9" x14ac:dyDescent="0.3">
      <c r="C91" s="2959" t="s">
        <v>3839</v>
      </c>
      <c r="D91" s="2959"/>
      <c r="E91" s="2959"/>
      <c r="F91" s="2959"/>
      <c r="G91" s="2959"/>
      <c r="H91" s="2959"/>
      <c r="I91" s="2959"/>
    </row>
    <row r="92" spans="3:9" x14ac:dyDescent="0.3">
      <c r="C92" s="2901" t="s">
        <v>691</v>
      </c>
      <c r="D92" s="2901"/>
      <c r="E92" s="2901"/>
      <c r="F92" s="2901"/>
      <c r="G92" s="2901"/>
      <c r="H92" s="2901"/>
      <c r="I92" s="2901"/>
    </row>
    <row r="93" spans="3:9" x14ac:dyDescent="0.3">
      <c r="C93" s="121"/>
      <c r="D93" s="121"/>
      <c r="E93" s="121"/>
      <c r="F93" s="121"/>
      <c r="G93" s="121"/>
      <c r="H93" s="121"/>
      <c r="I93" s="121"/>
    </row>
    <row r="94" spans="3:9" x14ac:dyDescent="0.3">
      <c r="C94" s="2288" t="s">
        <v>103</v>
      </c>
      <c r="D94" s="18"/>
      <c r="E94" s="935">
        <v>8445420.2200000007</v>
      </c>
      <c r="F94" s="18"/>
      <c r="G94" s="18"/>
      <c r="H94" s="18"/>
      <c r="I94" s="18"/>
    </row>
    <row r="95" spans="3:9" x14ac:dyDescent="0.3">
      <c r="C95" s="101" t="s">
        <v>3553</v>
      </c>
      <c r="D95" s="18"/>
      <c r="E95" s="18"/>
      <c r="F95" s="18"/>
      <c r="G95" s="18"/>
      <c r="H95" s="18"/>
      <c r="I95" s="18"/>
    </row>
    <row r="96" spans="3:9" x14ac:dyDescent="0.3">
      <c r="C96" s="18" t="s">
        <v>3807</v>
      </c>
      <c r="D96" s="18"/>
      <c r="E96" s="18"/>
      <c r="F96" s="18"/>
      <c r="G96" s="18"/>
      <c r="H96" s="18"/>
      <c r="I96" s="18"/>
    </row>
    <row r="97" spans="3:9" x14ac:dyDescent="0.3">
      <c r="C97" s="18" t="s">
        <v>709</v>
      </c>
      <c r="D97" s="18"/>
      <c r="E97" s="18"/>
      <c r="F97" s="18"/>
      <c r="G97" s="18"/>
      <c r="H97" s="18"/>
      <c r="I97" s="18"/>
    </row>
    <row r="98" spans="3:9" x14ac:dyDescent="0.3">
      <c r="C98" s="18" t="s">
        <v>710</v>
      </c>
      <c r="D98" s="18"/>
      <c r="E98" s="18"/>
      <c r="F98" s="18"/>
      <c r="G98" s="18"/>
      <c r="H98" s="18"/>
      <c r="I98" s="18"/>
    </row>
    <row r="99" spans="3:9" x14ac:dyDescent="0.3">
      <c r="C99" s="2901" t="s">
        <v>499</v>
      </c>
      <c r="D99" s="2901"/>
      <c r="E99" s="2901"/>
      <c r="F99" s="2901"/>
      <c r="G99" s="2901"/>
      <c r="H99" s="2901"/>
      <c r="I99" s="2901"/>
    </row>
    <row r="100" spans="3:9" x14ac:dyDescent="0.3">
      <c r="C100" s="18"/>
      <c r="D100" s="18"/>
      <c r="E100" s="18"/>
      <c r="F100" s="18"/>
      <c r="G100" s="18"/>
      <c r="H100" s="18"/>
      <c r="I100" s="102" t="s">
        <v>1</v>
      </c>
    </row>
    <row r="101" spans="3:9" x14ac:dyDescent="0.3">
      <c r="C101" s="3015" t="s">
        <v>20</v>
      </c>
      <c r="D101" s="3047" t="s">
        <v>3284</v>
      </c>
      <c r="E101" s="3048"/>
      <c r="F101" s="3050"/>
      <c r="G101" s="3047" t="s">
        <v>3283</v>
      </c>
      <c r="H101" s="3048"/>
      <c r="I101" s="3050"/>
    </row>
    <row r="102" spans="3:9" ht="60" x14ac:dyDescent="0.3">
      <c r="C102" s="3016"/>
      <c r="D102" s="868" t="s">
        <v>298</v>
      </c>
      <c r="E102" s="868" t="s">
        <v>566</v>
      </c>
      <c r="F102" s="868" t="s">
        <v>488</v>
      </c>
      <c r="G102" s="868" t="s">
        <v>298</v>
      </c>
      <c r="H102" s="868" t="s">
        <v>566</v>
      </c>
      <c r="I102" s="868" t="s">
        <v>488</v>
      </c>
    </row>
    <row r="103" spans="3:9" x14ac:dyDescent="0.3">
      <c r="C103" s="129" t="s">
        <v>652</v>
      </c>
      <c r="D103" s="104"/>
      <c r="E103" s="104"/>
      <c r="F103" s="104"/>
      <c r="G103" s="104"/>
      <c r="H103" s="104"/>
      <c r="I103" s="104"/>
    </row>
    <row r="104" spans="3:9" x14ac:dyDescent="0.3">
      <c r="C104" s="106" t="s">
        <v>299</v>
      </c>
      <c r="D104" s="159">
        <f>2320203/100</f>
        <v>23202.03</v>
      </c>
      <c r="E104" s="159"/>
      <c r="F104" s="159"/>
      <c r="G104" s="970">
        <f>2170573/100</f>
        <v>21705.73</v>
      </c>
      <c r="H104" s="106"/>
      <c r="I104" s="106"/>
    </row>
    <row r="105" spans="3:9" x14ac:dyDescent="0.3">
      <c r="C105" s="106" t="s">
        <v>300</v>
      </c>
      <c r="D105" s="159">
        <f>490364/100</f>
        <v>4903.6400000000003</v>
      </c>
      <c r="E105" s="159"/>
      <c r="F105" s="159"/>
      <c r="G105" s="970">
        <f>337874/100</f>
        <v>3378.74</v>
      </c>
      <c r="H105" s="106"/>
      <c r="I105" s="106"/>
    </row>
    <row r="106" spans="3:9" x14ac:dyDescent="0.3">
      <c r="C106" s="106" t="s">
        <v>301</v>
      </c>
      <c r="D106" s="159">
        <f>-543589/100</f>
        <v>-5435.89</v>
      </c>
      <c r="E106" s="159"/>
      <c r="F106" s="159"/>
      <c r="G106" s="970">
        <f>-495261/100</f>
        <v>-4952.6099999999997</v>
      </c>
      <c r="H106" s="106"/>
      <c r="I106" s="106"/>
    </row>
    <row r="107" spans="3:9" x14ac:dyDescent="0.3">
      <c r="C107" s="106" t="s">
        <v>567</v>
      </c>
      <c r="D107" s="159">
        <v>0</v>
      </c>
      <c r="E107" s="159"/>
      <c r="F107" s="159"/>
      <c r="G107" s="970">
        <v>0</v>
      </c>
      <c r="H107" s="106"/>
      <c r="I107" s="106"/>
    </row>
    <row r="108" spans="3:9" x14ac:dyDescent="0.3">
      <c r="C108" s="106" t="s">
        <v>568</v>
      </c>
      <c r="D108" s="159">
        <v>0</v>
      </c>
      <c r="E108" s="159"/>
      <c r="F108" s="159"/>
      <c r="G108" s="970">
        <v>0</v>
      </c>
      <c r="H108" s="106"/>
      <c r="I108" s="106"/>
    </row>
    <row r="109" spans="3:9" x14ac:dyDescent="0.3">
      <c r="C109" s="106" t="s">
        <v>302</v>
      </c>
      <c r="D109" s="159">
        <v>0</v>
      </c>
      <c r="E109" s="159"/>
      <c r="F109" s="159"/>
      <c r="G109" s="970">
        <v>0</v>
      </c>
      <c r="H109" s="106"/>
      <c r="I109" s="106"/>
    </row>
    <row r="110" spans="3:9" x14ac:dyDescent="0.3">
      <c r="C110" s="106" t="s">
        <v>303</v>
      </c>
      <c r="D110" s="159">
        <f>-866864/100</f>
        <v>-8668.64</v>
      </c>
      <c r="E110" s="159"/>
      <c r="F110" s="159"/>
      <c r="G110" s="970">
        <f>-199389/100</f>
        <v>-1993.89</v>
      </c>
      <c r="H110" s="106"/>
      <c r="I110" s="106"/>
    </row>
    <row r="111" spans="3:9" x14ac:dyDescent="0.3">
      <c r="C111" s="1036" t="s">
        <v>304</v>
      </c>
      <c r="D111" s="160">
        <f>1400114/100</f>
        <v>14001.14</v>
      </c>
      <c r="E111" s="991"/>
      <c r="F111" s="160"/>
      <c r="G111" s="988">
        <f>1813797/100</f>
        <v>18137.97</v>
      </c>
      <c r="H111" s="108"/>
      <c r="I111" s="108"/>
    </row>
    <row r="112" spans="3:9" x14ac:dyDescent="0.3">
      <c r="C112" s="106"/>
      <c r="D112" s="159"/>
      <c r="E112" s="159"/>
      <c r="F112" s="159"/>
      <c r="G112" s="970"/>
      <c r="H112" s="106"/>
      <c r="I112" s="106"/>
    </row>
    <row r="113" spans="3:9" x14ac:dyDescent="0.3">
      <c r="C113" s="999" t="s">
        <v>653</v>
      </c>
      <c r="D113" s="159"/>
      <c r="E113" s="159"/>
      <c r="F113" s="159"/>
      <c r="G113" s="970"/>
      <c r="H113" s="106"/>
      <c r="I113" s="106"/>
    </row>
    <row r="114" spans="3:9" x14ac:dyDescent="0.3">
      <c r="C114" s="106" t="s">
        <v>305</v>
      </c>
      <c r="D114" s="159"/>
      <c r="E114" s="159"/>
      <c r="F114" s="159"/>
      <c r="G114" s="970"/>
      <c r="H114" s="106"/>
      <c r="I114" s="106"/>
    </row>
    <row r="115" spans="3:9" x14ac:dyDescent="0.3">
      <c r="C115" s="108" t="s">
        <v>306</v>
      </c>
      <c r="D115" s="993"/>
      <c r="E115" s="993"/>
      <c r="F115" s="994"/>
      <c r="G115" s="972"/>
      <c r="H115" s="108"/>
      <c r="I115" s="108"/>
    </row>
    <row r="116" spans="3:9" x14ac:dyDescent="0.3">
      <c r="C116" s="106"/>
      <c r="D116" s="995"/>
      <c r="E116" s="995"/>
      <c r="F116" s="995"/>
      <c r="G116" s="970"/>
      <c r="H116" s="106"/>
      <c r="I116" s="106"/>
    </row>
    <row r="117" spans="3:9" x14ac:dyDescent="0.3">
      <c r="C117" s="999" t="s">
        <v>570</v>
      </c>
      <c r="D117" s="159"/>
      <c r="E117" s="159"/>
      <c r="F117" s="159"/>
      <c r="G117" s="970"/>
      <c r="H117" s="106"/>
      <c r="I117" s="106"/>
    </row>
    <row r="118" spans="3:9" x14ac:dyDescent="0.3">
      <c r="C118" s="106" t="s">
        <v>307</v>
      </c>
      <c r="D118" s="159">
        <f>8848638/100</f>
        <v>88486.38</v>
      </c>
      <c r="E118" s="159"/>
      <c r="F118" s="159"/>
      <c r="G118" s="970">
        <f>6887139/100</f>
        <v>68871.39</v>
      </c>
      <c r="H118" s="106"/>
      <c r="I118" s="106"/>
    </row>
    <row r="119" spans="3:9" x14ac:dyDescent="0.3">
      <c r="C119" s="106" t="s">
        <v>308</v>
      </c>
      <c r="D119" s="159">
        <f>8599729/100</f>
        <v>85997.29</v>
      </c>
      <c r="E119" s="159"/>
      <c r="F119" s="159"/>
      <c r="G119" s="970">
        <f>6957224/100</f>
        <v>69572.240000000005</v>
      </c>
      <c r="H119" s="106"/>
      <c r="I119" s="106"/>
    </row>
    <row r="120" spans="3:9" x14ac:dyDescent="0.3">
      <c r="C120" s="106" t="s">
        <v>569</v>
      </c>
      <c r="D120" s="159">
        <f>-248909/100</f>
        <v>-2489.09</v>
      </c>
      <c r="E120" s="159"/>
      <c r="F120" s="159"/>
      <c r="G120" s="970">
        <f>70085/100</f>
        <v>700.85</v>
      </c>
      <c r="H120" s="106"/>
      <c r="I120" s="106"/>
    </row>
    <row r="121" spans="3:9" x14ac:dyDescent="0.3">
      <c r="C121" s="106" t="s">
        <v>309</v>
      </c>
      <c r="D121" s="159">
        <v>0</v>
      </c>
      <c r="E121" s="159"/>
      <c r="F121" s="159"/>
      <c r="G121" s="970">
        <v>0</v>
      </c>
      <c r="H121" s="106"/>
      <c r="I121" s="106"/>
    </row>
    <row r="122" spans="3:9" x14ac:dyDescent="0.3">
      <c r="C122" s="103" t="s">
        <v>571</v>
      </c>
      <c r="D122" s="1037">
        <f>-248909/100</f>
        <v>-2489.09</v>
      </c>
      <c r="E122" s="1037"/>
      <c r="F122" s="1037"/>
      <c r="G122" s="988">
        <f>70085/100</f>
        <v>700.85</v>
      </c>
      <c r="H122" s="108"/>
      <c r="I122" s="108"/>
    </row>
    <row r="123" spans="3:9" x14ac:dyDescent="0.3">
      <c r="C123" s="101"/>
      <c r="D123" s="996"/>
      <c r="E123" s="996"/>
      <c r="F123" s="996"/>
      <c r="G123" s="18"/>
      <c r="H123" s="18"/>
      <c r="I123" s="18"/>
    </row>
    <row r="124" spans="3:9" x14ac:dyDescent="0.3">
      <c r="C124" s="113"/>
      <c r="D124" s="18"/>
      <c r="E124" s="18"/>
      <c r="F124" s="18"/>
      <c r="G124" s="18"/>
      <c r="H124" s="18"/>
      <c r="I124" s="18"/>
    </row>
    <row r="125" spans="3:9" x14ac:dyDescent="0.3">
      <c r="C125" s="3030" t="s">
        <v>20</v>
      </c>
      <c r="D125" s="3032" t="s">
        <v>3284</v>
      </c>
      <c r="E125" s="3033"/>
      <c r="F125" s="3034"/>
      <c r="G125" s="3035" t="s">
        <v>3283</v>
      </c>
      <c r="H125" s="3036"/>
      <c r="I125" s="3037"/>
    </row>
    <row r="126" spans="3:9" ht="60.75" thickBot="1" x14ac:dyDescent="0.35">
      <c r="C126" s="3031"/>
      <c r="D126" s="997" t="s">
        <v>298</v>
      </c>
      <c r="E126" s="998" t="s">
        <v>566</v>
      </c>
      <c r="F126" s="998" t="s">
        <v>488</v>
      </c>
      <c r="G126" s="997" t="s">
        <v>298</v>
      </c>
      <c r="H126" s="998" t="s">
        <v>566</v>
      </c>
      <c r="I126" s="998" t="s">
        <v>488</v>
      </c>
    </row>
    <row r="127" spans="3:9" x14ac:dyDescent="0.3">
      <c r="C127" s="106"/>
      <c r="D127" s="995"/>
      <c r="E127" s="995"/>
      <c r="F127" s="995"/>
      <c r="G127" s="106"/>
      <c r="H127" s="106"/>
      <c r="I127" s="106"/>
    </row>
    <row r="128" spans="3:9" x14ac:dyDescent="0.3">
      <c r="C128" s="999" t="s">
        <v>454</v>
      </c>
      <c r="D128" s="159"/>
      <c r="E128" s="159"/>
      <c r="F128" s="159"/>
      <c r="G128" s="106"/>
      <c r="H128" s="106"/>
      <c r="I128" s="106"/>
    </row>
    <row r="129" spans="3:9" x14ac:dyDescent="0.3">
      <c r="C129" s="106" t="s">
        <v>471</v>
      </c>
      <c r="D129" s="159">
        <f>6887139/100</f>
        <v>68871.39</v>
      </c>
      <c r="E129" s="159"/>
      <c r="F129" s="159"/>
      <c r="G129" s="970">
        <f>4578238/100</f>
        <v>45782.38</v>
      </c>
      <c r="H129" s="970"/>
      <c r="I129" s="970"/>
    </row>
    <row r="130" spans="3:9" x14ac:dyDescent="0.3">
      <c r="C130" s="106" t="s">
        <v>310</v>
      </c>
      <c r="D130" s="159">
        <f>2320203/100</f>
        <v>23202.03</v>
      </c>
      <c r="E130" s="159"/>
      <c r="F130" s="159"/>
      <c r="G130" s="970">
        <f>2170573/100</f>
        <v>21705.73</v>
      </c>
      <c r="H130" s="970"/>
      <c r="I130" s="970"/>
    </row>
    <row r="131" spans="3:9" x14ac:dyDescent="0.3">
      <c r="C131" s="106" t="s">
        <v>311</v>
      </c>
      <c r="D131" s="159">
        <f>490364/100</f>
        <v>4903.6400000000003</v>
      </c>
      <c r="E131" s="159"/>
      <c r="F131" s="159"/>
      <c r="G131" s="970">
        <f>337874/100</f>
        <v>3378.74</v>
      </c>
      <c r="H131" s="970"/>
      <c r="I131" s="970"/>
    </row>
    <row r="132" spans="3:9" x14ac:dyDescent="0.3">
      <c r="C132" s="106" t="s">
        <v>567</v>
      </c>
      <c r="D132" s="161">
        <v>0</v>
      </c>
      <c r="E132" s="161"/>
      <c r="F132" s="161"/>
      <c r="G132" s="970">
        <f>+'Gratuity-FY 23-24'!F111</f>
        <v>0</v>
      </c>
      <c r="H132" s="970"/>
      <c r="I132" s="970"/>
    </row>
    <row r="133" spans="3:9" x14ac:dyDescent="0.3">
      <c r="C133" s="106" t="s">
        <v>568</v>
      </c>
      <c r="D133" s="161">
        <v>0</v>
      </c>
      <c r="E133" s="161"/>
      <c r="F133" s="161"/>
      <c r="G133" s="970">
        <f>+'Gratuity-FY 23-24'!F112</f>
        <v>0</v>
      </c>
      <c r="H133" s="970"/>
      <c r="I133" s="970"/>
    </row>
    <row r="134" spans="3:9" x14ac:dyDescent="0.3">
      <c r="C134" s="106" t="s">
        <v>312</v>
      </c>
      <c r="D134" s="161">
        <v>0</v>
      </c>
      <c r="E134" s="161"/>
      <c r="F134" s="161"/>
      <c r="G134" s="970">
        <f>+'Gratuity-FY 23-24'!F113</f>
        <v>0</v>
      </c>
      <c r="H134" s="970"/>
      <c r="I134" s="970"/>
    </row>
    <row r="135" spans="3:9" x14ac:dyDescent="0.3">
      <c r="C135" s="106" t="s">
        <v>313</v>
      </c>
      <c r="D135" s="161">
        <v>0</v>
      </c>
      <c r="E135" s="161"/>
      <c r="F135" s="161"/>
      <c r="G135" s="970">
        <f>+'Gratuity-FY 23-24'!F114</f>
        <v>0</v>
      </c>
      <c r="H135" s="970"/>
      <c r="I135" s="970"/>
    </row>
    <row r="136" spans="3:9" x14ac:dyDescent="0.3">
      <c r="C136" s="106" t="s">
        <v>572</v>
      </c>
      <c r="D136" s="159">
        <f>-849068/100</f>
        <v>-8490.68</v>
      </c>
      <c r="E136" s="159"/>
      <c r="F136" s="159"/>
      <c r="G136" s="970">
        <f>-199546/100</f>
        <v>-1995.46</v>
      </c>
      <c r="H136" s="970"/>
      <c r="I136" s="970"/>
    </row>
    <row r="137" spans="3:9" x14ac:dyDescent="0.3">
      <c r="C137" s="106" t="s">
        <v>302</v>
      </c>
      <c r="D137" s="161">
        <v>0</v>
      </c>
      <c r="E137" s="161"/>
      <c r="F137" s="161"/>
      <c r="G137" s="970">
        <f>+'Gratuity-FY 23-24'!F108</f>
        <v>0</v>
      </c>
      <c r="H137" s="970"/>
      <c r="I137" s="970"/>
    </row>
    <row r="138" spans="3:9" x14ac:dyDescent="0.3">
      <c r="C138" s="106" t="s">
        <v>314</v>
      </c>
      <c r="D138" s="159">
        <v>0</v>
      </c>
      <c r="E138" s="159"/>
      <c r="F138" s="159"/>
      <c r="G138" s="970">
        <v>0</v>
      </c>
      <c r="H138" s="970"/>
      <c r="I138" s="970"/>
    </row>
    <row r="139" spans="3:9" x14ac:dyDescent="0.3">
      <c r="C139" s="108" t="s">
        <v>472</v>
      </c>
      <c r="D139" s="162">
        <f>8848638/100</f>
        <v>88486.38</v>
      </c>
      <c r="E139" s="162"/>
      <c r="F139" s="162"/>
      <c r="G139" s="988">
        <f>6887139/100</f>
        <v>68871.39</v>
      </c>
      <c r="H139" s="972"/>
      <c r="I139" s="972"/>
    </row>
    <row r="140" spans="3:9" x14ac:dyDescent="0.3">
      <c r="C140" s="106"/>
      <c r="D140" s="159"/>
      <c r="E140" s="159"/>
      <c r="F140" s="159"/>
      <c r="G140" s="970"/>
      <c r="H140" s="970"/>
      <c r="I140" s="970"/>
    </row>
    <row r="141" spans="3:9" x14ac:dyDescent="0.3">
      <c r="C141" s="999" t="s">
        <v>455</v>
      </c>
      <c r="D141" s="159"/>
      <c r="E141" s="159"/>
      <c r="F141" s="159"/>
      <c r="G141" s="970"/>
      <c r="H141" s="970"/>
      <c r="I141" s="970"/>
    </row>
    <row r="142" spans="3:9" x14ac:dyDescent="0.3">
      <c r="C142" s="106" t="s">
        <v>473</v>
      </c>
      <c r="D142" s="1000">
        <f>6957224/100</f>
        <v>69572.240000000005</v>
      </c>
      <c r="E142" s="1000"/>
      <c r="F142" s="1000"/>
      <c r="G142" s="970">
        <f>6452120/100</f>
        <v>64521.2</v>
      </c>
      <c r="H142" s="970"/>
      <c r="I142" s="970"/>
    </row>
    <row r="143" spans="3:9" x14ac:dyDescent="0.3">
      <c r="C143" s="106" t="s">
        <v>315</v>
      </c>
      <c r="D143" s="163">
        <v>0</v>
      </c>
      <c r="E143" s="163"/>
      <c r="F143" s="1000"/>
      <c r="G143" s="970">
        <v>0</v>
      </c>
      <c r="H143" s="970"/>
      <c r="I143" s="970"/>
    </row>
    <row r="144" spans="3:9" x14ac:dyDescent="0.3">
      <c r="C144" s="106" t="s">
        <v>301</v>
      </c>
      <c r="D144" s="1000">
        <f>543589/100</f>
        <v>5435.89</v>
      </c>
      <c r="E144" s="1000"/>
      <c r="F144" s="1000"/>
      <c r="G144" s="970">
        <f>495261/100</f>
        <v>4952.6099999999997</v>
      </c>
      <c r="H144" s="970"/>
      <c r="I144" s="970"/>
    </row>
    <row r="145" spans="3:9" x14ac:dyDescent="0.3">
      <c r="C145" s="106" t="s">
        <v>316</v>
      </c>
      <c r="D145" s="1000">
        <f>1081120/100</f>
        <v>10811.2</v>
      </c>
      <c r="E145" s="1000"/>
      <c r="F145" s="1000"/>
      <c r="G145" s="970">
        <v>100</v>
      </c>
      <c r="H145" s="970"/>
      <c r="I145" s="970"/>
    </row>
    <row r="146" spans="3:9" x14ac:dyDescent="0.3">
      <c r="C146" s="106" t="s">
        <v>573</v>
      </c>
      <c r="D146" s="159">
        <v>177.96</v>
      </c>
      <c r="E146" s="1000"/>
      <c r="F146" s="1000"/>
      <c r="G146" s="970">
        <v>-1.57</v>
      </c>
      <c r="H146" s="970"/>
      <c r="I146" s="970"/>
    </row>
    <row r="147" spans="3:9" x14ac:dyDescent="0.3">
      <c r="C147" s="106" t="s">
        <v>314</v>
      </c>
      <c r="D147" s="159">
        <v>0</v>
      </c>
      <c r="E147" s="1000"/>
      <c r="F147" s="1000"/>
      <c r="G147" s="970">
        <v>0</v>
      </c>
      <c r="H147" s="970"/>
      <c r="I147" s="970"/>
    </row>
    <row r="148" spans="3:9" x14ac:dyDescent="0.3">
      <c r="C148" s="108" t="s">
        <v>474</v>
      </c>
      <c r="D148" s="164">
        <f>8599729/100</f>
        <v>85997.29</v>
      </c>
      <c r="E148" s="164"/>
      <c r="F148" s="164"/>
      <c r="G148" s="988">
        <f>6957224/100</f>
        <v>69572.240000000005</v>
      </c>
      <c r="H148" s="972"/>
      <c r="I148" s="972"/>
    </row>
    <row r="149" spans="3:9" x14ac:dyDescent="0.3">
      <c r="C149" s="106"/>
      <c r="D149" s="106"/>
      <c r="E149" s="106"/>
      <c r="F149" s="106"/>
      <c r="G149" s="970"/>
      <c r="H149" s="970"/>
      <c r="I149" s="970"/>
    </row>
    <row r="150" spans="3:9" x14ac:dyDescent="0.3">
      <c r="C150" s="108" t="s">
        <v>317</v>
      </c>
      <c r="D150" s="108">
        <f>561385/100</f>
        <v>5613.85</v>
      </c>
      <c r="E150" s="108"/>
      <c r="F150" s="108"/>
      <c r="G150" s="972">
        <f>495104/100</f>
        <v>4951.04</v>
      </c>
      <c r="H150" s="972"/>
      <c r="I150" s="972"/>
    </row>
    <row r="151" spans="3:9" x14ac:dyDescent="0.3">
      <c r="C151" s="106"/>
      <c r="D151" s="106"/>
      <c r="E151" s="106"/>
      <c r="F151" s="106"/>
      <c r="G151" s="970"/>
      <c r="H151" s="970"/>
      <c r="I151" s="970"/>
    </row>
    <row r="152" spans="3:9" x14ac:dyDescent="0.3">
      <c r="C152" s="999" t="s">
        <v>318</v>
      </c>
      <c r="D152" s="106"/>
      <c r="E152" s="106"/>
      <c r="F152" s="106"/>
      <c r="G152" s="970"/>
      <c r="H152" s="970"/>
      <c r="I152" s="970"/>
    </row>
    <row r="153" spans="3:9" x14ac:dyDescent="0.3">
      <c r="C153" s="106"/>
      <c r="D153" s="106"/>
      <c r="E153" s="106"/>
      <c r="F153" s="106"/>
      <c r="G153" s="970"/>
      <c r="H153" s="970"/>
      <c r="I153" s="970"/>
    </row>
    <row r="154" spans="3:9" x14ac:dyDescent="0.3">
      <c r="C154" s="106" t="s">
        <v>319</v>
      </c>
      <c r="D154" s="2312">
        <v>0</v>
      </c>
      <c r="E154" s="154"/>
      <c r="F154" s="1002"/>
      <c r="G154" s="2312">
        <v>0</v>
      </c>
      <c r="H154" s="970"/>
      <c r="I154" s="970"/>
    </row>
    <row r="155" spans="3:9" x14ac:dyDescent="0.3">
      <c r="C155" s="106" t="s">
        <v>320</v>
      </c>
      <c r="D155" s="2312">
        <v>0</v>
      </c>
      <c r="E155" s="154"/>
      <c r="F155" s="1002"/>
      <c r="G155" s="2312">
        <v>0</v>
      </c>
      <c r="H155" s="970"/>
      <c r="I155" s="970"/>
    </row>
    <row r="156" spans="3:9" x14ac:dyDescent="0.3">
      <c r="C156" s="106" t="s">
        <v>321</v>
      </c>
      <c r="D156" s="2312">
        <v>0</v>
      </c>
      <c r="E156" s="154"/>
      <c r="F156" s="1002"/>
      <c r="G156" s="2312">
        <v>0</v>
      </c>
      <c r="H156" s="970"/>
      <c r="I156" s="970"/>
    </row>
    <row r="157" spans="3:9" x14ac:dyDescent="0.3">
      <c r="C157" s="108" t="s">
        <v>3771</v>
      </c>
      <c r="D157" s="2313">
        <v>1</v>
      </c>
      <c r="E157" s="1003"/>
      <c r="F157" s="1004"/>
      <c r="G157" s="2313">
        <v>1</v>
      </c>
      <c r="H157" s="972"/>
      <c r="I157" s="972"/>
    </row>
    <row r="158" spans="3:9" x14ac:dyDescent="0.3">
      <c r="C158" s="106"/>
      <c r="D158" s="106"/>
      <c r="E158" s="106"/>
      <c r="F158" s="106"/>
      <c r="G158" s="970"/>
      <c r="H158" s="970"/>
      <c r="I158" s="970"/>
    </row>
    <row r="159" spans="3:9" x14ac:dyDescent="0.3">
      <c r="C159" s="999" t="s">
        <v>322</v>
      </c>
      <c r="D159" s="1001"/>
      <c r="E159" s="1001"/>
      <c r="F159" s="1001"/>
      <c r="G159" s="970"/>
      <c r="H159" s="970"/>
      <c r="I159" s="970"/>
    </row>
    <row r="160" spans="3:9" x14ac:dyDescent="0.3">
      <c r="C160" s="106" t="s">
        <v>323</v>
      </c>
      <c r="D160" s="165">
        <v>6.9000000000000006E-2</v>
      </c>
      <c r="E160" s="165"/>
      <c r="F160" s="165"/>
      <c r="G160" s="2290">
        <v>7.1199999999999999E-2</v>
      </c>
      <c r="H160" s="970"/>
      <c r="I160" s="970"/>
    </row>
    <row r="161" spans="3:9" x14ac:dyDescent="0.3">
      <c r="C161" s="106" t="s">
        <v>301</v>
      </c>
      <c r="D161" s="165">
        <v>7.2499999999999995E-2</v>
      </c>
      <c r="E161" s="165"/>
      <c r="F161" s="1002"/>
      <c r="G161" s="2290">
        <v>7.6700000000000004E-2</v>
      </c>
      <c r="H161" s="970"/>
      <c r="I161" s="970"/>
    </row>
    <row r="162" spans="3:9" x14ac:dyDescent="0.3">
      <c r="C162" s="166" t="s">
        <v>324</v>
      </c>
      <c r="D162" s="2309">
        <v>0.06</v>
      </c>
      <c r="E162" s="1006"/>
      <c r="F162" s="1006"/>
      <c r="G162" s="2290">
        <v>0.06</v>
      </c>
      <c r="H162" s="970"/>
      <c r="I162" s="970"/>
    </row>
    <row r="163" spans="3:9" x14ac:dyDescent="0.3">
      <c r="C163" s="166" t="s">
        <v>591</v>
      </c>
      <c r="D163" s="2309">
        <v>0.02</v>
      </c>
      <c r="E163" s="1006"/>
      <c r="F163" s="1006"/>
      <c r="G163" s="2290">
        <v>0.02</v>
      </c>
      <c r="H163" s="970"/>
      <c r="I163" s="970"/>
    </row>
    <row r="164" spans="3:9" x14ac:dyDescent="0.3">
      <c r="C164" s="106" t="s">
        <v>325</v>
      </c>
      <c r="D164" s="2311">
        <v>0</v>
      </c>
      <c r="E164" s="1002"/>
      <c r="F164" s="1002"/>
      <c r="G164" s="2311">
        <v>0</v>
      </c>
      <c r="H164" s="970"/>
      <c r="I164" s="970"/>
    </row>
    <row r="165" spans="3:9" x14ac:dyDescent="0.3">
      <c r="C165" s="166" t="s">
        <v>326</v>
      </c>
      <c r="D165" s="2310" t="s">
        <v>3497</v>
      </c>
      <c r="E165" s="1005"/>
      <c r="F165" s="1005"/>
      <c r="G165" s="2310" t="s">
        <v>3497</v>
      </c>
      <c r="H165" s="970"/>
      <c r="I165" s="970"/>
    </row>
    <row r="166" spans="3:9" x14ac:dyDescent="0.3">
      <c r="C166" s="1007" t="s">
        <v>327</v>
      </c>
      <c r="D166" s="2311">
        <v>0</v>
      </c>
      <c r="E166" s="1008"/>
      <c r="F166" s="1008"/>
      <c r="G166" s="2311">
        <v>0</v>
      </c>
      <c r="H166" s="972"/>
      <c r="I166" s="972"/>
    </row>
    <row r="167" spans="3:9" x14ac:dyDescent="0.3">
      <c r="C167" s="1007" t="s">
        <v>328</v>
      </c>
      <c r="D167" s="108"/>
      <c r="E167" s="108"/>
      <c r="F167" s="108"/>
      <c r="G167" s="972"/>
      <c r="H167" s="972"/>
      <c r="I167" s="972"/>
    </row>
    <row r="168" spans="3:9" x14ac:dyDescent="0.3">
      <c r="C168" s="147"/>
      <c r="D168" s="18"/>
      <c r="E168" s="18"/>
      <c r="F168" s="18"/>
      <c r="G168" s="18"/>
      <c r="H168" s="18"/>
      <c r="I168" s="18"/>
    </row>
    <row r="169" spans="3:9" x14ac:dyDescent="0.3">
      <c r="C169" s="113"/>
      <c r="D169" s="17"/>
      <c r="E169" s="18"/>
      <c r="F169" s="18"/>
      <c r="G169" s="18"/>
      <c r="H169" s="18"/>
      <c r="I169" s="18"/>
    </row>
    <row r="170" spans="3:9" x14ac:dyDescent="0.3">
      <c r="C170" s="3035" t="s">
        <v>20</v>
      </c>
      <c r="D170" s="3036"/>
      <c r="E170" s="3036"/>
      <c r="F170" s="3036"/>
      <c r="G170" s="3036"/>
      <c r="H170" s="3036"/>
      <c r="I170" s="3037"/>
    </row>
    <row r="171" spans="3:9" x14ac:dyDescent="0.3">
      <c r="C171" s="3065" t="s">
        <v>689</v>
      </c>
      <c r="D171" s="2893"/>
      <c r="E171" s="2893"/>
      <c r="F171" s="2893"/>
      <c r="G171" s="2893"/>
      <c r="H171" s="2893"/>
      <c r="I171" s="3066"/>
    </row>
    <row r="172" spans="3:9" x14ac:dyDescent="0.3">
      <c r="C172" s="3067" t="s">
        <v>451</v>
      </c>
      <c r="D172" s="3068"/>
      <c r="E172" s="3068"/>
      <c r="F172" s="3068"/>
      <c r="G172" s="3068"/>
      <c r="H172" s="3068"/>
      <c r="I172" s="3069"/>
    </row>
    <row r="173" spans="3:9" x14ac:dyDescent="0.3">
      <c r="C173" s="18"/>
      <c r="D173" s="18"/>
      <c r="E173" s="18"/>
      <c r="F173" s="18"/>
      <c r="G173" s="167" t="s">
        <v>1</v>
      </c>
      <c r="H173" s="18"/>
      <c r="I173" s="18"/>
    </row>
    <row r="174" spans="3:9" x14ac:dyDescent="0.3">
      <c r="C174" s="3070" t="s">
        <v>654</v>
      </c>
      <c r="D174" s="3072" t="s">
        <v>1348</v>
      </c>
      <c r="E174" s="3073"/>
      <c r="F174" s="3072" t="s">
        <v>1349</v>
      </c>
      <c r="G174" s="3073"/>
      <c r="H174" s="18"/>
      <c r="I174" s="18"/>
    </row>
    <row r="175" spans="3:9" x14ac:dyDescent="0.3">
      <c r="C175" s="3071"/>
      <c r="D175" s="957" t="s">
        <v>329</v>
      </c>
      <c r="E175" s="957" t="s">
        <v>330</v>
      </c>
      <c r="F175" s="957" t="s">
        <v>329</v>
      </c>
      <c r="G175" s="957" t="s">
        <v>330</v>
      </c>
      <c r="H175" s="18"/>
      <c r="I175" s="18"/>
    </row>
    <row r="176" spans="3:9" x14ac:dyDescent="0.3">
      <c r="C176" s="168"/>
      <c r="D176" s="138"/>
      <c r="E176" s="138"/>
      <c r="F176" s="138"/>
      <c r="G176" s="138"/>
      <c r="H176" s="18"/>
      <c r="I176" s="18"/>
    </row>
    <row r="177" spans="3:9" x14ac:dyDescent="0.3">
      <c r="C177" s="72" t="s">
        <v>539</v>
      </c>
      <c r="D177" s="72"/>
      <c r="E177" s="72"/>
      <c r="F177" s="72"/>
      <c r="G177" s="72"/>
      <c r="H177" s="18"/>
      <c r="I177" s="18"/>
    </row>
    <row r="178" spans="3:9" x14ac:dyDescent="0.3">
      <c r="C178" s="169" t="s">
        <v>540</v>
      </c>
      <c r="D178" s="74"/>
      <c r="E178" s="74"/>
      <c r="F178" s="74"/>
      <c r="G178" s="74"/>
      <c r="H178" s="18"/>
      <c r="I178" s="18"/>
    </row>
    <row r="179" spans="3:9" x14ac:dyDescent="0.3">
      <c r="C179" s="41"/>
      <c r="D179" s="3"/>
      <c r="E179" s="3"/>
      <c r="F179" s="3"/>
      <c r="G179" s="3"/>
      <c r="H179" s="18"/>
      <c r="I179" s="18"/>
    </row>
    <row r="180" spans="3:9" x14ac:dyDescent="0.3">
      <c r="C180" s="1034" t="s">
        <v>331</v>
      </c>
      <c r="D180" s="1012"/>
      <c r="E180" s="1012"/>
      <c r="F180" s="1012"/>
      <c r="G180" s="1012"/>
      <c r="H180" s="167" t="s">
        <v>1</v>
      </c>
      <c r="I180" s="18"/>
    </row>
    <row r="181" spans="3:9" x14ac:dyDescent="0.3">
      <c r="C181" s="1015"/>
      <c r="D181" s="1014" t="s">
        <v>3498</v>
      </c>
      <c r="E181" s="1014" t="s">
        <v>3499</v>
      </c>
      <c r="F181" s="1014" t="s">
        <v>3808</v>
      </c>
      <c r="G181" s="1014" t="s">
        <v>332</v>
      </c>
      <c r="H181" s="1014" t="s">
        <v>445</v>
      </c>
      <c r="I181" s="18"/>
    </row>
    <row r="182" spans="3:9" x14ac:dyDescent="0.3">
      <c r="C182" s="1015" t="s">
        <v>298</v>
      </c>
      <c r="D182" s="1015"/>
      <c r="E182" s="1015"/>
      <c r="F182" s="1015"/>
      <c r="G182" s="1015"/>
      <c r="H182" s="1015"/>
      <c r="I182" s="18"/>
    </row>
    <row r="183" spans="3:9" x14ac:dyDescent="0.3">
      <c r="C183" s="1038" t="s">
        <v>333</v>
      </c>
      <c r="D183" s="1017">
        <f>8848638/100</f>
        <v>88486.38</v>
      </c>
      <c r="E183" s="1017">
        <f>6887139/100</f>
        <v>68871.39</v>
      </c>
      <c r="F183" s="1017">
        <f>4578238/100</f>
        <v>45782.38</v>
      </c>
      <c r="G183" s="1017"/>
      <c r="H183" s="1017"/>
      <c r="I183" s="18"/>
    </row>
    <row r="184" spans="3:9" x14ac:dyDescent="0.3">
      <c r="C184" s="1039" t="s">
        <v>308</v>
      </c>
      <c r="D184" s="1019">
        <f>8599729/100</f>
        <v>85997.29</v>
      </c>
      <c r="E184" s="1019">
        <f>6957224/100</f>
        <v>69572.240000000005</v>
      </c>
      <c r="F184" s="1019">
        <f>6452120/100</f>
        <v>64521.2</v>
      </c>
      <c r="G184" s="1019"/>
      <c r="H184" s="1019"/>
      <c r="I184" s="18"/>
    </row>
    <row r="185" spans="3:9" x14ac:dyDescent="0.3">
      <c r="C185" s="1039" t="s">
        <v>569</v>
      </c>
      <c r="D185" s="1019">
        <f>-248909/100</f>
        <v>-2489.09</v>
      </c>
      <c r="E185" s="1019">
        <f>70085/100</f>
        <v>700.85</v>
      </c>
      <c r="F185" s="1019">
        <f>1873882/100</f>
        <v>18738.82</v>
      </c>
      <c r="G185" s="1019"/>
      <c r="H185" s="1019"/>
      <c r="I185" s="18"/>
    </row>
    <row r="186" spans="3:9" x14ac:dyDescent="0.3">
      <c r="C186" s="1040" t="s">
        <v>574</v>
      </c>
      <c r="D186" s="1019">
        <f>-1136536/100</f>
        <v>-11365.36</v>
      </c>
      <c r="E186" s="1019">
        <f>-480286/100</f>
        <v>-4802.8599999999997</v>
      </c>
      <c r="F186" s="1019">
        <v>0</v>
      </c>
      <c r="G186" s="1019"/>
      <c r="H186" s="1019"/>
      <c r="I186" s="18"/>
    </row>
    <row r="187" spans="3:9" x14ac:dyDescent="0.3">
      <c r="C187" s="1041" t="s">
        <v>575</v>
      </c>
      <c r="D187" s="1022">
        <f>-49287/100</f>
        <v>-492.87</v>
      </c>
      <c r="E187" s="1022">
        <v>1.57</v>
      </c>
      <c r="F187" s="1022">
        <v>0</v>
      </c>
      <c r="G187" s="1022"/>
      <c r="H187" s="1022"/>
      <c r="I187" s="18"/>
    </row>
    <row r="188" spans="3:9" x14ac:dyDescent="0.3">
      <c r="C188" s="1015" t="s">
        <v>670</v>
      </c>
      <c r="D188" s="1015"/>
      <c r="E188" s="1015"/>
      <c r="F188" s="1015"/>
      <c r="G188" s="1015"/>
      <c r="H188" s="1015"/>
      <c r="I188" s="18"/>
    </row>
    <row r="189" spans="3:9" x14ac:dyDescent="0.3">
      <c r="C189" s="1038" t="s">
        <v>333</v>
      </c>
      <c r="D189" s="1017"/>
      <c r="E189" s="1017"/>
      <c r="F189" s="1017"/>
      <c r="G189" s="1017"/>
      <c r="H189" s="1017"/>
      <c r="I189" s="18"/>
    </row>
    <row r="190" spans="3:9" x14ac:dyDescent="0.3">
      <c r="C190" s="1039" t="s">
        <v>308</v>
      </c>
      <c r="D190" s="1019"/>
      <c r="E190" s="1019"/>
      <c r="F190" s="1019"/>
      <c r="G190" s="1019"/>
      <c r="H190" s="1019"/>
      <c r="I190" s="18"/>
    </row>
    <row r="191" spans="3:9" x14ac:dyDescent="0.3">
      <c r="C191" s="1039" t="s">
        <v>569</v>
      </c>
      <c r="D191" s="1019"/>
      <c r="E191" s="1019"/>
      <c r="F191" s="1019"/>
      <c r="G191" s="1019"/>
      <c r="H191" s="1019"/>
      <c r="I191" s="18"/>
    </row>
    <row r="192" spans="3:9" x14ac:dyDescent="0.3">
      <c r="C192" s="1040" t="s">
        <v>574</v>
      </c>
      <c r="D192" s="1019"/>
      <c r="E192" s="1019"/>
      <c r="F192" s="1019"/>
      <c r="G192" s="1019"/>
      <c r="H192" s="1019"/>
      <c r="I192" s="18"/>
    </row>
    <row r="193" spans="3:9" x14ac:dyDescent="0.3">
      <c r="C193" s="1041" t="s">
        <v>575</v>
      </c>
      <c r="D193" s="1022"/>
      <c r="E193" s="1022"/>
      <c r="F193" s="1022"/>
      <c r="G193" s="1022"/>
      <c r="H193" s="1022"/>
      <c r="I193" s="18"/>
    </row>
    <row r="194" spans="3:9" x14ac:dyDescent="0.3">
      <c r="C194" s="1015" t="s">
        <v>488</v>
      </c>
      <c r="D194" s="1015"/>
      <c r="E194" s="1015"/>
      <c r="F194" s="1015"/>
      <c r="G194" s="1015"/>
      <c r="H194" s="1015"/>
      <c r="I194" s="18"/>
    </row>
    <row r="195" spans="3:9" x14ac:dyDescent="0.3">
      <c r="C195" s="1038" t="s">
        <v>333</v>
      </c>
      <c r="D195" s="1017"/>
      <c r="E195" s="1017"/>
      <c r="F195" s="1017"/>
      <c r="G195" s="1017"/>
      <c r="H195" s="1017"/>
      <c r="I195" s="18"/>
    </row>
    <row r="196" spans="3:9" x14ac:dyDescent="0.3">
      <c r="C196" s="1039" t="s">
        <v>308</v>
      </c>
      <c r="D196" s="1019"/>
      <c r="E196" s="1019"/>
      <c r="F196" s="1019"/>
      <c r="G196" s="1019"/>
      <c r="H196" s="1019"/>
      <c r="I196" s="18"/>
    </row>
    <row r="197" spans="3:9" x14ac:dyDescent="0.3">
      <c r="C197" s="1039" t="s">
        <v>569</v>
      </c>
      <c r="D197" s="1019"/>
      <c r="E197" s="1019"/>
      <c r="F197" s="1019"/>
      <c r="G197" s="1019"/>
      <c r="H197" s="1019"/>
      <c r="I197" s="18"/>
    </row>
    <row r="198" spans="3:9" x14ac:dyDescent="0.3">
      <c r="C198" s="1040" t="s">
        <v>574</v>
      </c>
      <c r="D198" s="1019"/>
      <c r="E198" s="1019"/>
      <c r="F198" s="1019"/>
      <c r="G198" s="1019"/>
      <c r="H198" s="1019"/>
      <c r="I198" s="18"/>
    </row>
    <row r="199" spans="3:9" x14ac:dyDescent="0.3">
      <c r="C199" s="1041" t="s">
        <v>575</v>
      </c>
      <c r="D199" s="1022"/>
      <c r="E199" s="1022"/>
      <c r="F199" s="1022"/>
      <c r="G199" s="1022"/>
      <c r="H199" s="1022"/>
      <c r="I199" s="18"/>
    </row>
    <row r="200" spans="3:9" x14ac:dyDescent="0.3">
      <c r="C200" s="1035"/>
      <c r="D200" s="1023"/>
      <c r="E200" s="1023"/>
      <c r="F200" s="1023"/>
      <c r="G200" s="1023"/>
      <c r="H200" s="18"/>
      <c r="I200" s="18"/>
    </row>
    <row r="201" spans="3:9" ht="30" x14ac:dyDescent="0.3">
      <c r="C201" s="1042"/>
      <c r="D201" s="314" t="s">
        <v>3284</v>
      </c>
      <c r="E201" s="314" t="s">
        <v>1349</v>
      </c>
      <c r="F201" s="1024"/>
      <c r="G201" s="314" t="s">
        <v>3283</v>
      </c>
      <c r="H201" s="18"/>
      <c r="I201" s="18"/>
    </row>
    <row r="202" spans="3:9" x14ac:dyDescent="0.3">
      <c r="C202" s="999" t="s">
        <v>475</v>
      </c>
      <c r="D202" s="1001"/>
      <c r="E202" s="1001"/>
      <c r="F202" s="1025"/>
      <c r="G202" s="1001"/>
      <c r="H202" s="18"/>
      <c r="I202" s="18"/>
    </row>
    <row r="203" spans="3:9" x14ac:dyDescent="0.3">
      <c r="C203" s="106" t="s">
        <v>323</v>
      </c>
      <c r="D203" s="165"/>
      <c r="E203" s="165"/>
      <c r="F203" s="170"/>
      <c r="G203" s="165"/>
      <c r="H203" s="18"/>
      <c r="I203" s="18"/>
    </row>
    <row r="204" spans="3:9" x14ac:dyDescent="0.3">
      <c r="C204" s="106" t="s">
        <v>301</v>
      </c>
      <c r="D204" s="165"/>
      <c r="E204" s="165"/>
      <c r="F204" s="1026"/>
      <c r="G204" s="165"/>
      <c r="H204" s="18"/>
      <c r="I204" s="18"/>
    </row>
    <row r="205" spans="3:9" x14ac:dyDescent="0.3">
      <c r="C205" s="166" t="s">
        <v>324</v>
      </c>
      <c r="D205" s="2309"/>
      <c r="E205" s="1006"/>
      <c r="F205" s="1027"/>
      <c r="G205" s="165"/>
      <c r="H205" s="18"/>
      <c r="I205" s="18"/>
    </row>
    <row r="206" spans="3:9" x14ac:dyDescent="0.3">
      <c r="C206" s="166" t="s">
        <v>3485</v>
      </c>
      <c r="D206" s="2310"/>
      <c r="E206" s="1006"/>
      <c r="F206" s="1027"/>
      <c r="G206" s="2310"/>
      <c r="H206" s="18"/>
      <c r="I206" s="18"/>
    </row>
    <row r="207" spans="3:9" x14ac:dyDescent="0.3">
      <c r="C207" s="1007" t="s">
        <v>592</v>
      </c>
      <c r="D207" s="2289"/>
      <c r="E207" s="1043"/>
      <c r="F207" s="1028"/>
      <c r="G207" s="2289"/>
      <c r="H207" s="18"/>
      <c r="I207" s="18"/>
    </row>
    <row r="208" spans="3:9" x14ac:dyDescent="0.3">
      <c r="C208" s="2898" t="s">
        <v>690</v>
      </c>
      <c r="D208" s="2898"/>
      <c r="E208" s="2898"/>
      <c r="F208" s="2894"/>
      <c r="G208" s="2894"/>
      <c r="H208" s="2894"/>
      <c r="I208" s="2894"/>
    </row>
    <row r="209" spans="3:9" x14ac:dyDescent="0.3">
      <c r="C209" s="2894" t="s">
        <v>451</v>
      </c>
      <c r="D209" s="2894"/>
      <c r="E209" s="2894"/>
      <c r="F209" s="2894"/>
      <c r="G209" s="2894"/>
      <c r="H209" s="2894"/>
      <c r="I209" s="2894"/>
    </row>
    <row r="210" spans="3:9" x14ac:dyDescent="0.3">
      <c r="C210" s="1030"/>
      <c r="D210" s="1030"/>
      <c r="E210" s="1030"/>
      <c r="F210" s="1030"/>
      <c r="G210" s="1030"/>
      <c r="H210" s="1030"/>
      <c r="I210" s="1030"/>
    </row>
    <row r="211" spans="3:9" x14ac:dyDescent="0.3">
      <c r="C211" s="2887" t="s">
        <v>616</v>
      </c>
      <c r="D211" s="2887"/>
      <c r="E211" s="2887"/>
      <c r="F211" s="2887"/>
      <c r="G211" s="2887"/>
      <c r="H211" s="2887"/>
      <c r="I211" s="2887"/>
    </row>
    <row r="214" spans="3:9" x14ac:dyDescent="0.3">
      <c r="C214" s="1055"/>
      <c r="D214" s="1056"/>
      <c r="E214" s="1056"/>
      <c r="F214" s="1056"/>
      <c r="G214" s="1056"/>
      <c r="H214" s="1056"/>
      <c r="I214" s="1057"/>
    </row>
    <row r="215" spans="3:9" x14ac:dyDescent="0.3">
      <c r="C215" s="1058"/>
      <c r="D215" s="185"/>
      <c r="E215" s="185"/>
      <c r="F215" s="185"/>
      <c r="G215" s="185"/>
      <c r="H215" s="185"/>
      <c r="I215" s="367"/>
    </row>
    <row r="216" spans="3:9" x14ac:dyDescent="0.3">
      <c r="C216" s="1058"/>
      <c r="D216" s="185"/>
      <c r="E216" s="185"/>
      <c r="F216" s="185"/>
      <c r="G216" s="185"/>
      <c r="H216" s="185"/>
      <c r="I216" s="367"/>
    </row>
    <row r="217" spans="3:9" x14ac:dyDescent="0.3">
      <c r="C217" s="1058"/>
      <c r="D217" s="185"/>
      <c r="E217" s="185"/>
      <c r="F217" s="185"/>
      <c r="G217" s="185"/>
      <c r="H217" s="185"/>
      <c r="I217" s="367"/>
    </row>
    <row r="218" spans="3:9" x14ac:dyDescent="0.3">
      <c r="C218" s="1058"/>
      <c r="D218" s="185"/>
      <c r="E218" s="185"/>
      <c r="F218" s="185"/>
      <c r="G218" s="185"/>
      <c r="H218" s="185"/>
      <c r="I218" s="367"/>
    </row>
    <row r="219" spans="3:9" x14ac:dyDescent="0.3">
      <c r="C219" s="1058"/>
      <c r="D219" s="185"/>
      <c r="E219" s="185"/>
      <c r="F219" s="185"/>
      <c r="G219" s="185"/>
      <c r="H219" s="185"/>
      <c r="I219" s="367"/>
    </row>
    <row r="220" spans="3:9" x14ac:dyDescent="0.3">
      <c r="C220" s="1058"/>
      <c r="D220" s="185"/>
      <c r="E220" s="185"/>
      <c r="F220" s="185"/>
      <c r="G220" s="185"/>
      <c r="H220" s="185"/>
      <c r="I220" s="367"/>
    </row>
    <row r="221" spans="3:9" x14ac:dyDescent="0.3">
      <c r="C221" s="1058"/>
      <c r="D221" s="185"/>
      <c r="E221" s="185"/>
      <c r="F221" s="185"/>
      <c r="G221" s="185"/>
      <c r="H221" s="185"/>
      <c r="I221" s="367"/>
    </row>
    <row r="222" spans="3:9" x14ac:dyDescent="0.3">
      <c r="C222" s="1058"/>
      <c r="D222" s="185"/>
      <c r="E222" s="185"/>
      <c r="F222" s="185"/>
      <c r="G222" s="185"/>
      <c r="H222" s="185"/>
      <c r="I222" s="367"/>
    </row>
    <row r="223" spans="3:9" x14ac:dyDescent="0.3">
      <c r="C223" s="1058"/>
      <c r="D223" s="185"/>
      <c r="E223" s="185"/>
      <c r="F223" s="185"/>
      <c r="G223" s="185"/>
      <c r="H223" s="185"/>
      <c r="I223" s="367"/>
    </row>
    <row r="224" spans="3:9" x14ac:dyDescent="0.3">
      <c r="C224" s="1058"/>
      <c r="D224" s="185"/>
      <c r="E224" s="185"/>
      <c r="F224" s="185"/>
      <c r="G224" s="185"/>
      <c r="H224" s="185"/>
      <c r="I224" s="367"/>
    </row>
    <row r="225" spans="3:9" x14ac:dyDescent="0.3">
      <c r="C225" s="1059"/>
      <c r="D225" s="1060"/>
      <c r="E225" s="1060"/>
      <c r="F225" s="1060"/>
      <c r="G225" s="1060"/>
      <c r="H225" s="1060"/>
      <c r="I225" s="1061"/>
    </row>
    <row r="226" spans="3:9" x14ac:dyDescent="0.3">
      <c r="C226" s="1070"/>
      <c r="D226" s="1070"/>
      <c r="E226" s="1070"/>
      <c r="F226" s="1070"/>
      <c r="G226" s="1070"/>
      <c r="H226" s="1070"/>
      <c r="I226" s="1070"/>
    </row>
    <row r="227" spans="3:9" x14ac:dyDescent="0.3">
      <c r="C227" s="147"/>
      <c r="D227" s="147"/>
      <c r="E227" s="1069"/>
    </row>
    <row r="228" spans="3:9" x14ac:dyDescent="0.3">
      <c r="C228" s="145" t="s">
        <v>1741</v>
      </c>
      <c r="D228" s="18"/>
      <c r="E228" s="18"/>
    </row>
    <row r="229" spans="3:9" x14ac:dyDescent="0.3">
      <c r="C229" s="18"/>
      <c r="D229" s="18"/>
      <c r="E229" s="18"/>
    </row>
    <row r="230" spans="3:9" x14ac:dyDescent="0.3">
      <c r="C230" s="851" t="s">
        <v>20</v>
      </c>
      <c r="D230" s="314" t="str">
        <f>BSCY</f>
        <v>As At 31st March 2025</v>
      </c>
      <c r="E230" s="823" t="str">
        <f>BSPY</f>
        <v>As At 31st March 2024</v>
      </c>
    </row>
    <row r="231" spans="3:9" x14ac:dyDescent="0.3">
      <c r="C231" s="107" t="s">
        <v>334</v>
      </c>
      <c r="D231" s="106"/>
      <c r="E231" s="139"/>
    </row>
    <row r="232" spans="3:9" ht="33" x14ac:dyDescent="0.3">
      <c r="C232" s="816" t="s">
        <v>576</v>
      </c>
      <c r="D232" s="106"/>
      <c r="E232" s="139"/>
    </row>
    <row r="233" spans="3:9" x14ac:dyDescent="0.3">
      <c r="C233" s="817" t="s">
        <v>554</v>
      </c>
      <c r="D233" s="108"/>
      <c r="E233" s="143"/>
    </row>
    <row r="234" spans="3:9" x14ac:dyDescent="0.3">
      <c r="C234" s="18"/>
      <c r="D234" s="18"/>
      <c r="E234" s="18"/>
    </row>
    <row r="235" spans="3:9" x14ac:dyDescent="0.3">
      <c r="C235" s="958"/>
      <c r="D235" s="1063"/>
      <c r="E235" s="1063"/>
      <c r="F235" s="1063"/>
      <c r="G235" s="1063"/>
      <c r="H235" s="1063"/>
      <c r="I235" s="959"/>
    </row>
    <row r="236" spans="3:9" x14ac:dyDescent="0.3">
      <c r="C236" s="960"/>
      <c r="D236" s="113"/>
      <c r="E236" s="113"/>
      <c r="F236" s="113"/>
      <c r="G236" s="113"/>
      <c r="H236" s="113"/>
      <c r="I236" s="135"/>
    </row>
    <row r="237" spans="3:9" x14ac:dyDescent="0.3">
      <c r="C237" s="960"/>
      <c r="D237" s="113"/>
      <c r="E237" s="113"/>
      <c r="F237" s="113"/>
      <c r="G237" s="113"/>
      <c r="H237" s="113"/>
      <c r="I237" s="135"/>
    </row>
    <row r="238" spans="3:9" x14ac:dyDescent="0.3">
      <c r="C238" s="960"/>
      <c r="D238" s="113"/>
      <c r="E238" s="113"/>
      <c r="F238" s="113"/>
      <c r="G238" s="113"/>
      <c r="H238" s="113"/>
      <c r="I238" s="135"/>
    </row>
    <row r="239" spans="3:9" x14ac:dyDescent="0.3">
      <c r="C239" s="960"/>
      <c r="D239" s="113"/>
      <c r="E239" s="113"/>
      <c r="F239" s="113"/>
      <c r="G239" s="113"/>
      <c r="H239" s="113"/>
      <c r="I239" s="135"/>
    </row>
    <row r="240" spans="3:9" x14ac:dyDescent="0.3">
      <c r="C240" s="960"/>
      <c r="D240" s="113"/>
      <c r="E240" s="113"/>
      <c r="F240" s="113"/>
      <c r="G240" s="113"/>
      <c r="H240" s="113"/>
      <c r="I240" s="135"/>
    </row>
    <row r="241" spans="3:9" x14ac:dyDescent="0.3">
      <c r="C241" s="960"/>
      <c r="D241" s="113"/>
      <c r="E241" s="113"/>
      <c r="F241" s="113"/>
      <c r="G241" s="113"/>
      <c r="H241" s="113"/>
      <c r="I241" s="135"/>
    </row>
    <row r="242" spans="3:9" x14ac:dyDescent="0.3">
      <c r="C242" s="960"/>
      <c r="D242" s="113"/>
      <c r="E242" s="113"/>
      <c r="F242" s="113"/>
      <c r="G242" s="113"/>
      <c r="H242" s="113"/>
      <c r="I242" s="135"/>
    </row>
    <row r="243" spans="3:9" x14ac:dyDescent="0.3">
      <c r="C243" s="960"/>
      <c r="D243" s="113"/>
      <c r="E243" s="113"/>
      <c r="F243" s="113"/>
      <c r="G243" s="113"/>
      <c r="H243" s="113"/>
      <c r="I243" s="135"/>
    </row>
    <row r="244" spans="3:9" x14ac:dyDescent="0.3">
      <c r="C244" s="960"/>
      <c r="D244" s="113"/>
      <c r="E244" s="113"/>
      <c r="F244" s="113"/>
      <c r="G244" s="113"/>
      <c r="H244" s="113"/>
      <c r="I244" s="135"/>
    </row>
    <row r="245" spans="3:9" x14ac:dyDescent="0.3">
      <c r="C245" s="960"/>
      <c r="D245" s="113"/>
      <c r="E245" s="113"/>
      <c r="F245" s="113"/>
      <c r="G245" s="113"/>
      <c r="H245" s="113"/>
      <c r="I245" s="135"/>
    </row>
    <row r="246" spans="3:9" x14ac:dyDescent="0.3">
      <c r="C246" s="1064"/>
      <c r="D246" s="1065"/>
      <c r="E246" s="1065"/>
      <c r="F246" s="1065"/>
      <c r="G246" s="1065"/>
      <c r="H246" s="1065"/>
      <c r="I246" s="144"/>
    </row>
    <row r="247" spans="3:9" x14ac:dyDescent="0.3">
      <c r="C247" s="113"/>
      <c r="D247" s="113"/>
      <c r="E247" s="113"/>
      <c r="F247" s="113"/>
      <c r="G247" s="113"/>
      <c r="H247" s="113"/>
      <c r="I247" s="113"/>
    </row>
    <row r="248" spans="3:9" x14ac:dyDescent="0.3">
      <c r="C248" s="113"/>
      <c r="D248" s="113"/>
      <c r="E248" s="113"/>
      <c r="F248" s="113"/>
      <c r="G248" s="113"/>
      <c r="H248" s="113"/>
      <c r="I248" s="113"/>
    </row>
    <row r="249" spans="3:9" x14ac:dyDescent="0.3">
      <c r="C249" s="4" t="s">
        <v>1871</v>
      </c>
    </row>
    <row r="250" spans="3:9" ht="17.25" thickBot="1" x14ac:dyDescent="0.35"/>
    <row r="251" spans="3:9" x14ac:dyDescent="0.3">
      <c r="C251" s="2918" t="s">
        <v>20</v>
      </c>
      <c r="D251" s="2919"/>
      <c r="E251" s="2919"/>
      <c r="F251" s="2919"/>
      <c r="G251" s="2920"/>
      <c r="H251" s="172"/>
    </row>
    <row r="252" spans="3:9" ht="17.25" thickBot="1" x14ac:dyDescent="0.35">
      <c r="C252" s="3038"/>
      <c r="D252" s="3039"/>
      <c r="E252" s="3039"/>
      <c r="F252" s="3039"/>
      <c r="G252" s="3040"/>
      <c r="H252" s="172"/>
    </row>
    <row r="253" spans="3:9" x14ac:dyDescent="0.3">
      <c r="C253" s="865" t="s">
        <v>335</v>
      </c>
      <c r="D253" s="18"/>
      <c r="E253" s="18"/>
      <c r="F253" s="18"/>
      <c r="G253" s="87"/>
      <c r="H253" s="18"/>
    </row>
    <row r="254" spans="3:9" x14ac:dyDescent="0.3">
      <c r="C254" s="3041" t="s">
        <v>682</v>
      </c>
      <c r="D254" s="3042"/>
      <c r="E254" s="3042"/>
      <c r="F254" s="3042"/>
      <c r="G254" s="3043"/>
      <c r="H254" s="852"/>
    </row>
    <row r="255" spans="3:9" x14ac:dyDescent="0.3">
      <c r="C255" s="3044" t="s">
        <v>137</v>
      </c>
      <c r="D255" s="3047" t="s">
        <v>3286</v>
      </c>
      <c r="E255" s="3048"/>
      <c r="F255" s="3048"/>
      <c r="G255" s="3049"/>
      <c r="H255" s="167"/>
    </row>
    <row r="256" spans="3:9" x14ac:dyDescent="0.3">
      <c r="C256" s="3045"/>
      <c r="D256" s="3047" t="s">
        <v>577</v>
      </c>
      <c r="E256" s="3050"/>
      <c r="F256" s="3030" t="s">
        <v>336</v>
      </c>
      <c r="G256" s="3053" t="s">
        <v>35</v>
      </c>
      <c r="H256" s="167"/>
    </row>
    <row r="257" spans="3:8" x14ac:dyDescent="0.3">
      <c r="C257" s="3045"/>
      <c r="D257" s="3030" t="s">
        <v>2</v>
      </c>
      <c r="E257" s="3030" t="s">
        <v>9</v>
      </c>
      <c r="F257" s="3051"/>
      <c r="G257" s="3054"/>
      <c r="H257" s="167"/>
    </row>
    <row r="258" spans="3:8" x14ac:dyDescent="0.3">
      <c r="C258" s="3046"/>
      <c r="D258" s="3052"/>
      <c r="E258" s="3052"/>
      <c r="F258" s="3052"/>
      <c r="G258" s="3055"/>
      <c r="H258" s="102"/>
    </row>
    <row r="259" spans="3:8" x14ac:dyDescent="0.3">
      <c r="C259" s="872" t="s">
        <v>337</v>
      </c>
      <c r="D259" s="150"/>
      <c r="E259" s="150"/>
      <c r="F259" s="150"/>
      <c r="G259" s="151"/>
      <c r="H259" s="113"/>
    </row>
    <row r="260" spans="3:8" x14ac:dyDescent="0.3">
      <c r="C260" s="88" t="s">
        <v>806</v>
      </c>
      <c r="D260" s="105"/>
      <c r="E260" s="105"/>
      <c r="F260" s="105"/>
      <c r="G260" s="152"/>
      <c r="H260" s="113"/>
    </row>
    <row r="261" spans="3:8" x14ac:dyDescent="0.3">
      <c r="C261" s="88"/>
      <c r="D261" s="105"/>
      <c r="E261" s="105"/>
      <c r="F261" s="105"/>
      <c r="G261" s="152"/>
      <c r="H261" s="113"/>
    </row>
    <row r="262" spans="3:8" x14ac:dyDescent="0.3">
      <c r="C262" s="88" t="s">
        <v>338</v>
      </c>
      <c r="D262" s="105"/>
      <c r="E262" s="105"/>
      <c r="F262" s="105"/>
      <c r="G262" s="152"/>
      <c r="H262" s="113"/>
    </row>
    <row r="263" spans="3:8" x14ac:dyDescent="0.3">
      <c r="C263" s="88"/>
      <c r="D263" s="109"/>
      <c r="E263" s="109"/>
      <c r="F263" s="109"/>
      <c r="G263" s="153"/>
      <c r="H263" s="113"/>
    </row>
    <row r="264" spans="3:8" x14ac:dyDescent="0.3">
      <c r="C264" s="873" t="s">
        <v>35</v>
      </c>
      <c r="D264" s="1082"/>
      <c r="E264" s="1082"/>
      <c r="F264" s="1082"/>
      <c r="G264" s="1083"/>
      <c r="H264" s="113"/>
    </row>
    <row r="265" spans="3:8" x14ac:dyDescent="0.3">
      <c r="C265" s="88"/>
      <c r="D265" s="105"/>
      <c r="E265" s="105"/>
      <c r="F265" s="105"/>
      <c r="G265" s="152"/>
      <c r="H265" s="113"/>
    </row>
    <row r="266" spans="3:8" x14ac:dyDescent="0.3">
      <c r="C266" s="88" t="s">
        <v>339</v>
      </c>
      <c r="D266" s="105"/>
      <c r="E266" s="105"/>
      <c r="F266" s="105"/>
      <c r="G266" s="152"/>
      <c r="H266" s="113"/>
    </row>
    <row r="267" spans="3:8" x14ac:dyDescent="0.3">
      <c r="C267" s="88"/>
      <c r="D267" s="105"/>
      <c r="E267" s="105"/>
      <c r="F267" s="105"/>
      <c r="G267" s="152"/>
      <c r="H267" s="113"/>
    </row>
    <row r="268" spans="3:8" x14ac:dyDescent="0.3">
      <c r="C268" s="88" t="s">
        <v>340</v>
      </c>
      <c r="D268" s="105"/>
      <c r="E268" s="105"/>
      <c r="F268" s="105"/>
      <c r="G268" s="152"/>
      <c r="H268" s="113"/>
    </row>
    <row r="269" spans="3:8" x14ac:dyDescent="0.3">
      <c r="C269" s="88"/>
      <c r="D269" s="105"/>
      <c r="E269" s="105"/>
      <c r="F269" s="105"/>
      <c r="G269" s="152"/>
      <c r="H269" s="113"/>
    </row>
    <row r="270" spans="3:8" x14ac:dyDescent="0.3">
      <c r="C270" s="88" t="s">
        <v>341</v>
      </c>
      <c r="D270" s="105"/>
      <c r="E270" s="105"/>
      <c r="F270" s="105"/>
      <c r="G270" s="152"/>
      <c r="H270" s="113"/>
    </row>
    <row r="271" spans="3:8" x14ac:dyDescent="0.3">
      <c r="C271" s="88"/>
      <c r="D271" s="105"/>
      <c r="E271" s="105"/>
      <c r="F271" s="105"/>
      <c r="G271" s="152"/>
      <c r="H271" s="113"/>
    </row>
    <row r="272" spans="3:8" x14ac:dyDescent="0.3">
      <c r="C272" s="88" t="s">
        <v>532</v>
      </c>
      <c r="D272" s="105"/>
      <c r="E272" s="105"/>
      <c r="F272" s="105"/>
      <c r="G272" s="152"/>
      <c r="H272" s="113"/>
    </row>
    <row r="273" spans="3:8" x14ac:dyDescent="0.3">
      <c r="C273" s="88"/>
      <c r="D273" s="105"/>
      <c r="E273" s="105"/>
      <c r="F273" s="105"/>
      <c r="G273" s="152"/>
      <c r="H273" s="113"/>
    </row>
    <row r="274" spans="3:8" x14ac:dyDescent="0.3">
      <c r="C274" s="88" t="s">
        <v>342</v>
      </c>
      <c r="D274" s="105" t="s">
        <v>3817</v>
      </c>
      <c r="E274" s="105"/>
      <c r="F274" s="105"/>
      <c r="G274" s="152"/>
      <c r="H274" s="113"/>
    </row>
    <row r="275" spans="3:8" x14ac:dyDescent="0.3">
      <c r="C275" s="88"/>
      <c r="D275" s="105"/>
      <c r="E275" s="105"/>
      <c r="F275" s="105"/>
      <c r="G275" s="152"/>
      <c r="H275" s="113"/>
    </row>
    <row r="276" spans="3:8" x14ac:dyDescent="0.3">
      <c r="C276" s="88" t="s">
        <v>343</v>
      </c>
      <c r="D276" s="105"/>
      <c r="E276" s="105"/>
      <c r="F276" s="105"/>
      <c r="G276" s="152"/>
      <c r="H276" s="113"/>
    </row>
    <row r="277" spans="3:8" x14ac:dyDescent="0.3">
      <c r="C277" s="88"/>
      <c r="D277" s="105"/>
      <c r="E277" s="105"/>
      <c r="F277" s="105"/>
      <c r="G277" s="105"/>
      <c r="H277" s="113"/>
    </row>
    <row r="278" spans="3:8" x14ac:dyDescent="0.3">
      <c r="C278" s="88" t="s">
        <v>655</v>
      </c>
      <c r="D278" s="105"/>
      <c r="E278" s="105"/>
      <c r="F278" s="105"/>
      <c r="G278" s="152"/>
      <c r="H278" s="113"/>
    </row>
    <row r="279" spans="3:8" x14ac:dyDescent="0.3">
      <c r="C279" s="88"/>
      <c r="D279" s="105"/>
      <c r="E279" s="105"/>
      <c r="F279" s="105"/>
      <c r="G279" s="105"/>
      <c r="H279" s="113"/>
    </row>
    <row r="280" spans="3:8" x14ac:dyDescent="0.3">
      <c r="C280" s="88" t="s">
        <v>344</v>
      </c>
      <c r="D280" s="105"/>
      <c r="E280" s="105"/>
      <c r="F280" s="105"/>
      <c r="G280" s="87"/>
      <c r="H280" s="18"/>
    </row>
    <row r="281" spans="3:8" x14ac:dyDescent="0.3">
      <c r="C281" s="88"/>
      <c r="D281" s="105"/>
      <c r="E281" s="105"/>
      <c r="F281" s="105"/>
      <c r="G281" s="87"/>
      <c r="H281" s="18"/>
    </row>
    <row r="282" spans="3:8" x14ac:dyDescent="0.3">
      <c r="C282" s="88" t="s">
        <v>345</v>
      </c>
      <c r="D282" s="105"/>
      <c r="E282" s="105"/>
      <c r="F282" s="105"/>
      <c r="G282" s="87"/>
      <c r="H282" s="18"/>
    </row>
    <row r="283" spans="3:8" x14ac:dyDescent="0.3">
      <c r="C283" s="88"/>
      <c r="D283" s="105"/>
      <c r="E283" s="105"/>
      <c r="F283" s="105"/>
      <c r="G283" s="87"/>
      <c r="H283" s="18"/>
    </row>
    <row r="284" spans="3:8" x14ac:dyDescent="0.3">
      <c r="C284" s="88" t="s">
        <v>346</v>
      </c>
      <c r="D284" s="105"/>
      <c r="E284" s="105"/>
      <c r="F284" s="105"/>
      <c r="G284" s="87"/>
      <c r="H284" s="18"/>
    </row>
    <row r="285" spans="3:8" x14ac:dyDescent="0.3">
      <c r="C285" s="88"/>
      <c r="D285" s="105"/>
      <c r="E285" s="105"/>
      <c r="F285" s="105"/>
      <c r="G285" s="87"/>
      <c r="H285" s="18"/>
    </row>
    <row r="286" spans="3:8" x14ac:dyDescent="0.3">
      <c r="C286" s="88" t="s">
        <v>347</v>
      </c>
      <c r="D286" s="105"/>
      <c r="E286" s="105"/>
      <c r="F286" s="105"/>
      <c r="G286" s="87"/>
      <c r="H286" s="18"/>
    </row>
    <row r="287" spans="3:8" x14ac:dyDescent="0.3">
      <c r="C287" s="88"/>
      <c r="D287" s="105"/>
      <c r="E287" s="105"/>
      <c r="F287" s="105"/>
      <c r="G287" s="87"/>
      <c r="H287" s="18"/>
    </row>
    <row r="288" spans="3:8" x14ac:dyDescent="0.3">
      <c r="C288" s="88" t="s">
        <v>348</v>
      </c>
      <c r="D288" s="105"/>
      <c r="E288" s="105"/>
      <c r="F288" s="105"/>
      <c r="G288" s="87"/>
      <c r="H288" s="18"/>
    </row>
    <row r="289" spans="3:8" x14ac:dyDescent="0.3">
      <c r="C289" s="88"/>
      <c r="D289" s="105"/>
      <c r="E289" s="105"/>
      <c r="F289" s="105"/>
      <c r="G289" s="87"/>
      <c r="H289" s="18"/>
    </row>
    <row r="290" spans="3:8" x14ac:dyDescent="0.3">
      <c r="C290" s="88" t="s">
        <v>349</v>
      </c>
      <c r="D290" s="105"/>
      <c r="E290" s="105"/>
      <c r="F290" s="105"/>
      <c r="G290" s="87"/>
      <c r="H290" s="18"/>
    </row>
    <row r="291" spans="3:8" x14ac:dyDescent="0.3">
      <c r="C291" s="88"/>
      <c r="D291" s="105"/>
      <c r="E291" s="105"/>
      <c r="F291" s="105"/>
      <c r="G291" s="87"/>
      <c r="H291" s="18"/>
    </row>
    <row r="292" spans="3:8" x14ac:dyDescent="0.3">
      <c r="C292" s="88"/>
      <c r="D292" s="105"/>
      <c r="E292" s="105"/>
      <c r="F292" s="105"/>
      <c r="G292" s="87"/>
      <c r="H292" s="18"/>
    </row>
    <row r="293" spans="3:8" x14ac:dyDescent="0.3">
      <c r="C293" s="874" t="s">
        <v>350</v>
      </c>
      <c r="D293" s="105"/>
      <c r="E293" s="105"/>
      <c r="F293" s="105"/>
      <c r="G293" s="87"/>
      <c r="H293" s="18"/>
    </row>
    <row r="294" spans="3:8" x14ac:dyDescent="0.3">
      <c r="C294" s="88" t="s">
        <v>351</v>
      </c>
      <c r="D294" s="105"/>
      <c r="E294" s="105"/>
      <c r="F294" s="105"/>
      <c r="G294" s="87"/>
      <c r="H294" s="18"/>
    </row>
    <row r="295" spans="3:8" x14ac:dyDescent="0.3">
      <c r="C295" s="88"/>
      <c r="D295" s="105"/>
      <c r="E295" s="105"/>
      <c r="F295" s="105"/>
      <c r="G295" s="87"/>
      <c r="H295" s="18"/>
    </row>
    <row r="296" spans="3:8" x14ac:dyDescent="0.3">
      <c r="C296" s="88" t="s">
        <v>352</v>
      </c>
      <c r="D296" s="105"/>
      <c r="E296" s="105"/>
      <c r="F296" s="105"/>
      <c r="G296" s="87"/>
      <c r="H296" s="18"/>
    </row>
    <row r="297" spans="3:8" x14ac:dyDescent="0.3">
      <c r="C297" s="88"/>
      <c r="D297" s="105"/>
      <c r="E297" s="105"/>
      <c r="F297" s="105"/>
      <c r="G297" s="87"/>
      <c r="H297" s="18"/>
    </row>
    <row r="298" spans="3:8" x14ac:dyDescent="0.3">
      <c r="C298" s="88" t="s">
        <v>452</v>
      </c>
      <c r="D298" s="105"/>
      <c r="E298" s="105"/>
      <c r="F298" s="105"/>
      <c r="G298" s="87"/>
      <c r="H298" s="18"/>
    </row>
    <row r="299" spans="3:8" x14ac:dyDescent="0.3">
      <c r="C299" s="88"/>
      <c r="D299" s="105"/>
      <c r="E299" s="105"/>
      <c r="F299" s="105"/>
      <c r="G299" s="87"/>
      <c r="H299" s="18"/>
    </row>
    <row r="300" spans="3:8" x14ac:dyDescent="0.3">
      <c r="C300" s="88" t="s">
        <v>353</v>
      </c>
      <c r="D300" s="105"/>
      <c r="E300" s="105"/>
      <c r="F300" s="105"/>
      <c r="G300" s="87"/>
      <c r="H300" s="18"/>
    </row>
    <row r="301" spans="3:8" x14ac:dyDescent="0.3">
      <c r="C301" s="88"/>
      <c r="D301" s="105"/>
      <c r="E301" s="105"/>
      <c r="F301" s="105"/>
      <c r="G301" s="87"/>
      <c r="H301" s="18"/>
    </row>
    <row r="302" spans="3:8" x14ac:dyDescent="0.3">
      <c r="C302" s="870" t="s">
        <v>1810</v>
      </c>
      <c r="D302" s="105"/>
      <c r="E302" s="105"/>
      <c r="F302" s="105"/>
      <c r="G302" s="87"/>
      <c r="H302" s="18"/>
    </row>
    <row r="303" spans="3:8" x14ac:dyDescent="0.3">
      <c r="C303" s="88"/>
      <c r="D303" s="105"/>
      <c r="E303" s="105"/>
      <c r="F303" s="105"/>
      <c r="G303" s="87"/>
      <c r="H303" s="18"/>
    </row>
    <row r="304" spans="3:8" x14ac:dyDescent="0.3">
      <c r="C304" s="88" t="s">
        <v>354</v>
      </c>
      <c r="D304" s="105"/>
      <c r="E304" s="105"/>
      <c r="F304" s="105"/>
      <c r="G304" s="87"/>
      <c r="H304" s="18"/>
    </row>
    <row r="305" spans="3:8" x14ac:dyDescent="0.3">
      <c r="C305" s="88"/>
      <c r="D305" s="105"/>
      <c r="E305" s="105"/>
      <c r="F305" s="105"/>
      <c r="G305" s="87"/>
      <c r="H305" s="18"/>
    </row>
    <row r="306" spans="3:8" ht="17.25" thickBot="1" x14ac:dyDescent="0.35">
      <c r="C306" s="88"/>
      <c r="D306" s="105"/>
      <c r="E306" s="105"/>
      <c r="F306" s="105"/>
      <c r="G306" s="87"/>
      <c r="H306" s="18"/>
    </row>
    <row r="307" spans="3:8" x14ac:dyDescent="0.3">
      <c r="C307" s="2918" t="s">
        <v>20</v>
      </c>
      <c r="D307" s="2919"/>
      <c r="E307" s="2919"/>
      <c r="F307" s="2919"/>
      <c r="G307" s="2920"/>
      <c r="H307" s="18"/>
    </row>
    <row r="308" spans="3:8" x14ac:dyDescent="0.3">
      <c r="C308" s="2967"/>
      <c r="D308" s="2922"/>
      <c r="E308" s="2922"/>
      <c r="F308" s="2922"/>
      <c r="G308" s="2923"/>
      <c r="H308" s="18"/>
    </row>
    <row r="309" spans="3:8" x14ac:dyDescent="0.3">
      <c r="C309" s="1086" t="s">
        <v>656</v>
      </c>
      <c r="D309" s="1086"/>
      <c r="E309" s="1086"/>
      <c r="F309" s="1085"/>
      <c r="G309" s="1084"/>
      <c r="H309" s="18"/>
    </row>
    <row r="310" spans="3:8" ht="17.25" thickBot="1" x14ac:dyDescent="0.35">
      <c r="C310" s="88"/>
      <c r="D310" s="105"/>
      <c r="E310" s="105"/>
      <c r="F310" s="105"/>
      <c r="G310" s="87"/>
      <c r="H310" s="18"/>
    </row>
    <row r="311" spans="3:8" x14ac:dyDescent="0.3">
      <c r="C311" s="2970" t="s">
        <v>657</v>
      </c>
      <c r="D311" s="2972" t="str">
        <f>"Revenues
for the year ended 
31 March,"&amp;" "&amp;'Master Data'!C432</f>
        <v xml:space="preserve">Revenues
for the year ended 
31 March, </v>
      </c>
      <c r="E311" s="2972" t="str">
        <f>"Segment assets
as at 
31 March,"&amp;" "&amp;'Master Data'!C432</f>
        <v xml:space="preserve">Segment assets
as at 
31 March, </v>
      </c>
      <c r="F311" s="2974" t="str">
        <f>"Capital expenditure incurred during the year ended"&amp;" "&amp;'Master Data'!C432</f>
        <v xml:space="preserve">Capital expenditure incurred during the year ended </v>
      </c>
      <c r="G311" s="87"/>
      <c r="H311" s="18"/>
    </row>
    <row r="312" spans="3:8" ht="17.25" thickBot="1" x14ac:dyDescent="0.35">
      <c r="C312" s="2971"/>
      <c r="D312" s="2973"/>
      <c r="E312" s="2973"/>
      <c r="F312" s="2975"/>
      <c r="G312" s="87"/>
      <c r="H312" s="18"/>
    </row>
    <row r="313" spans="3:8" x14ac:dyDescent="0.3">
      <c r="C313" s="88"/>
      <c r="D313" s="106"/>
      <c r="E313" s="106"/>
      <c r="F313" s="106"/>
      <c r="G313" s="87"/>
      <c r="H313" s="18"/>
    </row>
    <row r="314" spans="3:8" x14ac:dyDescent="0.3">
      <c r="C314" s="88"/>
      <c r="D314" s="105"/>
      <c r="E314" s="105"/>
      <c r="F314" s="105"/>
      <c r="G314" s="87"/>
      <c r="H314" s="18"/>
    </row>
    <row r="315" spans="3:8" x14ac:dyDescent="0.3">
      <c r="C315" s="88"/>
      <c r="D315" s="105"/>
      <c r="E315" s="105"/>
      <c r="F315" s="105"/>
      <c r="G315" s="87"/>
      <c r="H315" s="18"/>
    </row>
    <row r="316" spans="3:8" x14ac:dyDescent="0.3">
      <c r="C316" s="88"/>
      <c r="D316" s="105"/>
      <c r="E316" s="105"/>
      <c r="F316" s="105"/>
      <c r="G316" s="87"/>
      <c r="H316" s="18"/>
    </row>
    <row r="317" spans="3:8" x14ac:dyDescent="0.3">
      <c r="C317" s="88"/>
      <c r="D317" s="105"/>
      <c r="E317" s="105"/>
      <c r="F317" s="105"/>
      <c r="G317" s="87"/>
      <c r="H317" s="18"/>
    </row>
    <row r="318" spans="3:8" x14ac:dyDescent="0.3">
      <c r="C318" s="88"/>
      <c r="D318" s="105"/>
      <c r="E318" s="105"/>
      <c r="F318" s="105"/>
      <c r="G318" s="87"/>
      <c r="H318" s="18"/>
    </row>
    <row r="319" spans="3:8" x14ac:dyDescent="0.3">
      <c r="C319" s="88"/>
      <c r="D319" s="105"/>
      <c r="E319" s="105"/>
      <c r="F319" s="105"/>
      <c r="G319" s="87"/>
      <c r="H319" s="18"/>
    </row>
    <row r="320" spans="3:8" x14ac:dyDescent="0.3">
      <c r="C320" s="88"/>
      <c r="D320" s="105"/>
      <c r="E320" s="105"/>
      <c r="F320" s="105"/>
      <c r="G320" s="87"/>
      <c r="H320" s="18"/>
    </row>
    <row r="321" spans="3:8" x14ac:dyDescent="0.3">
      <c r="C321" s="88"/>
      <c r="D321" s="105"/>
      <c r="E321" s="105"/>
      <c r="F321" s="105"/>
      <c r="G321" s="87"/>
      <c r="H321" s="18"/>
    </row>
    <row r="322" spans="3:8" x14ac:dyDescent="0.3">
      <c r="C322" s="88"/>
      <c r="D322" s="105"/>
      <c r="E322" s="105"/>
      <c r="F322" s="105"/>
      <c r="G322" s="87"/>
      <c r="H322" s="18"/>
    </row>
    <row r="323" spans="3:8" x14ac:dyDescent="0.3">
      <c r="C323" s="88"/>
      <c r="D323" s="105"/>
      <c r="E323" s="105"/>
      <c r="F323" s="105"/>
      <c r="G323" s="87"/>
      <c r="H323" s="18"/>
    </row>
    <row r="324" spans="3:8" x14ac:dyDescent="0.3">
      <c r="C324" s="88"/>
      <c r="D324" s="105"/>
      <c r="E324" s="105"/>
      <c r="F324" s="105"/>
      <c r="G324" s="87"/>
      <c r="H324" s="18"/>
    </row>
    <row r="325" spans="3:8" x14ac:dyDescent="0.3">
      <c r="C325" s="88"/>
      <c r="D325" s="105"/>
      <c r="E325" s="105"/>
      <c r="F325" s="105"/>
      <c r="G325" s="87"/>
      <c r="H325" s="18"/>
    </row>
    <row r="326" spans="3:8" x14ac:dyDescent="0.3">
      <c r="C326" s="88"/>
      <c r="D326" s="105"/>
      <c r="E326" s="105"/>
      <c r="F326" s="105"/>
      <c r="G326" s="87"/>
      <c r="H326" s="18"/>
    </row>
    <row r="327" spans="3:8" x14ac:dyDescent="0.3">
      <c r="C327" s="88"/>
      <c r="D327" s="105"/>
      <c r="E327" s="105"/>
      <c r="F327" s="105"/>
      <c r="G327" s="87"/>
      <c r="H327" s="18"/>
    </row>
    <row r="328" spans="3:8" x14ac:dyDescent="0.3">
      <c r="C328" s="88"/>
      <c r="D328" s="105"/>
      <c r="E328" s="105"/>
      <c r="F328" s="105"/>
      <c r="G328" s="87"/>
      <c r="H328" s="18"/>
    </row>
    <row r="329" spans="3:8" x14ac:dyDescent="0.3">
      <c r="C329" s="88"/>
      <c r="D329" s="105"/>
      <c r="E329" s="105"/>
      <c r="F329" s="105"/>
      <c r="G329" s="87"/>
      <c r="H329" s="18"/>
    </row>
    <row r="330" spans="3:8" x14ac:dyDescent="0.3">
      <c r="C330" s="88"/>
      <c r="D330" s="105"/>
      <c r="E330" s="105"/>
      <c r="F330" s="105"/>
      <c r="G330" s="87"/>
      <c r="H330" s="18"/>
    </row>
    <row r="331" spans="3:8" x14ac:dyDescent="0.3">
      <c r="C331" s="88"/>
      <c r="D331" s="105"/>
      <c r="E331" s="105"/>
      <c r="F331" s="105"/>
      <c r="G331" s="87"/>
      <c r="H331" s="18"/>
    </row>
    <row r="332" spans="3:8" x14ac:dyDescent="0.3">
      <c r="C332" s="88"/>
      <c r="D332" s="105"/>
      <c r="E332" s="105"/>
      <c r="F332" s="105"/>
      <c r="G332" s="87"/>
      <c r="H332" s="18"/>
    </row>
    <row r="333" spans="3:8" x14ac:dyDescent="0.3">
      <c r="C333" s="88"/>
      <c r="D333" s="105"/>
      <c r="E333" s="105"/>
      <c r="F333" s="105"/>
      <c r="G333" s="87"/>
      <c r="H333" s="18"/>
    </row>
    <row r="334" spans="3:8" x14ac:dyDescent="0.3">
      <c r="C334" s="88"/>
      <c r="D334" s="105"/>
      <c r="E334" s="105"/>
      <c r="F334" s="105"/>
      <c r="G334" s="87"/>
      <c r="H334" s="18"/>
    </row>
    <row r="335" spans="3:8" x14ac:dyDescent="0.3">
      <c r="C335" s="88"/>
      <c r="D335" s="105"/>
      <c r="E335" s="105"/>
      <c r="F335" s="105"/>
      <c r="G335" s="87"/>
      <c r="H335" s="18"/>
    </row>
    <row r="336" spans="3:8" x14ac:dyDescent="0.3">
      <c r="C336" s="88"/>
      <c r="D336" s="105"/>
      <c r="E336" s="105"/>
      <c r="F336" s="105"/>
      <c r="G336" s="87"/>
      <c r="H336" s="18"/>
    </row>
    <row r="337" spans="3:13" x14ac:dyDescent="0.3">
      <c r="C337" s="99"/>
      <c r="D337" s="108"/>
      <c r="E337" s="108"/>
      <c r="F337" s="108"/>
      <c r="G337" s="87"/>
      <c r="H337" s="18"/>
    </row>
    <row r="338" spans="3:13" x14ac:dyDescent="0.3">
      <c r="C338" s="876" t="s">
        <v>659</v>
      </c>
      <c r="D338" s="86"/>
      <c r="E338" s="86"/>
      <c r="F338" s="18"/>
      <c r="G338" s="87"/>
      <c r="H338" s="18"/>
    </row>
    <row r="339" spans="3:13" x14ac:dyDescent="0.3">
      <c r="C339" s="2963" t="s">
        <v>963</v>
      </c>
      <c r="D339" s="2964"/>
      <c r="E339" s="2964"/>
      <c r="F339" s="2964"/>
      <c r="G339" s="2965"/>
      <c r="H339" s="852"/>
    </row>
    <row r="340" spans="3:13" ht="17.25" thickBot="1" x14ac:dyDescent="0.35">
      <c r="C340" s="2966" t="s">
        <v>612</v>
      </c>
      <c r="D340" s="3074"/>
      <c r="E340" s="3074"/>
      <c r="F340" s="3074"/>
      <c r="G340" s="3075"/>
      <c r="H340" s="852"/>
    </row>
    <row r="343" spans="3:13" x14ac:dyDescent="0.3">
      <c r="C343" s="4" t="s">
        <v>1921</v>
      </c>
    </row>
    <row r="344" spans="3:13" ht="17.25" thickBot="1" x14ac:dyDescent="0.35">
      <c r="C344" s="113"/>
      <c r="D344" s="113"/>
      <c r="E344" s="113"/>
      <c r="F344" s="113"/>
      <c r="G344" s="113"/>
      <c r="H344" s="113"/>
      <c r="I344" s="113"/>
    </row>
    <row r="345" spans="3:13" x14ac:dyDescent="0.3">
      <c r="C345" s="2918" t="s">
        <v>20</v>
      </c>
      <c r="D345" s="2919"/>
      <c r="E345" s="2919"/>
      <c r="F345" s="2919"/>
      <c r="G345" s="2919"/>
      <c r="H345" s="2919"/>
      <c r="I345" s="2919"/>
      <c r="J345" s="2919"/>
      <c r="K345" s="2919"/>
      <c r="L345" s="2919"/>
      <c r="M345" s="2920"/>
    </row>
    <row r="346" spans="3:13" x14ac:dyDescent="0.3">
      <c r="C346" s="2967"/>
      <c r="D346" s="2922"/>
      <c r="E346" s="2922"/>
      <c r="F346" s="2922"/>
      <c r="G346" s="2922"/>
      <c r="H346" s="2922"/>
      <c r="I346" s="2922"/>
      <c r="J346" s="2922"/>
      <c r="K346" s="2922"/>
      <c r="L346" s="2922"/>
      <c r="M346" s="2923"/>
    </row>
    <row r="347" spans="3:13" x14ac:dyDescent="0.3">
      <c r="C347" s="262" t="s">
        <v>355</v>
      </c>
      <c r="D347" s="41"/>
      <c r="E347" s="18"/>
      <c r="F347" s="18"/>
      <c r="G347" s="18"/>
      <c r="H347" s="18"/>
      <c r="I347" s="18"/>
      <c r="J347" s="18"/>
      <c r="K347" s="18"/>
      <c r="L347" s="18"/>
      <c r="M347" s="87"/>
    </row>
    <row r="348" spans="3:13" x14ac:dyDescent="0.3">
      <c r="C348" s="262" t="s">
        <v>552</v>
      </c>
      <c r="D348" s="41"/>
      <c r="E348" s="18"/>
      <c r="F348" s="18"/>
      <c r="G348" s="18"/>
      <c r="H348" s="18"/>
      <c r="I348" s="18"/>
      <c r="J348" s="18"/>
      <c r="K348" s="18"/>
      <c r="L348" s="18"/>
      <c r="M348" s="87"/>
    </row>
    <row r="349" spans="3:13" x14ac:dyDescent="0.3">
      <c r="C349" s="929" t="s">
        <v>356</v>
      </c>
      <c r="D349" s="3060" t="s">
        <v>357</v>
      </c>
      <c r="E349" s="3061"/>
      <c r="F349" s="3061"/>
      <c r="G349" s="3062"/>
      <c r="H349" s="1155"/>
      <c r="I349" s="1155"/>
      <c r="J349" s="18"/>
      <c r="K349" s="18"/>
      <c r="L349" s="18"/>
      <c r="M349" s="87"/>
    </row>
    <row r="350" spans="3:13" x14ac:dyDescent="0.3">
      <c r="C350" s="930" t="s">
        <v>631</v>
      </c>
      <c r="D350" s="127" t="s">
        <v>3301</v>
      </c>
      <c r="E350" s="18"/>
      <c r="F350" s="18"/>
      <c r="G350" s="139"/>
      <c r="H350" s="18"/>
      <c r="I350" s="18"/>
      <c r="J350" s="18"/>
      <c r="K350" s="18"/>
      <c r="L350" s="18"/>
      <c r="M350" s="87"/>
    </row>
    <row r="351" spans="3:13" x14ac:dyDescent="0.3">
      <c r="C351" s="869" t="s">
        <v>632</v>
      </c>
      <c r="D351" s="127" t="s">
        <v>3302</v>
      </c>
      <c r="E351" s="18"/>
      <c r="F351" s="18"/>
      <c r="G351" s="139"/>
      <c r="H351" s="18"/>
      <c r="I351" s="18"/>
      <c r="J351" s="18"/>
      <c r="K351" s="18"/>
      <c r="L351" s="18"/>
      <c r="M351" s="87"/>
    </row>
    <row r="352" spans="3:13" x14ac:dyDescent="0.3">
      <c r="C352" s="869" t="s">
        <v>633</v>
      </c>
      <c r="D352" s="127"/>
      <c r="E352" s="31"/>
      <c r="F352" s="18"/>
      <c r="G352" s="139"/>
      <c r="H352" s="18"/>
      <c r="I352" s="18"/>
      <c r="J352" s="18"/>
      <c r="K352" s="18"/>
      <c r="L352" s="18"/>
      <c r="M352" s="87"/>
    </row>
    <row r="353" spans="3:13" x14ac:dyDescent="0.3">
      <c r="C353" s="869" t="s">
        <v>3842</v>
      </c>
      <c r="D353" s="127" t="s">
        <v>3303</v>
      </c>
      <c r="E353" s="31"/>
      <c r="F353" s="31"/>
      <c r="G353" s="140"/>
      <c r="H353" s="31"/>
      <c r="I353" s="31"/>
      <c r="J353" s="18"/>
      <c r="K353" s="18"/>
      <c r="L353" s="18"/>
      <c r="M353" s="87"/>
    </row>
    <row r="354" spans="3:13" x14ac:dyDescent="0.3">
      <c r="C354" s="869"/>
      <c r="D354" s="127" t="s">
        <v>3304</v>
      </c>
      <c r="E354" s="31"/>
      <c r="F354" s="31"/>
      <c r="G354" s="140"/>
      <c r="H354" s="31"/>
      <c r="I354" s="31"/>
      <c r="J354" s="18"/>
      <c r="K354" s="18"/>
      <c r="L354" s="18"/>
      <c r="M354" s="87"/>
    </row>
    <row r="355" spans="3:13" x14ac:dyDescent="0.3">
      <c r="C355" s="869"/>
      <c r="D355" s="127" t="s">
        <v>3305</v>
      </c>
      <c r="E355" s="31"/>
      <c r="F355" s="31"/>
      <c r="G355" s="140"/>
      <c r="H355" s="31"/>
      <c r="I355" s="31"/>
      <c r="J355" s="18"/>
      <c r="K355" s="18"/>
      <c r="L355" s="18"/>
      <c r="M355" s="87"/>
    </row>
    <row r="356" spans="3:13" x14ac:dyDescent="0.3">
      <c r="C356" s="869"/>
      <c r="D356" s="127" t="s">
        <v>3306</v>
      </c>
      <c r="E356" s="31"/>
      <c r="F356" s="31"/>
      <c r="G356" s="140"/>
      <c r="H356" s="31"/>
      <c r="I356" s="31"/>
      <c r="J356" s="18"/>
      <c r="K356" s="18"/>
      <c r="L356" s="18"/>
      <c r="M356" s="87"/>
    </row>
    <row r="357" spans="3:13" x14ac:dyDescent="0.3">
      <c r="C357" s="869"/>
      <c r="D357" s="127" t="s">
        <v>2534</v>
      </c>
      <c r="E357" s="31"/>
      <c r="F357" s="31"/>
      <c r="G357" s="140"/>
      <c r="H357" s="31"/>
      <c r="I357" s="31"/>
      <c r="J357" s="18"/>
      <c r="K357" s="18"/>
      <c r="L357" s="18"/>
      <c r="M357" s="87"/>
    </row>
    <row r="358" spans="3:13" x14ac:dyDescent="0.3">
      <c r="C358" s="869"/>
      <c r="D358" s="127" t="s">
        <v>2217</v>
      </c>
      <c r="E358" s="31"/>
      <c r="F358" s="31"/>
      <c r="G358" s="140"/>
      <c r="H358" s="31"/>
      <c r="I358" s="31"/>
      <c r="J358" s="18"/>
      <c r="K358" s="18"/>
      <c r="L358" s="18"/>
      <c r="M358" s="87"/>
    </row>
    <row r="359" spans="3:13" x14ac:dyDescent="0.3">
      <c r="C359" s="869" t="s">
        <v>843</v>
      </c>
      <c r="D359" s="127"/>
      <c r="E359" s="31"/>
      <c r="F359" s="31"/>
      <c r="G359" s="140"/>
      <c r="H359" s="31"/>
      <c r="I359" s="31"/>
      <c r="J359" s="18"/>
      <c r="K359" s="18"/>
      <c r="L359" s="18"/>
      <c r="M359" s="87"/>
    </row>
    <row r="360" spans="3:13" x14ac:dyDescent="0.3">
      <c r="C360" s="869" t="s">
        <v>844</v>
      </c>
      <c r="D360" s="127"/>
      <c r="E360" s="31"/>
      <c r="F360" s="31"/>
      <c r="G360" s="140"/>
      <c r="H360" s="31"/>
      <c r="I360" s="31"/>
      <c r="J360" s="18"/>
      <c r="K360" s="18"/>
      <c r="L360" s="18"/>
      <c r="M360" s="87"/>
    </row>
    <row r="361" spans="3:13" ht="33" x14ac:dyDescent="0.3">
      <c r="C361" s="869" t="s">
        <v>845</v>
      </c>
      <c r="D361" s="127"/>
      <c r="E361" s="31"/>
      <c r="F361" s="31"/>
      <c r="G361" s="140"/>
      <c r="H361" s="31"/>
      <c r="I361" s="31"/>
      <c r="J361" s="18"/>
      <c r="K361" s="18"/>
      <c r="L361" s="18"/>
      <c r="M361" s="87"/>
    </row>
    <row r="362" spans="3:13" x14ac:dyDescent="0.3">
      <c r="C362" s="869" t="s">
        <v>634</v>
      </c>
      <c r="D362" s="127"/>
      <c r="E362" s="31"/>
      <c r="F362" s="18"/>
      <c r="G362" s="139"/>
      <c r="H362" s="18"/>
      <c r="I362" s="18"/>
      <c r="J362" s="18"/>
      <c r="K362" s="18"/>
      <c r="L362" s="18"/>
      <c r="M362" s="87"/>
    </row>
    <row r="363" spans="3:13" x14ac:dyDescent="0.3">
      <c r="C363" s="869" t="s">
        <v>3843</v>
      </c>
      <c r="D363" s="127" t="s">
        <v>3307</v>
      </c>
      <c r="E363" s="31"/>
      <c r="F363" s="18"/>
      <c r="G363" s="139"/>
      <c r="H363" s="18"/>
      <c r="I363" s="18"/>
      <c r="J363" s="18"/>
      <c r="K363" s="18"/>
      <c r="L363" s="18"/>
      <c r="M363" s="87"/>
    </row>
    <row r="364" spans="3:13" x14ac:dyDescent="0.3">
      <c r="C364" s="931"/>
      <c r="D364" s="1918" t="s">
        <v>3308</v>
      </c>
      <c r="E364" s="954"/>
      <c r="F364" s="84"/>
      <c r="G364" s="143"/>
      <c r="H364" s="18"/>
      <c r="I364" s="18"/>
      <c r="J364" s="18"/>
      <c r="K364" s="18"/>
      <c r="L364" s="18"/>
      <c r="M364" s="87"/>
    </row>
    <row r="365" spans="3:13" x14ac:dyDescent="0.3">
      <c r="C365" s="869" t="s">
        <v>635</v>
      </c>
      <c r="D365" s="141"/>
      <c r="E365" s="18"/>
      <c r="F365" s="18"/>
      <c r="G365" s="139"/>
      <c r="H365" s="18"/>
      <c r="I365" s="18"/>
      <c r="J365" s="18"/>
      <c r="K365" s="18"/>
      <c r="L365" s="18"/>
      <c r="M365" s="87"/>
    </row>
    <row r="366" spans="3:13" x14ac:dyDescent="0.3">
      <c r="C366" s="931" t="s">
        <v>658</v>
      </c>
      <c r="D366" s="142"/>
      <c r="E366" s="84"/>
      <c r="F366" s="84"/>
      <c r="G366" s="143"/>
      <c r="H366" s="18"/>
      <c r="I366" s="18"/>
      <c r="J366" s="18"/>
      <c r="K366" s="18"/>
      <c r="L366" s="18"/>
      <c r="M366" s="87"/>
    </row>
    <row r="367" spans="3:13" x14ac:dyDescent="0.3">
      <c r="C367" s="232"/>
      <c r="D367" s="1156"/>
      <c r="E367" s="1156"/>
      <c r="F367" s="1156"/>
      <c r="G367" s="1156"/>
      <c r="H367" s="31"/>
      <c r="I367" s="31"/>
      <c r="J367" s="18"/>
      <c r="K367" s="18"/>
      <c r="L367" s="18"/>
      <c r="M367" s="158"/>
    </row>
    <row r="368" spans="3:13" x14ac:dyDescent="0.3">
      <c r="C368" s="262" t="s">
        <v>551</v>
      </c>
      <c r="D368" s="42"/>
      <c r="E368" s="42"/>
      <c r="F368" s="42"/>
      <c r="G368" s="42"/>
      <c r="H368" s="145"/>
      <c r="I368" s="145"/>
      <c r="J368" s="18"/>
      <c r="K368" s="18"/>
      <c r="L368" s="18"/>
      <c r="M368" s="1084"/>
    </row>
    <row r="369" spans="3:13" x14ac:dyDescent="0.3">
      <c r="C369" s="865"/>
      <c r="D369" s="18"/>
      <c r="E369" s="18"/>
      <c r="F369" s="18"/>
      <c r="G369" s="18"/>
      <c r="H369" s="18"/>
      <c r="I369" s="18"/>
      <c r="J369" s="101"/>
      <c r="K369" s="18"/>
      <c r="L369" s="18"/>
      <c r="M369" s="87"/>
    </row>
    <row r="370" spans="3:13" x14ac:dyDescent="0.3">
      <c r="C370" s="3063" t="s">
        <v>20</v>
      </c>
      <c r="D370" s="3076" t="s">
        <v>810</v>
      </c>
      <c r="E370" s="3076"/>
      <c r="F370" s="3076" t="s">
        <v>1845</v>
      </c>
      <c r="G370" s="3076"/>
      <c r="H370" s="18"/>
      <c r="I370" s="18"/>
      <c r="J370" s="2926"/>
      <c r="K370" s="2927"/>
      <c r="L370" s="2927"/>
      <c r="M370" s="1157"/>
    </row>
    <row r="371" spans="3:13" ht="33" x14ac:dyDescent="0.3">
      <c r="C371" s="3064"/>
      <c r="D371" s="853" t="str">
        <f>+PLCY</f>
        <v>For the Year ended 31st March 2025</v>
      </c>
      <c r="E371" s="853" t="str">
        <f>+PLPY</f>
        <v>For the Year ended 31st March 2024</v>
      </c>
      <c r="F371" s="853" t="str">
        <f>+BSCY &amp; " Receivable / (Payable)"</f>
        <v>As At 31st March 2025 Receivable / (Payable)</v>
      </c>
      <c r="G371" s="853" t="str">
        <f>+BSPY &amp; " Receivable / (Payable)"</f>
        <v>As At 31st March 2024 Receivable / (Payable)</v>
      </c>
      <c r="H371" s="147"/>
      <c r="I371" s="147"/>
      <c r="J371" s="2926"/>
      <c r="K371" s="879"/>
      <c r="L371" s="879"/>
      <c r="M371" s="1157"/>
    </row>
    <row r="372" spans="3:13" x14ac:dyDescent="0.3">
      <c r="C372" s="1158" t="s">
        <v>809</v>
      </c>
      <c r="D372" s="125"/>
      <c r="E372" s="125"/>
      <c r="F372" s="125"/>
      <c r="G372" s="125"/>
      <c r="H372" s="147"/>
      <c r="I372" s="147"/>
      <c r="J372" s="18"/>
      <c r="K372" s="18"/>
      <c r="L372" s="18"/>
      <c r="M372" s="87"/>
    </row>
    <row r="373" spans="3:13" x14ac:dyDescent="0.3">
      <c r="C373" s="1159" t="s">
        <v>359</v>
      </c>
      <c r="D373" s="125"/>
      <c r="E373" s="125"/>
      <c r="F373" s="125"/>
      <c r="G373" s="125"/>
      <c r="H373" s="18"/>
      <c r="I373" s="18"/>
      <c r="J373" s="101"/>
      <c r="K373" s="18"/>
      <c r="L373" s="18"/>
      <c r="M373" s="87"/>
    </row>
    <row r="374" spans="3:13" x14ac:dyDescent="0.3">
      <c r="C374" s="1159" t="s">
        <v>358</v>
      </c>
      <c r="D374" s="125"/>
      <c r="E374" s="125"/>
      <c r="F374" s="125"/>
      <c r="G374" s="125"/>
      <c r="H374" s="18"/>
      <c r="I374" s="18"/>
      <c r="J374" s="18"/>
      <c r="K374" s="18"/>
      <c r="L374" s="18"/>
      <c r="M374" s="87"/>
    </row>
    <row r="375" spans="3:13" x14ac:dyDescent="0.3">
      <c r="C375" s="1159" t="s">
        <v>813</v>
      </c>
      <c r="D375" s="125"/>
      <c r="E375" s="125"/>
      <c r="F375" s="125"/>
      <c r="G375" s="125"/>
      <c r="H375" s="18"/>
      <c r="I375" s="18"/>
      <c r="J375" s="18"/>
      <c r="K375" s="18"/>
      <c r="L375" s="18"/>
      <c r="M375" s="87"/>
    </row>
    <row r="376" spans="3:13" x14ac:dyDescent="0.3">
      <c r="C376" s="1159" t="s">
        <v>814</v>
      </c>
      <c r="D376" s="125"/>
      <c r="E376" s="125"/>
      <c r="F376" s="125"/>
      <c r="G376" s="125"/>
      <c r="H376" s="18"/>
      <c r="I376" s="18"/>
      <c r="J376" s="18"/>
      <c r="K376" s="18"/>
      <c r="L376" s="18"/>
      <c r="M376" s="87"/>
    </row>
    <row r="377" spans="3:13" x14ac:dyDescent="0.3">
      <c r="C377" s="1158" t="s">
        <v>362</v>
      </c>
      <c r="D377" s="125"/>
      <c r="E377" s="125"/>
      <c r="F377" s="125"/>
      <c r="G377" s="125"/>
      <c r="H377" s="18"/>
      <c r="I377" s="18"/>
      <c r="J377" s="18"/>
      <c r="K377" s="18"/>
      <c r="L377" s="18"/>
      <c r="M377" s="87"/>
    </row>
    <row r="378" spans="3:13" x14ac:dyDescent="0.3">
      <c r="C378" s="1159" t="s">
        <v>807</v>
      </c>
      <c r="D378" s="125"/>
      <c r="E378" s="125"/>
      <c r="F378" s="125"/>
      <c r="G378" s="125"/>
      <c r="H378" s="18"/>
      <c r="I378" s="18"/>
      <c r="J378" s="18"/>
      <c r="K378" s="18"/>
      <c r="L378" s="18"/>
      <c r="M378" s="87"/>
    </row>
    <row r="379" spans="3:13" x14ac:dyDescent="0.3">
      <c r="C379" s="1159" t="s">
        <v>603</v>
      </c>
      <c r="D379" s="125"/>
      <c r="E379" s="125"/>
      <c r="F379" s="125"/>
      <c r="G379" s="125"/>
      <c r="H379" s="18"/>
      <c r="I379" s="18"/>
      <c r="J379" s="18"/>
      <c r="K379" s="18"/>
      <c r="L379" s="18"/>
      <c r="M379" s="87"/>
    </row>
    <row r="380" spans="3:13" x14ac:dyDescent="0.3">
      <c r="C380" s="1159" t="s">
        <v>361</v>
      </c>
      <c r="D380" s="125"/>
      <c r="E380" s="125"/>
      <c r="F380" s="125"/>
      <c r="G380" s="125"/>
      <c r="H380" s="18"/>
      <c r="I380" s="18"/>
      <c r="J380" s="101"/>
      <c r="K380" s="18"/>
      <c r="L380" s="18"/>
      <c r="M380" s="87"/>
    </row>
    <row r="381" spans="3:13" x14ac:dyDescent="0.3">
      <c r="C381" s="1159" t="s">
        <v>3306</v>
      </c>
      <c r="D381" s="847">
        <f>+'RPT Disclosure-Transactions'!E47/100</f>
        <v>1048.5601000000001</v>
      </c>
      <c r="E381" s="847">
        <f>+'RPT Disclosure-Transactions'!F47/100</f>
        <v>3160</v>
      </c>
      <c r="F381" s="125"/>
      <c r="G381" s="986">
        <f>+'RPT Disclosure-Balances'!E18</f>
        <v>134.84350000000001</v>
      </c>
      <c r="H381" s="18"/>
      <c r="I381" s="18"/>
      <c r="J381" s="101"/>
      <c r="K381" s="18"/>
      <c r="L381" s="18"/>
      <c r="M381" s="87"/>
    </row>
    <row r="382" spans="3:13" x14ac:dyDescent="0.3">
      <c r="C382" s="1159" t="s">
        <v>2534</v>
      </c>
      <c r="D382" s="847">
        <f>+'RPT Disclosure-Transactions'!E48/100</f>
        <v>359261.53149999998</v>
      </c>
      <c r="E382" s="847">
        <f>+'RPT Disclosure-Transactions'!F48/100</f>
        <v>327000</v>
      </c>
      <c r="F382" s="125"/>
      <c r="G382" s="986"/>
      <c r="H382" s="18"/>
      <c r="I382" s="18"/>
      <c r="J382" s="101"/>
      <c r="K382" s="18"/>
      <c r="L382" s="18"/>
      <c r="M382" s="87"/>
    </row>
    <row r="383" spans="3:13" x14ac:dyDescent="0.3">
      <c r="C383" s="1159" t="s">
        <v>3305</v>
      </c>
      <c r="D383" s="847">
        <f>+'RPT Disclosure-Transactions'!E49/100</f>
        <v>99424.886999999988</v>
      </c>
      <c r="E383" s="847">
        <f>+'RPT Disclosure-Transactions'!F49/100</f>
        <v>146759</v>
      </c>
      <c r="F383" s="2498">
        <f>+'RPT Disclosure-Balances'!E7</f>
        <v>400044.04979999998</v>
      </c>
      <c r="G383" s="986">
        <f>+'RPT Disclosure-Balances'!E19</f>
        <v>265440.26890000002</v>
      </c>
      <c r="H383" s="18"/>
      <c r="I383" s="18"/>
      <c r="J383" s="101"/>
      <c r="K383" s="18"/>
      <c r="L383" s="18"/>
      <c r="M383" s="87"/>
    </row>
    <row r="384" spans="3:13" x14ac:dyDescent="0.3">
      <c r="C384" s="1159" t="s">
        <v>3303</v>
      </c>
      <c r="D384" s="847">
        <f>+'RPT Disclosure-Transactions'!E50/100</f>
        <v>0</v>
      </c>
      <c r="E384" s="847">
        <f>+'RPT Disclosure-Transactions'!F50/100</f>
        <v>0</v>
      </c>
      <c r="F384" s="125"/>
      <c r="G384" s="125"/>
      <c r="H384" s="18"/>
      <c r="I384" s="18"/>
      <c r="J384" s="101"/>
      <c r="K384" s="18"/>
      <c r="L384" s="18"/>
      <c r="M384" s="87"/>
    </row>
    <row r="385" spans="3:13" x14ac:dyDescent="0.3">
      <c r="C385" s="1159" t="s">
        <v>3304</v>
      </c>
      <c r="D385" s="847">
        <f>+'RPT Disclosure-Transactions'!E51/100</f>
        <v>3142.8989000000001</v>
      </c>
      <c r="E385" s="847">
        <f>+'RPT Disclosure-Transactions'!F51/100</f>
        <v>0</v>
      </c>
      <c r="F385" s="125"/>
      <c r="G385" s="125"/>
      <c r="H385" s="18"/>
      <c r="I385" s="18"/>
      <c r="J385" s="101"/>
      <c r="K385" s="18"/>
      <c r="L385" s="18"/>
      <c r="M385" s="87"/>
    </row>
    <row r="386" spans="3:13" x14ac:dyDescent="0.3">
      <c r="C386" s="1159" t="s">
        <v>2217</v>
      </c>
      <c r="D386" s="847">
        <f>+'RPT Disclosure-Transactions'!E52/100</f>
        <v>2024.99</v>
      </c>
      <c r="E386" s="847"/>
      <c r="F386" s="125"/>
      <c r="G386" s="125"/>
      <c r="H386" s="18"/>
      <c r="I386" s="18"/>
      <c r="J386" s="101"/>
      <c r="K386" s="18"/>
      <c r="L386" s="18"/>
      <c r="M386" s="87"/>
    </row>
    <row r="387" spans="3:13" x14ac:dyDescent="0.3">
      <c r="C387" s="1159"/>
      <c r="D387" s="1969"/>
      <c r="E387" s="1969"/>
      <c r="F387" s="125"/>
      <c r="G387" s="125"/>
      <c r="H387" s="18"/>
      <c r="I387" s="18"/>
      <c r="J387" s="18"/>
      <c r="K387" s="18"/>
      <c r="L387" s="18"/>
      <c r="M387" s="87"/>
    </row>
    <row r="388" spans="3:13" x14ac:dyDescent="0.3">
      <c r="C388" s="1158" t="s">
        <v>808</v>
      </c>
      <c r="D388" s="1969"/>
      <c r="E388" s="1969"/>
      <c r="F388" s="125"/>
      <c r="G388" s="125"/>
      <c r="H388" s="18"/>
      <c r="I388" s="18"/>
      <c r="J388" s="18"/>
      <c r="K388" s="18"/>
      <c r="L388" s="18"/>
      <c r="M388" s="87"/>
    </row>
    <row r="389" spans="3:13" x14ac:dyDescent="0.3">
      <c r="C389" s="1159" t="s">
        <v>359</v>
      </c>
      <c r="D389" s="1969"/>
      <c r="E389" s="1969"/>
      <c r="F389" s="125"/>
      <c r="G389" s="125"/>
      <c r="H389" s="18"/>
      <c r="I389" s="18"/>
      <c r="J389" s="18"/>
      <c r="K389" s="18"/>
      <c r="L389" s="18"/>
      <c r="M389" s="87"/>
    </row>
    <row r="390" spans="3:13" x14ac:dyDescent="0.3">
      <c r="C390" s="1159" t="s">
        <v>358</v>
      </c>
      <c r="D390" s="1969"/>
      <c r="E390" s="1969"/>
      <c r="F390" s="125"/>
      <c r="G390" s="125"/>
      <c r="H390" s="18"/>
      <c r="I390" s="18"/>
      <c r="J390" s="18"/>
      <c r="K390" s="18"/>
      <c r="L390" s="18"/>
      <c r="M390" s="87"/>
    </row>
    <row r="391" spans="3:13" x14ac:dyDescent="0.3">
      <c r="C391" s="1159" t="s">
        <v>360</v>
      </c>
      <c r="D391" s="1969"/>
      <c r="E391" s="1969"/>
      <c r="F391" s="125"/>
      <c r="G391" s="125"/>
      <c r="H391" s="18"/>
      <c r="I391" s="18"/>
      <c r="J391" s="101"/>
      <c r="K391" s="18"/>
      <c r="L391" s="18"/>
      <c r="M391" s="87"/>
    </row>
    <row r="392" spans="3:13" x14ac:dyDescent="0.3">
      <c r="C392" s="1158" t="s">
        <v>362</v>
      </c>
      <c r="D392" s="1969"/>
      <c r="E392" s="1969"/>
      <c r="F392" s="125"/>
      <c r="G392" s="125"/>
      <c r="H392" s="18"/>
      <c r="I392" s="18"/>
      <c r="J392" s="18"/>
      <c r="K392" s="18"/>
      <c r="L392" s="18"/>
      <c r="M392" s="87"/>
    </row>
    <row r="393" spans="3:13" x14ac:dyDescent="0.3">
      <c r="C393" s="1159" t="s">
        <v>807</v>
      </c>
      <c r="D393" s="1969"/>
      <c r="E393" s="1969"/>
      <c r="F393" s="125"/>
      <c r="G393" s="125"/>
      <c r="H393" s="18"/>
      <c r="I393" s="18"/>
      <c r="J393" s="18"/>
      <c r="K393" s="18"/>
      <c r="L393" s="18"/>
      <c r="M393" s="87"/>
    </row>
    <row r="394" spans="3:13" x14ac:dyDescent="0.3">
      <c r="C394" s="1159" t="s">
        <v>603</v>
      </c>
      <c r="D394" s="1969"/>
      <c r="E394" s="1969"/>
      <c r="F394" s="125"/>
      <c r="G394" s="125"/>
      <c r="H394" s="18"/>
      <c r="I394" s="18"/>
      <c r="J394" s="18"/>
      <c r="K394" s="18"/>
      <c r="L394" s="18"/>
      <c r="M394" s="87"/>
    </row>
    <row r="395" spans="3:13" x14ac:dyDescent="0.3">
      <c r="C395" s="1159" t="s">
        <v>361</v>
      </c>
      <c r="D395" s="1969"/>
      <c r="E395" s="1969"/>
      <c r="F395" s="125"/>
      <c r="G395" s="125"/>
      <c r="H395" s="18"/>
      <c r="I395" s="18"/>
      <c r="J395" s="18"/>
      <c r="K395" s="18"/>
      <c r="L395" s="18"/>
      <c r="M395" s="87"/>
    </row>
    <row r="396" spans="3:13" x14ac:dyDescent="0.3">
      <c r="C396" s="1159" t="s">
        <v>3306</v>
      </c>
      <c r="D396" s="847">
        <f>+'RPT Disclosure-Transactions'!E36/100</f>
        <v>0</v>
      </c>
      <c r="E396" s="847">
        <f>+'RPT Disclosure-Transactions'!F36/100</f>
        <v>0</v>
      </c>
      <c r="F396" s="125"/>
      <c r="G396" s="125"/>
      <c r="H396" s="18"/>
      <c r="I396" s="18"/>
      <c r="J396" s="18"/>
      <c r="K396" s="18"/>
      <c r="L396" s="18"/>
      <c r="M396" s="87"/>
    </row>
    <row r="397" spans="3:13" x14ac:dyDescent="0.3">
      <c r="C397" s="1159" t="s">
        <v>2534</v>
      </c>
      <c r="D397" s="847">
        <f>+'RPT Disclosure-Transactions'!E37/100</f>
        <v>0</v>
      </c>
      <c r="E397" s="847">
        <f>+'RPT Disclosure-Transactions'!F37/100</f>
        <v>0</v>
      </c>
      <c r="F397" s="125"/>
      <c r="G397" s="125"/>
      <c r="H397" s="18"/>
      <c r="I397" s="18"/>
      <c r="J397" s="18"/>
      <c r="K397" s="18"/>
      <c r="L397" s="18"/>
      <c r="M397" s="87"/>
    </row>
    <row r="398" spans="3:13" x14ac:dyDescent="0.3">
      <c r="C398" s="1159" t="s">
        <v>3305</v>
      </c>
      <c r="D398" s="847">
        <f>+'RPT Disclosure-Transactions'!E34/100</f>
        <v>0</v>
      </c>
      <c r="E398" s="847">
        <f>0/100</f>
        <v>0</v>
      </c>
      <c r="F398" s="986">
        <f>+'RPT Disclosure-Balances'!E8*-1</f>
        <v>59682.712300000007</v>
      </c>
      <c r="G398" s="125"/>
      <c r="H398" s="18"/>
      <c r="I398" s="18"/>
      <c r="J398" s="18"/>
      <c r="K398" s="18"/>
      <c r="L398" s="18"/>
      <c r="M398" s="87"/>
    </row>
    <row r="399" spans="3:13" x14ac:dyDescent="0.3">
      <c r="C399" s="1159" t="s">
        <v>3329</v>
      </c>
      <c r="D399" s="847">
        <f>+'RPT Disclosure-Transactions'!E32/100</f>
        <v>0</v>
      </c>
      <c r="E399" s="847">
        <f>0/100</f>
        <v>0</v>
      </c>
      <c r="F399" s="125"/>
      <c r="G399" s="125"/>
      <c r="H399" s="18"/>
      <c r="I399" s="18"/>
      <c r="J399" s="18"/>
      <c r="K399" s="18"/>
      <c r="L399" s="18"/>
      <c r="M399" s="87"/>
    </row>
    <row r="400" spans="3:13" x14ac:dyDescent="0.3">
      <c r="C400" s="1159" t="s">
        <v>3554</v>
      </c>
      <c r="D400" s="847">
        <f>+'RPT Disclosure-Transactions'!E33/100</f>
        <v>837.24009999999998</v>
      </c>
      <c r="E400" s="847">
        <f>+'RPT Disclosure-Transactions'!F33/100</f>
        <v>0</v>
      </c>
      <c r="F400" s="125"/>
      <c r="G400" s="125"/>
      <c r="H400" s="18"/>
      <c r="I400" s="18"/>
      <c r="J400" s="18"/>
      <c r="K400" s="18"/>
      <c r="L400" s="18"/>
      <c r="M400" s="87"/>
    </row>
    <row r="401" spans="3:13" x14ac:dyDescent="0.3">
      <c r="C401" s="1159" t="s">
        <v>2217</v>
      </c>
      <c r="D401" s="847">
        <f>+'RPT Disclosure-Transactions'!E35/100</f>
        <v>0</v>
      </c>
      <c r="E401" s="847">
        <f>+'RPT Disclosure-Transactions'!F35/100</f>
        <v>72824</v>
      </c>
      <c r="F401" s="125"/>
      <c r="G401" s="986">
        <f>+'RPT Disclosure-Balances'!E15*-1</f>
        <v>6905.2138999999997</v>
      </c>
      <c r="H401" s="18"/>
      <c r="I401" s="18"/>
      <c r="J401" s="18"/>
      <c r="K401" s="18"/>
      <c r="L401" s="18"/>
      <c r="M401" s="87"/>
    </row>
    <row r="402" spans="3:13" x14ac:dyDescent="0.3">
      <c r="C402" s="1159" t="s">
        <v>3304</v>
      </c>
      <c r="D402" s="847">
        <f>+'RPT Disclosure-Transactions'!E31/100</f>
        <v>370250.09080000001</v>
      </c>
      <c r="E402" s="847">
        <f>+'RPT Disclosure-Transactions'!F31/100</f>
        <v>459232</v>
      </c>
      <c r="F402" s="125"/>
      <c r="G402" s="125"/>
      <c r="H402" s="18"/>
      <c r="I402" s="18"/>
      <c r="J402" s="18"/>
      <c r="K402" s="18"/>
      <c r="L402" s="18"/>
      <c r="M402" s="87"/>
    </row>
    <row r="403" spans="3:13" x14ac:dyDescent="0.3">
      <c r="C403" s="1159"/>
      <c r="D403" s="1969"/>
      <c r="E403" s="1969"/>
      <c r="F403" s="125"/>
      <c r="G403" s="125"/>
      <c r="H403" s="18"/>
      <c r="I403" s="18"/>
      <c r="J403" s="18"/>
      <c r="K403" s="18"/>
      <c r="L403" s="18"/>
      <c r="M403" s="87"/>
    </row>
    <row r="404" spans="3:13" x14ac:dyDescent="0.3">
      <c r="C404" s="1158" t="s">
        <v>547</v>
      </c>
      <c r="D404" s="1969"/>
      <c r="E404" s="1969"/>
      <c r="F404" s="125"/>
      <c r="G404" s="125"/>
      <c r="H404" s="18"/>
      <c r="I404" s="18"/>
      <c r="J404" s="18"/>
      <c r="K404" s="18"/>
      <c r="L404" s="18"/>
      <c r="M404" s="87"/>
    </row>
    <row r="405" spans="3:13" x14ac:dyDescent="0.3">
      <c r="C405" s="1159" t="s">
        <v>464</v>
      </c>
      <c r="D405" s="1969"/>
      <c r="E405" s="1969"/>
      <c r="F405" s="125"/>
      <c r="G405" s="125"/>
      <c r="H405" s="18"/>
      <c r="I405" s="18"/>
      <c r="J405" s="18"/>
      <c r="K405" s="18"/>
      <c r="L405" s="18"/>
      <c r="M405" s="87"/>
    </row>
    <row r="406" spans="3:13" x14ac:dyDescent="0.3">
      <c r="C406" s="1159"/>
      <c r="D406" s="1969"/>
      <c r="E406" s="1969"/>
      <c r="F406" s="125"/>
      <c r="G406" s="125"/>
      <c r="H406" s="18"/>
      <c r="I406" s="18"/>
      <c r="J406" s="101"/>
      <c r="K406" s="18"/>
      <c r="L406" s="18"/>
      <c r="M406" s="87"/>
    </row>
    <row r="407" spans="3:13" x14ac:dyDescent="0.3">
      <c r="C407" s="1158" t="s">
        <v>811</v>
      </c>
      <c r="D407" s="1969"/>
      <c r="E407" s="1969"/>
      <c r="F407" s="125"/>
      <c r="G407" s="125"/>
      <c r="H407" s="18"/>
      <c r="I407" s="18"/>
      <c r="J407" s="18"/>
      <c r="K407" s="18"/>
      <c r="L407" s="18"/>
      <c r="M407" s="87"/>
    </row>
    <row r="408" spans="3:13" x14ac:dyDescent="0.3">
      <c r="C408" s="1159" t="s">
        <v>359</v>
      </c>
      <c r="D408" s="1969"/>
      <c r="E408" s="1969"/>
      <c r="F408" s="125"/>
      <c r="G408" s="125"/>
      <c r="H408" s="18"/>
      <c r="I408" s="18"/>
      <c r="J408" s="18"/>
      <c r="K408" s="18"/>
      <c r="L408" s="18"/>
      <c r="M408" s="87"/>
    </row>
    <row r="409" spans="3:13" x14ac:dyDescent="0.3">
      <c r="C409" s="1159" t="s">
        <v>358</v>
      </c>
      <c r="D409" s="1969"/>
      <c r="E409" s="1969"/>
      <c r="F409" s="125"/>
      <c r="G409" s="125"/>
      <c r="H409" s="18"/>
      <c r="I409" s="18"/>
      <c r="J409" s="18"/>
      <c r="K409" s="18"/>
      <c r="L409" s="18"/>
      <c r="M409" s="87"/>
    </row>
    <row r="410" spans="3:13" x14ac:dyDescent="0.3">
      <c r="C410" s="1159" t="s">
        <v>360</v>
      </c>
      <c r="D410" s="1969"/>
      <c r="E410" s="1969"/>
      <c r="F410" s="125"/>
      <c r="G410" s="125"/>
      <c r="H410" s="18"/>
      <c r="I410" s="18"/>
      <c r="J410" s="18"/>
      <c r="K410" s="18"/>
      <c r="L410" s="18"/>
      <c r="M410" s="87"/>
    </row>
    <row r="411" spans="3:13" x14ac:dyDescent="0.3">
      <c r="C411" s="1158" t="s">
        <v>362</v>
      </c>
      <c r="D411" s="1969"/>
      <c r="E411" s="1969"/>
      <c r="F411" s="125"/>
      <c r="G411" s="125"/>
      <c r="H411" s="18"/>
      <c r="I411" s="18"/>
      <c r="J411" s="18"/>
      <c r="K411" s="18"/>
      <c r="L411" s="18"/>
      <c r="M411" s="87"/>
    </row>
    <row r="412" spans="3:13" x14ac:dyDescent="0.3">
      <c r="C412" s="1159" t="s">
        <v>807</v>
      </c>
      <c r="D412" s="1969"/>
      <c r="E412" s="1969"/>
      <c r="F412" s="125"/>
      <c r="G412" s="125"/>
      <c r="H412" s="18"/>
      <c r="I412" s="18"/>
      <c r="J412" s="18"/>
      <c r="K412" s="18"/>
      <c r="L412" s="18"/>
      <c r="M412" s="87"/>
    </row>
    <row r="413" spans="3:13" x14ac:dyDescent="0.3">
      <c r="C413" s="1159" t="s">
        <v>603</v>
      </c>
      <c r="D413" s="1969"/>
      <c r="E413" s="1969"/>
      <c r="F413" s="125"/>
      <c r="G413" s="125"/>
      <c r="H413" s="18"/>
      <c r="I413" s="18"/>
      <c r="J413" s="101"/>
      <c r="K413" s="18"/>
      <c r="L413" s="18"/>
      <c r="M413" s="87"/>
    </row>
    <row r="414" spans="3:13" x14ac:dyDescent="0.3">
      <c r="C414" s="1159" t="s">
        <v>361</v>
      </c>
      <c r="D414" s="1969"/>
      <c r="E414" s="1969"/>
      <c r="F414" s="125"/>
      <c r="G414" s="125"/>
      <c r="H414" s="18"/>
      <c r="I414" s="18"/>
      <c r="J414" s="18"/>
      <c r="K414" s="18"/>
      <c r="L414" s="18"/>
      <c r="M414" s="87"/>
    </row>
    <row r="415" spans="3:13" x14ac:dyDescent="0.3">
      <c r="C415" s="1159" t="s">
        <v>547</v>
      </c>
      <c r="D415" s="1969"/>
      <c r="E415" s="1969"/>
      <c r="F415" s="125"/>
      <c r="G415" s="125"/>
      <c r="H415" s="18"/>
      <c r="I415" s="18"/>
      <c r="J415" s="18"/>
      <c r="K415" s="18"/>
      <c r="L415" s="18"/>
      <c r="M415" s="87"/>
    </row>
    <row r="416" spans="3:13" x14ac:dyDescent="0.3">
      <c r="C416" s="1159" t="s">
        <v>464</v>
      </c>
      <c r="D416" s="1969"/>
      <c r="E416" s="1969"/>
      <c r="F416" s="125"/>
      <c r="G416" s="125"/>
      <c r="H416" s="18"/>
      <c r="I416" s="18"/>
      <c r="J416" s="101"/>
      <c r="K416" s="18"/>
      <c r="L416" s="18"/>
      <c r="M416" s="87"/>
    </row>
    <row r="417" spans="3:13" x14ac:dyDescent="0.3">
      <c r="C417" s="1159"/>
      <c r="D417" s="1969"/>
      <c r="E417" s="1969"/>
      <c r="F417" s="125"/>
      <c r="G417" s="125"/>
      <c r="H417" s="18"/>
      <c r="I417" s="18"/>
      <c r="J417" s="18"/>
      <c r="K417" s="18"/>
      <c r="L417" s="18"/>
      <c r="M417" s="87"/>
    </row>
    <row r="418" spans="3:13" x14ac:dyDescent="0.3">
      <c r="C418" s="1158" t="s">
        <v>812</v>
      </c>
      <c r="D418" s="1969"/>
      <c r="E418" s="1969"/>
      <c r="F418" s="125"/>
      <c r="G418" s="125"/>
      <c r="H418" s="18"/>
      <c r="I418" s="18"/>
      <c r="J418" s="18"/>
      <c r="K418" s="18"/>
      <c r="L418" s="18"/>
      <c r="M418" s="87"/>
    </row>
    <row r="419" spans="3:13" x14ac:dyDescent="0.3">
      <c r="C419" s="1159" t="s">
        <v>359</v>
      </c>
      <c r="D419" s="1969"/>
      <c r="E419" s="1969"/>
      <c r="F419" s="125"/>
      <c r="G419" s="125"/>
      <c r="H419" s="18"/>
      <c r="I419" s="18"/>
      <c r="J419" s="18"/>
      <c r="K419" s="18"/>
      <c r="L419" s="18"/>
      <c r="M419" s="87"/>
    </row>
    <row r="420" spans="3:13" x14ac:dyDescent="0.3">
      <c r="C420" s="1159" t="s">
        <v>358</v>
      </c>
      <c r="D420" s="1969"/>
      <c r="E420" s="1969"/>
      <c r="F420" s="125"/>
      <c r="G420" s="125"/>
      <c r="H420" s="18"/>
      <c r="I420" s="18"/>
      <c r="J420" s="18"/>
      <c r="K420" s="18"/>
      <c r="L420" s="18"/>
      <c r="M420" s="87"/>
    </row>
    <row r="421" spans="3:13" x14ac:dyDescent="0.3">
      <c r="C421" s="1159" t="s">
        <v>360</v>
      </c>
      <c r="D421" s="1969"/>
      <c r="E421" s="1969"/>
      <c r="F421" s="125"/>
      <c r="G421" s="125"/>
      <c r="H421" s="18"/>
      <c r="I421" s="18"/>
      <c r="J421" s="18"/>
      <c r="K421" s="18"/>
      <c r="L421" s="18"/>
      <c r="M421" s="87"/>
    </row>
    <row r="422" spans="3:13" x14ac:dyDescent="0.3">
      <c r="C422" s="1159" t="s">
        <v>362</v>
      </c>
      <c r="D422" s="1969"/>
      <c r="E422" s="1969"/>
      <c r="F422" s="125"/>
      <c r="G422" s="125"/>
      <c r="H422" s="18"/>
      <c r="I422" s="18"/>
      <c r="J422" s="18"/>
      <c r="K422" s="18"/>
      <c r="L422" s="18"/>
      <c r="M422" s="87"/>
    </row>
    <row r="423" spans="3:13" x14ac:dyDescent="0.3">
      <c r="C423" s="1159" t="s">
        <v>807</v>
      </c>
      <c r="D423" s="1969"/>
      <c r="E423" s="1969"/>
      <c r="F423" s="125"/>
      <c r="G423" s="125"/>
      <c r="H423" s="18"/>
      <c r="I423" s="18"/>
      <c r="J423" s="18"/>
      <c r="K423" s="18"/>
      <c r="L423" s="18"/>
      <c r="M423" s="87"/>
    </row>
    <row r="424" spans="3:13" x14ac:dyDescent="0.3">
      <c r="C424" s="1159" t="s">
        <v>603</v>
      </c>
      <c r="D424" s="1969"/>
      <c r="E424" s="1969"/>
      <c r="F424" s="125"/>
      <c r="G424" s="125"/>
      <c r="H424" s="18"/>
      <c r="I424" s="18"/>
      <c r="J424" s="18"/>
      <c r="K424" s="18"/>
      <c r="L424" s="18"/>
      <c r="M424" s="87"/>
    </row>
    <row r="425" spans="3:13" x14ac:dyDescent="0.3">
      <c r="C425" s="1159" t="s">
        <v>361</v>
      </c>
      <c r="D425" s="1969"/>
      <c r="E425" s="1969"/>
      <c r="F425" s="125"/>
      <c r="G425" s="125"/>
      <c r="H425" s="18"/>
      <c r="I425" s="18"/>
      <c r="J425" s="18"/>
      <c r="K425" s="18"/>
      <c r="L425" s="18"/>
      <c r="M425" s="87"/>
    </row>
    <row r="426" spans="3:13" x14ac:dyDescent="0.3">
      <c r="C426" s="1159" t="s">
        <v>547</v>
      </c>
      <c r="D426" s="1969"/>
      <c r="E426" s="1969"/>
      <c r="F426" s="125"/>
      <c r="G426" s="125"/>
      <c r="H426" s="18"/>
      <c r="I426" s="18"/>
      <c r="J426" s="18"/>
      <c r="K426" s="18"/>
      <c r="L426" s="18"/>
      <c r="M426" s="87"/>
    </row>
    <row r="427" spans="3:13" x14ac:dyDescent="0.3">
      <c r="C427" s="1159" t="s">
        <v>464</v>
      </c>
      <c r="D427" s="1969"/>
      <c r="E427" s="1969"/>
      <c r="F427" s="125"/>
      <c r="G427" s="125"/>
      <c r="H427" s="18"/>
      <c r="I427" s="18"/>
      <c r="J427" s="18"/>
      <c r="K427" s="18"/>
      <c r="L427" s="18"/>
      <c r="M427" s="87"/>
    </row>
    <row r="428" spans="3:13" x14ac:dyDescent="0.3">
      <c r="C428" s="1159"/>
      <c r="D428" s="1969"/>
      <c r="E428" s="1969"/>
      <c r="F428" s="125"/>
      <c r="G428" s="125"/>
      <c r="H428" s="18"/>
      <c r="I428" s="18"/>
      <c r="J428" s="18"/>
      <c r="K428" s="18"/>
      <c r="L428" s="18"/>
      <c r="M428" s="87"/>
    </row>
    <row r="429" spans="3:13" x14ac:dyDescent="0.3">
      <c r="C429" s="1158" t="s">
        <v>815</v>
      </c>
      <c r="D429" s="1969"/>
      <c r="E429" s="1969"/>
      <c r="F429" s="125"/>
      <c r="G429" s="125"/>
      <c r="H429" s="18"/>
      <c r="I429" s="18"/>
      <c r="J429" s="18"/>
      <c r="K429" s="18"/>
      <c r="L429" s="18"/>
      <c r="M429" s="87"/>
    </row>
    <row r="430" spans="3:13" x14ac:dyDescent="0.3">
      <c r="C430" s="1159"/>
      <c r="D430" s="1969"/>
      <c r="E430" s="1969"/>
      <c r="F430" s="125"/>
      <c r="G430" s="125"/>
      <c r="H430" s="18"/>
      <c r="I430" s="18"/>
      <c r="J430" s="18"/>
      <c r="K430" s="18"/>
      <c r="L430" s="18"/>
      <c r="M430" s="87"/>
    </row>
    <row r="431" spans="3:13" x14ac:dyDescent="0.3">
      <c r="C431" s="1158" t="s">
        <v>3334</v>
      </c>
      <c r="D431" s="1969"/>
      <c r="E431" s="1969"/>
      <c r="F431" s="125"/>
      <c r="G431" s="125"/>
      <c r="H431" s="18"/>
      <c r="I431" s="18"/>
      <c r="J431" s="18"/>
      <c r="K431" s="18"/>
      <c r="L431" s="18"/>
      <c r="M431" s="87"/>
    </row>
    <row r="432" spans="3:13" x14ac:dyDescent="0.3">
      <c r="C432" s="1159" t="s">
        <v>3329</v>
      </c>
      <c r="D432" s="847">
        <f>+'RPT Disclosure-Transactions'!E40/100</f>
        <v>3747.2019000000005</v>
      </c>
      <c r="E432" s="847">
        <f>+'RPT Disclosure-Transactions'!F40/100</f>
        <v>2043</v>
      </c>
      <c r="F432" s="125"/>
      <c r="G432" s="125"/>
      <c r="H432" s="18"/>
      <c r="I432" s="18"/>
      <c r="J432" s="18"/>
      <c r="K432" s="18"/>
      <c r="L432" s="18"/>
      <c r="M432" s="87"/>
    </row>
    <row r="433" spans="3:13" x14ac:dyDescent="0.3">
      <c r="C433" s="1159" t="s">
        <v>3305</v>
      </c>
      <c r="D433" s="847">
        <f>+'RPT Disclosure-Transactions'!E41/100</f>
        <v>102772.14050000001</v>
      </c>
      <c r="E433" s="847">
        <f>+'RPT Disclosure-Transactions'!F41/100</f>
        <v>181694</v>
      </c>
      <c r="F433" s="986">
        <f>+'RPT Disclosure-Balances'!E9*-1</f>
        <v>42238.815300000002</v>
      </c>
      <c r="G433" s="986">
        <f>+'RPT Disclosure-Balances'!E17*-1</f>
        <v>1577.3670999999999</v>
      </c>
      <c r="H433" s="18"/>
      <c r="I433" s="18"/>
      <c r="J433" s="18"/>
      <c r="K433" s="18"/>
      <c r="L433" s="18"/>
      <c r="M433" s="87"/>
    </row>
    <row r="434" spans="3:13" x14ac:dyDescent="0.3">
      <c r="C434" s="1159" t="s">
        <v>2217</v>
      </c>
      <c r="D434" s="847">
        <f>+'RPT Disclosure-Transactions'!E42/100</f>
        <v>0</v>
      </c>
      <c r="E434" s="847">
        <f>+'RPT Disclosure-Transactions'!F42/100</f>
        <v>1099</v>
      </c>
      <c r="F434" s="125"/>
      <c r="G434" s="986">
        <f>+'RPT Disclosure-Balances'!E16*-1</f>
        <v>1099.4680000000001</v>
      </c>
      <c r="H434" s="18"/>
      <c r="I434" s="18"/>
      <c r="J434" s="18"/>
      <c r="K434" s="18"/>
      <c r="L434" s="18"/>
      <c r="M434" s="87"/>
    </row>
    <row r="435" spans="3:13" x14ac:dyDescent="0.3">
      <c r="C435" s="1159" t="s">
        <v>3306</v>
      </c>
      <c r="D435" s="847">
        <f>+'RPT Disclosure-Transactions'!E43/100</f>
        <v>6662.0203000000001</v>
      </c>
      <c r="E435" s="847">
        <f>+'RPT Disclosure-Transactions'!F43/100</f>
        <v>0</v>
      </c>
      <c r="F435" s="125"/>
      <c r="G435" s="125"/>
      <c r="H435" s="18"/>
      <c r="I435" s="18"/>
      <c r="J435" s="18"/>
      <c r="K435" s="18"/>
      <c r="L435" s="18"/>
      <c r="M435" s="87"/>
    </row>
    <row r="436" spans="3:13" x14ac:dyDescent="0.3">
      <c r="C436" s="1159"/>
      <c r="D436" s="847"/>
      <c r="E436" s="847"/>
      <c r="F436" s="125"/>
      <c r="G436" s="125"/>
      <c r="H436" s="18"/>
      <c r="I436" s="18"/>
      <c r="J436" s="18"/>
      <c r="K436" s="18"/>
      <c r="L436" s="18"/>
      <c r="M436" s="87"/>
    </row>
    <row r="437" spans="3:13" x14ac:dyDescent="0.3">
      <c r="C437" s="1158" t="s">
        <v>3809</v>
      </c>
      <c r="D437" s="1969"/>
      <c r="E437" s="1969"/>
      <c r="F437" s="125"/>
      <c r="G437" s="125"/>
      <c r="H437" s="18"/>
      <c r="I437" s="18"/>
      <c r="J437" s="18"/>
      <c r="K437" s="18"/>
      <c r="L437" s="18"/>
      <c r="M437" s="87"/>
    </row>
    <row r="438" spans="3:13" x14ac:dyDescent="0.3">
      <c r="C438" s="1159" t="s">
        <v>3339</v>
      </c>
      <c r="D438" s="847">
        <f>+'RPT Disclosure-Transactions'!E55/100</f>
        <v>2061088.2929</v>
      </c>
      <c r="E438" s="847">
        <f>+'RPT Disclosure-Transactions'!F55/100</f>
        <v>1761685</v>
      </c>
      <c r="F438" s="125"/>
      <c r="G438" s="125"/>
      <c r="H438" s="18"/>
      <c r="I438" s="18"/>
      <c r="J438" s="18"/>
      <c r="K438" s="18"/>
      <c r="L438" s="18"/>
      <c r="M438" s="87"/>
    </row>
    <row r="439" spans="3:13" x14ac:dyDescent="0.3">
      <c r="C439" s="1159"/>
      <c r="D439" s="847"/>
      <c r="E439" s="847"/>
      <c r="F439" s="125"/>
      <c r="G439" s="125"/>
      <c r="H439" s="18"/>
      <c r="I439" s="18"/>
      <c r="J439" s="18"/>
      <c r="K439" s="18"/>
      <c r="L439" s="18"/>
      <c r="M439" s="87"/>
    </row>
    <row r="440" spans="3:13" x14ac:dyDescent="0.3">
      <c r="C440" s="1158" t="s">
        <v>752</v>
      </c>
      <c r="D440" s="847"/>
      <c r="E440" s="847"/>
      <c r="F440" s="125"/>
      <c r="G440" s="125"/>
      <c r="H440" s="18"/>
      <c r="I440" s="18"/>
      <c r="J440" s="18"/>
      <c r="K440" s="18"/>
      <c r="L440" s="18"/>
      <c r="M440" s="87"/>
    </row>
    <row r="441" spans="3:13" x14ac:dyDescent="0.3">
      <c r="C441" s="1159" t="s">
        <v>2217</v>
      </c>
      <c r="D441" s="1969">
        <f>+'RPT Disclosure-Transactions'!E59/100</f>
        <v>1099.4680000000001</v>
      </c>
      <c r="E441" s="1969"/>
      <c r="F441" s="125"/>
      <c r="G441" s="125"/>
      <c r="H441" s="18"/>
      <c r="I441" s="18"/>
      <c r="J441" s="18"/>
      <c r="K441" s="18"/>
      <c r="L441" s="18"/>
      <c r="M441" s="87"/>
    </row>
    <row r="442" spans="3:13" x14ac:dyDescent="0.3">
      <c r="C442" s="1159"/>
      <c r="D442" s="1969"/>
      <c r="E442" s="1969"/>
      <c r="F442" s="125"/>
      <c r="G442" s="125"/>
      <c r="H442" s="18"/>
      <c r="I442" s="18"/>
      <c r="J442" s="18"/>
      <c r="K442" s="18"/>
      <c r="L442" s="18"/>
      <c r="M442" s="87"/>
    </row>
    <row r="443" spans="3:13" x14ac:dyDescent="0.3">
      <c r="C443" s="1158" t="s">
        <v>2517</v>
      </c>
      <c r="D443" s="1969"/>
      <c r="E443" s="1969"/>
      <c r="F443" s="125"/>
      <c r="G443" s="125"/>
      <c r="H443" s="18"/>
      <c r="I443" s="18"/>
      <c r="J443" s="18"/>
      <c r="K443" s="18"/>
      <c r="L443" s="18"/>
      <c r="M443" s="87"/>
    </row>
    <row r="444" spans="3:13" x14ac:dyDescent="0.3">
      <c r="C444" s="1159" t="s">
        <v>3304</v>
      </c>
      <c r="D444" s="1969">
        <f>+'RPT Disclosure-Transactions'!E63/100</f>
        <v>0</v>
      </c>
      <c r="E444" s="1969">
        <v>0</v>
      </c>
      <c r="F444" s="125"/>
      <c r="G444" s="125"/>
      <c r="H444" s="18"/>
      <c r="I444" s="18"/>
      <c r="J444" s="18"/>
      <c r="K444" s="18"/>
      <c r="L444" s="18"/>
      <c r="M444" s="87"/>
    </row>
    <row r="445" spans="3:13" x14ac:dyDescent="0.3">
      <c r="C445" s="1159"/>
      <c r="D445" s="1969"/>
      <c r="E445" s="1969"/>
      <c r="F445" s="125"/>
      <c r="G445" s="125"/>
      <c r="H445" s="18"/>
      <c r="I445" s="18"/>
      <c r="J445" s="18"/>
      <c r="K445" s="18"/>
      <c r="L445" s="18"/>
      <c r="M445" s="87"/>
    </row>
    <row r="446" spans="3:13" x14ac:dyDescent="0.3">
      <c r="C446" s="1158" t="s">
        <v>547</v>
      </c>
      <c r="D446" s="1969"/>
      <c r="E446" s="1969"/>
      <c r="F446" s="125"/>
      <c r="G446" s="125"/>
      <c r="H446" s="18"/>
      <c r="I446" s="18"/>
      <c r="J446" s="18"/>
      <c r="K446" s="18"/>
      <c r="L446" s="18"/>
      <c r="M446" s="87"/>
    </row>
    <row r="447" spans="3:13" x14ac:dyDescent="0.3">
      <c r="C447" s="1158" t="s">
        <v>3341</v>
      </c>
      <c r="D447" s="1969"/>
      <c r="E447" s="1969"/>
      <c r="F447" s="125"/>
      <c r="G447" s="125"/>
      <c r="H447" s="18"/>
      <c r="I447" s="18"/>
      <c r="J447" s="18"/>
      <c r="K447" s="18"/>
      <c r="L447" s="18"/>
      <c r="M447" s="87"/>
    </row>
    <row r="448" spans="3:13" x14ac:dyDescent="0.3">
      <c r="C448" s="1158" t="s">
        <v>3308</v>
      </c>
      <c r="D448" s="1969"/>
      <c r="E448" s="1969"/>
      <c r="F448" s="125"/>
      <c r="G448" s="125"/>
      <c r="H448" s="18"/>
      <c r="I448" s="18"/>
      <c r="J448" s="18"/>
      <c r="K448" s="18"/>
      <c r="L448" s="18"/>
      <c r="M448" s="87"/>
    </row>
    <row r="449" spans="3:13" x14ac:dyDescent="0.3">
      <c r="C449" s="1159" t="s">
        <v>3343</v>
      </c>
      <c r="D449" s="847">
        <f>+'RPT Disclosure-Transactions'!E68/100</f>
        <v>46874.53</v>
      </c>
      <c r="E449" s="847">
        <f>+'RPT Disclosure-Transactions'!F68/100</f>
        <v>42500</v>
      </c>
      <c r="F449" s="125"/>
      <c r="G449" s="125"/>
      <c r="H449" s="18"/>
      <c r="I449" s="18"/>
      <c r="J449" s="18"/>
      <c r="K449" s="18"/>
      <c r="L449" s="18"/>
      <c r="M449" s="87"/>
    </row>
    <row r="450" spans="3:13" x14ac:dyDescent="0.3">
      <c r="C450" s="1159" t="s">
        <v>3344</v>
      </c>
      <c r="D450" s="847">
        <f>+'RPT Disclosure-Transactions'!E69/100</f>
        <v>0</v>
      </c>
      <c r="E450" s="847">
        <f>+'RPT Disclosure-Transactions'!F69/100</f>
        <v>3594</v>
      </c>
      <c r="F450" s="125"/>
      <c r="G450" s="125"/>
      <c r="H450" s="18"/>
      <c r="I450" s="18"/>
      <c r="J450" s="18"/>
      <c r="K450" s="18"/>
      <c r="L450" s="18"/>
      <c r="M450" s="87"/>
    </row>
    <row r="451" spans="3:13" x14ac:dyDescent="0.3">
      <c r="C451" s="1159"/>
      <c r="D451" s="1969"/>
      <c r="E451" s="1969"/>
      <c r="F451" s="125"/>
      <c r="G451" s="125"/>
      <c r="H451" s="18"/>
      <c r="I451" s="18"/>
      <c r="J451" s="18"/>
      <c r="K451" s="18"/>
      <c r="L451" s="18"/>
      <c r="M451" s="87"/>
    </row>
    <row r="452" spans="3:13" x14ac:dyDescent="0.3">
      <c r="C452" s="1159"/>
      <c r="D452" s="1969"/>
      <c r="E452" s="1969"/>
      <c r="F452" s="125"/>
      <c r="G452" s="125"/>
      <c r="H452" s="18"/>
      <c r="I452" s="18"/>
      <c r="J452" s="18"/>
      <c r="K452" s="18"/>
      <c r="L452" s="18"/>
      <c r="M452" s="87"/>
    </row>
    <row r="453" spans="3:13" ht="17.25" thickBot="1" x14ac:dyDescent="0.35">
      <c r="C453" s="1160"/>
      <c r="D453" s="111"/>
      <c r="E453" s="111"/>
      <c r="F453" s="111"/>
      <c r="G453" s="111"/>
      <c r="H453" s="111"/>
      <c r="I453" s="111"/>
      <c r="J453" s="111"/>
      <c r="K453" s="111"/>
      <c r="L453" s="111"/>
      <c r="M453" s="112"/>
    </row>
    <row r="454" spans="3:13" x14ac:dyDescent="0.3">
      <c r="C454" s="113"/>
      <c r="D454" s="113"/>
      <c r="E454" s="113"/>
      <c r="F454" s="113"/>
      <c r="G454" s="113"/>
      <c r="H454" s="113"/>
      <c r="I454" s="113"/>
    </row>
    <row r="455" spans="3:13" x14ac:dyDescent="0.3">
      <c r="C455" s="18"/>
      <c r="D455" s="18"/>
      <c r="E455" s="18"/>
    </row>
    <row r="456" spans="3:13" x14ac:dyDescent="0.3">
      <c r="C456" s="101" t="s">
        <v>1745</v>
      </c>
      <c r="D456" s="18"/>
      <c r="E456" s="18"/>
    </row>
    <row r="457" spans="3:13" x14ac:dyDescent="0.3">
      <c r="C457" s="18"/>
      <c r="D457" s="18"/>
      <c r="E457" s="18"/>
    </row>
    <row r="458" spans="3:13" x14ac:dyDescent="0.3">
      <c r="C458" s="851" t="s">
        <v>20</v>
      </c>
      <c r="D458" s="314" t="str">
        <f>BSCY</f>
        <v>As At 31st March 2025</v>
      </c>
      <c r="E458" s="823" t="str">
        <f>BSPY</f>
        <v>As At 31st March 2024</v>
      </c>
    </row>
    <row r="459" spans="3:13" x14ac:dyDescent="0.3">
      <c r="C459" s="818" t="s">
        <v>517</v>
      </c>
      <c r="D459" s="104"/>
      <c r="E459" s="156"/>
    </row>
    <row r="460" spans="3:13" ht="33" x14ac:dyDescent="0.3">
      <c r="C460" s="130" t="s">
        <v>1742</v>
      </c>
      <c r="D460" s="106"/>
      <c r="E460" s="139"/>
    </row>
    <row r="461" spans="3:13" x14ac:dyDescent="0.3">
      <c r="C461" s="107" t="s">
        <v>365</v>
      </c>
      <c r="D461" s="106"/>
      <c r="E461" s="139"/>
    </row>
    <row r="462" spans="3:13" x14ac:dyDescent="0.3">
      <c r="C462" s="107" t="s">
        <v>366</v>
      </c>
      <c r="D462" s="106"/>
      <c r="E462" s="139"/>
    </row>
    <row r="463" spans="3:13" x14ac:dyDescent="0.3">
      <c r="C463" s="107" t="s">
        <v>367</v>
      </c>
      <c r="D463" s="106"/>
      <c r="E463" s="139"/>
    </row>
    <row r="464" spans="3:13" x14ac:dyDescent="0.3">
      <c r="C464" s="107" t="s">
        <v>368</v>
      </c>
      <c r="D464" s="106"/>
      <c r="E464" s="139"/>
    </row>
    <row r="465" spans="3:5" x14ac:dyDescent="0.3">
      <c r="C465" s="107"/>
      <c r="D465" s="106"/>
      <c r="E465" s="139"/>
    </row>
    <row r="466" spans="3:5" x14ac:dyDescent="0.3">
      <c r="C466" s="107" t="s">
        <v>369</v>
      </c>
      <c r="D466" s="106"/>
      <c r="E466" s="139"/>
    </row>
    <row r="467" spans="3:5" x14ac:dyDescent="0.3">
      <c r="C467" s="107"/>
      <c r="D467" s="106"/>
      <c r="E467" s="139"/>
    </row>
    <row r="468" spans="3:5" x14ac:dyDescent="0.3">
      <c r="C468" s="107" t="s">
        <v>518</v>
      </c>
      <c r="D468" s="106"/>
      <c r="E468" s="139"/>
    </row>
    <row r="469" spans="3:5" x14ac:dyDescent="0.3">
      <c r="C469" s="107" t="s">
        <v>370</v>
      </c>
      <c r="D469" s="106"/>
      <c r="E469" s="139"/>
    </row>
    <row r="470" spans="3:5" x14ac:dyDescent="0.3">
      <c r="C470" s="107" t="s">
        <v>371</v>
      </c>
      <c r="D470" s="106"/>
      <c r="E470" s="139"/>
    </row>
    <row r="471" spans="3:5" x14ac:dyDescent="0.3">
      <c r="C471" s="107" t="s">
        <v>1746</v>
      </c>
      <c r="D471" s="106"/>
      <c r="E471" s="139"/>
    </row>
    <row r="472" spans="3:5" x14ac:dyDescent="0.3">
      <c r="C472" s="107" t="s">
        <v>1747</v>
      </c>
      <c r="D472" s="106"/>
      <c r="E472" s="139"/>
    </row>
    <row r="473" spans="3:5" x14ac:dyDescent="0.3">
      <c r="C473" s="107"/>
      <c r="D473" s="106"/>
      <c r="E473" s="139"/>
    </row>
    <row r="474" spans="3:5" x14ac:dyDescent="0.3">
      <c r="C474" s="130" t="s">
        <v>1743</v>
      </c>
      <c r="D474" s="106"/>
      <c r="E474" s="139"/>
    </row>
    <row r="475" spans="3:5" x14ac:dyDescent="0.3">
      <c r="C475" s="130" t="s">
        <v>372</v>
      </c>
      <c r="D475" s="106"/>
      <c r="E475" s="139"/>
    </row>
    <row r="476" spans="3:5" x14ac:dyDescent="0.3">
      <c r="C476" s="107" t="s">
        <v>365</v>
      </c>
      <c r="D476" s="106"/>
      <c r="E476" s="139"/>
    </row>
    <row r="477" spans="3:5" x14ac:dyDescent="0.3">
      <c r="C477" s="107" t="s">
        <v>366</v>
      </c>
      <c r="D477" s="106"/>
      <c r="E477" s="139"/>
    </row>
    <row r="478" spans="3:5" x14ac:dyDescent="0.3">
      <c r="C478" s="107" t="s">
        <v>367</v>
      </c>
      <c r="D478" s="106"/>
      <c r="E478" s="139"/>
    </row>
    <row r="479" spans="3:5" x14ac:dyDescent="0.3">
      <c r="C479" s="107" t="s">
        <v>368</v>
      </c>
      <c r="D479" s="106"/>
      <c r="E479" s="139"/>
    </row>
    <row r="480" spans="3:5" x14ac:dyDescent="0.3">
      <c r="C480" s="107"/>
      <c r="D480" s="106"/>
      <c r="E480" s="139"/>
    </row>
    <row r="481" spans="3:5" x14ac:dyDescent="0.3">
      <c r="C481" s="107" t="s">
        <v>373</v>
      </c>
      <c r="D481" s="106"/>
      <c r="E481" s="139"/>
    </row>
    <row r="482" spans="3:5" x14ac:dyDescent="0.3">
      <c r="C482" s="107" t="s">
        <v>374</v>
      </c>
      <c r="D482" s="106"/>
      <c r="E482" s="139"/>
    </row>
    <row r="483" spans="3:5" x14ac:dyDescent="0.3">
      <c r="C483" s="107" t="s">
        <v>366</v>
      </c>
      <c r="D483" s="106"/>
      <c r="E483" s="139"/>
    </row>
    <row r="484" spans="3:5" x14ac:dyDescent="0.3">
      <c r="C484" s="107" t="s">
        <v>367</v>
      </c>
      <c r="D484" s="106"/>
      <c r="E484" s="139"/>
    </row>
    <row r="485" spans="3:5" x14ac:dyDescent="0.3">
      <c r="C485" s="107" t="s">
        <v>368</v>
      </c>
      <c r="D485" s="106"/>
      <c r="E485" s="139"/>
    </row>
    <row r="486" spans="3:5" x14ac:dyDescent="0.3">
      <c r="C486" s="107"/>
      <c r="D486" s="106"/>
      <c r="E486" s="139"/>
    </row>
    <row r="487" spans="3:5" x14ac:dyDescent="0.3">
      <c r="C487" s="130" t="s">
        <v>519</v>
      </c>
      <c r="D487" s="106"/>
      <c r="E487" s="139"/>
    </row>
    <row r="488" spans="3:5" x14ac:dyDescent="0.3">
      <c r="C488" s="107" t="s">
        <v>375</v>
      </c>
      <c r="D488" s="106"/>
      <c r="E488" s="139"/>
    </row>
    <row r="489" spans="3:5" x14ac:dyDescent="0.3">
      <c r="C489" s="107" t="s">
        <v>369</v>
      </c>
      <c r="D489" s="106"/>
      <c r="E489" s="139"/>
    </row>
    <row r="490" spans="3:5" x14ac:dyDescent="0.3">
      <c r="C490" s="107"/>
      <c r="D490" s="106"/>
      <c r="E490" s="139"/>
    </row>
    <row r="491" spans="3:5" x14ac:dyDescent="0.3">
      <c r="C491" s="107" t="s">
        <v>376</v>
      </c>
      <c r="D491" s="106"/>
      <c r="E491" s="139"/>
    </row>
    <row r="492" spans="3:5" ht="33" x14ac:dyDescent="0.3">
      <c r="C492" s="130" t="s">
        <v>1744</v>
      </c>
      <c r="D492" s="106"/>
      <c r="E492" s="139"/>
    </row>
    <row r="493" spans="3:5" x14ac:dyDescent="0.3">
      <c r="C493" s="107" t="s">
        <v>555</v>
      </c>
      <c r="D493" s="106"/>
      <c r="E493" s="139"/>
    </row>
    <row r="494" spans="3:5" x14ac:dyDescent="0.3">
      <c r="C494" s="107" t="s">
        <v>365</v>
      </c>
      <c r="D494" s="106"/>
      <c r="E494" s="139"/>
    </row>
    <row r="495" spans="3:5" x14ac:dyDescent="0.3">
      <c r="C495" s="107" t="s">
        <v>366</v>
      </c>
      <c r="D495" s="106"/>
      <c r="E495" s="139"/>
    </row>
    <row r="496" spans="3:5" x14ac:dyDescent="0.3">
      <c r="C496" s="107" t="s">
        <v>367</v>
      </c>
      <c r="D496" s="106"/>
      <c r="E496" s="139"/>
    </row>
    <row r="497" spans="3:5" x14ac:dyDescent="0.3">
      <c r="C497" s="107" t="s">
        <v>368</v>
      </c>
      <c r="D497" s="106"/>
      <c r="E497" s="139"/>
    </row>
    <row r="498" spans="3:5" x14ac:dyDescent="0.3">
      <c r="C498" s="107"/>
      <c r="D498" s="106"/>
      <c r="E498" s="139"/>
    </row>
    <row r="499" spans="3:5" x14ac:dyDescent="0.3">
      <c r="C499" s="107" t="s">
        <v>377</v>
      </c>
      <c r="D499" s="106"/>
      <c r="E499" s="139"/>
    </row>
    <row r="500" spans="3:5" x14ac:dyDescent="0.3">
      <c r="C500" s="107" t="s">
        <v>378</v>
      </c>
      <c r="D500" s="106"/>
      <c r="E500" s="139"/>
    </row>
    <row r="501" spans="3:5" x14ac:dyDescent="0.3">
      <c r="C501" s="107" t="s">
        <v>366</v>
      </c>
      <c r="D501" s="106"/>
      <c r="E501" s="139"/>
    </row>
    <row r="502" spans="3:5" x14ac:dyDescent="0.3">
      <c r="C502" s="107" t="s">
        <v>367</v>
      </c>
      <c r="D502" s="106"/>
      <c r="E502" s="139"/>
    </row>
    <row r="503" spans="3:5" x14ac:dyDescent="0.3">
      <c r="C503" s="107" t="s">
        <v>368</v>
      </c>
      <c r="D503" s="106"/>
      <c r="E503" s="139"/>
    </row>
    <row r="504" spans="3:5" x14ac:dyDescent="0.3">
      <c r="C504" s="107"/>
      <c r="D504" s="106"/>
      <c r="E504" s="139"/>
    </row>
    <row r="505" spans="3:5" x14ac:dyDescent="0.3">
      <c r="C505" s="107" t="s">
        <v>379</v>
      </c>
      <c r="D505" s="106"/>
      <c r="E505" s="139"/>
    </row>
    <row r="506" spans="3:5" x14ac:dyDescent="0.3">
      <c r="C506" s="107"/>
      <c r="D506" s="106"/>
      <c r="E506" s="139"/>
    </row>
    <row r="507" spans="3:5" x14ac:dyDescent="0.3">
      <c r="C507" s="130" t="s">
        <v>380</v>
      </c>
      <c r="D507" s="106"/>
      <c r="E507" s="139"/>
    </row>
    <row r="508" spans="3:5" x14ac:dyDescent="0.3">
      <c r="C508" s="107"/>
      <c r="D508" s="106"/>
      <c r="E508" s="139"/>
    </row>
    <row r="509" spans="3:5" ht="49.5" x14ac:dyDescent="0.3">
      <c r="C509" s="130" t="s">
        <v>477</v>
      </c>
      <c r="D509" s="106"/>
      <c r="E509" s="139"/>
    </row>
    <row r="510" spans="3:5" x14ac:dyDescent="0.3">
      <c r="C510" s="107" t="s">
        <v>365</v>
      </c>
      <c r="D510" s="106"/>
      <c r="E510" s="139"/>
    </row>
    <row r="511" spans="3:5" x14ac:dyDescent="0.3">
      <c r="C511" s="107" t="s">
        <v>366</v>
      </c>
      <c r="D511" s="106"/>
      <c r="E511" s="139"/>
    </row>
    <row r="512" spans="3:5" x14ac:dyDescent="0.3">
      <c r="C512" s="107" t="s">
        <v>367</v>
      </c>
      <c r="D512" s="106"/>
      <c r="E512" s="139"/>
    </row>
    <row r="513" spans="3:9" x14ac:dyDescent="0.3">
      <c r="C513" s="107" t="s">
        <v>368</v>
      </c>
      <c r="D513" s="106"/>
      <c r="E513" s="139"/>
    </row>
    <row r="514" spans="3:9" x14ac:dyDescent="0.3">
      <c r="C514" s="107"/>
      <c r="D514" s="106"/>
      <c r="E514" s="139"/>
    </row>
    <row r="515" spans="3:9" x14ac:dyDescent="0.3">
      <c r="C515" s="107" t="s">
        <v>381</v>
      </c>
      <c r="D515" s="106"/>
      <c r="E515" s="139"/>
    </row>
    <row r="516" spans="3:9" x14ac:dyDescent="0.3">
      <c r="C516" s="107" t="s">
        <v>379</v>
      </c>
      <c r="D516" s="106"/>
      <c r="E516" s="139"/>
    </row>
    <row r="517" spans="3:9" x14ac:dyDescent="0.3">
      <c r="C517" s="107"/>
      <c r="D517" s="106"/>
      <c r="E517" s="139"/>
    </row>
    <row r="518" spans="3:9" x14ac:dyDescent="0.3">
      <c r="C518" s="130" t="s">
        <v>380</v>
      </c>
      <c r="D518" s="106"/>
      <c r="E518" s="139"/>
    </row>
    <row r="519" spans="3:9" x14ac:dyDescent="0.3">
      <c r="C519" s="107"/>
      <c r="D519" s="106"/>
      <c r="E519" s="139"/>
    </row>
    <row r="520" spans="3:9" x14ac:dyDescent="0.3">
      <c r="C520" s="814" t="s">
        <v>382</v>
      </c>
      <c r="D520" s="108"/>
      <c r="E520" s="143"/>
    </row>
    <row r="521" spans="3:9" x14ac:dyDescent="0.3">
      <c r="C521" s="147"/>
      <c r="D521" s="18"/>
      <c r="E521" s="18"/>
    </row>
    <row r="522" spans="3:9" x14ac:dyDescent="0.3">
      <c r="C522" s="1066"/>
      <c r="D522" s="1073"/>
      <c r="E522" s="1073"/>
      <c r="F522" s="1073"/>
      <c r="G522" s="1073"/>
      <c r="H522" s="1073"/>
      <c r="I522" s="1074"/>
    </row>
    <row r="523" spans="3:9" x14ac:dyDescent="0.3">
      <c r="C523" s="1067"/>
      <c r="D523" s="1070"/>
      <c r="E523" s="1070"/>
      <c r="F523" s="1070"/>
      <c r="G523" s="1070"/>
      <c r="H523" s="1070"/>
      <c r="I523" s="1075"/>
    </row>
    <row r="524" spans="3:9" x14ac:dyDescent="0.3">
      <c r="C524" s="1067"/>
      <c r="D524" s="1070"/>
      <c r="E524" s="1070"/>
      <c r="F524" s="1070"/>
      <c r="G524" s="1070"/>
      <c r="H524" s="1070"/>
      <c r="I524" s="1075"/>
    </row>
    <row r="525" spans="3:9" x14ac:dyDescent="0.3">
      <c r="C525" s="1067"/>
      <c r="D525" s="1070"/>
      <c r="E525" s="1070"/>
      <c r="F525" s="1070"/>
      <c r="G525" s="1070"/>
      <c r="H525" s="1070"/>
      <c r="I525" s="1075"/>
    </row>
    <row r="526" spans="3:9" x14ac:dyDescent="0.3">
      <c r="C526" s="1067"/>
      <c r="D526" s="1070"/>
      <c r="E526" s="1070"/>
      <c r="F526" s="1070"/>
      <c r="G526" s="1070"/>
      <c r="H526" s="1070"/>
      <c r="I526" s="1075"/>
    </row>
    <row r="527" spans="3:9" x14ac:dyDescent="0.3">
      <c r="C527" s="1067"/>
      <c r="D527" s="1070"/>
      <c r="E527" s="1070"/>
      <c r="F527" s="1070"/>
      <c r="G527" s="1070"/>
      <c r="H527" s="1070"/>
      <c r="I527" s="1075"/>
    </row>
    <row r="528" spans="3:9" x14ac:dyDescent="0.3">
      <c r="C528" s="1067"/>
      <c r="D528" s="1070"/>
      <c r="E528" s="1070"/>
      <c r="F528" s="1070"/>
      <c r="G528" s="1070"/>
      <c r="H528" s="1070"/>
      <c r="I528" s="1075"/>
    </row>
    <row r="529" spans="3:9" x14ac:dyDescent="0.3">
      <c r="C529" s="1067"/>
      <c r="D529" s="1070"/>
      <c r="E529" s="1070"/>
      <c r="F529" s="1070"/>
      <c r="G529" s="1070"/>
      <c r="H529" s="1070"/>
      <c r="I529" s="1075"/>
    </row>
    <row r="530" spans="3:9" x14ac:dyDescent="0.3">
      <c r="C530" s="1067"/>
      <c r="D530" s="1070"/>
      <c r="E530" s="1070"/>
      <c r="F530" s="1070"/>
      <c r="G530" s="1070"/>
      <c r="H530" s="1070"/>
      <c r="I530" s="1075"/>
    </row>
    <row r="531" spans="3:9" x14ac:dyDescent="0.3">
      <c r="C531" s="1067"/>
      <c r="D531" s="1070"/>
      <c r="E531" s="1070"/>
      <c r="F531" s="1070"/>
      <c r="G531" s="1070"/>
      <c r="H531" s="1070"/>
      <c r="I531" s="1075"/>
    </row>
    <row r="532" spans="3:9" x14ac:dyDescent="0.3">
      <c r="C532" s="1067"/>
      <c r="D532" s="1070"/>
      <c r="E532" s="1070"/>
      <c r="F532" s="1070"/>
      <c r="G532" s="1070"/>
      <c r="H532" s="1070"/>
      <c r="I532" s="1075"/>
    </row>
    <row r="533" spans="3:9" x14ac:dyDescent="0.3">
      <c r="C533" s="1068"/>
      <c r="D533" s="1076"/>
      <c r="E533" s="1076"/>
      <c r="F533" s="1076"/>
      <c r="G533" s="1076"/>
      <c r="H533" s="1076"/>
      <c r="I533" s="1077"/>
    </row>
    <row r="534" spans="3:9" x14ac:dyDescent="0.3">
      <c r="C534" s="147"/>
      <c r="D534" s="18"/>
      <c r="E534" s="18"/>
    </row>
    <row r="535" spans="3:9" x14ac:dyDescent="0.3">
      <c r="C535" s="147"/>
      <c r="D535" s="18"/>
      <c r="E535" s="18"/>
    </row>
    <row r="536" spans="3:9" x14ac:dyDescent="0.3">
      <c r="C536" s="147"/>
      <c r="D536" s="18"/>
      <c r="E536" s="18"/>
    </row>
    <row r="537" spans="3:9" x14ac:dyDescent="0.3">
      <c r="C537" s="131" t="str">
        <f>"Note "&amp; 'Profit and Loss'!E67 &amp; " Earning per Share"</f>
        <v>Note 30 Earning per Share</v>
      </c>
      <c r="D537" s="18"/>
      <c r="E537" s="18"/>
    </row>
    <row r="538" spans="3:9" x14ac:dyDescent="0.3">
      <c r="C538" s="18"/>
      <c r="D538" s="18"/>
      <c r="E538" s="18"/>
    </row>
    <row r="539" spans="3:9" x14ac:dyDescent="0.3">
      <c r="C539" s="851" t="s">
        <v>20</v>
      </c>
      <c r="D539" s="314" t="str">
        <f>BSCY</f>
        <v>As At 31st March 2025</v>
      </c>
      <c r="E539" s="823" t="str">
        <f>BSPY</f>
        <v>As At 31st March 2024</v>
      </c>
    </row>
    <row r="540" spans="3:9" x14ac:dyDescent="0.3">
      <c r="C540" s="819" t="s">
        <v>383</v>
      </c>
      <c r="D540" s="106"/>
      <c r="E540" s="106"/>
    </row>
    <row r="541" spans="3:9" x14ac:dyDescent="0.3">
      <c r="C541" s="116" t="s">
        <v>660</v>
      </c>
      <c r="D541" s="845">
        <f>+'Profit and Loss'!F64</f>
        <v>326016.54773805174</v>
      </c>
      <c r="E541" s="845">
        <f>+'Profit and Loss'!G64</f>
        <v>209345.48279999947</v>
      </c>
    </row>
    <row r="542" spans="3:9" x14ac:dyDescent="0.3">
      <c r="C542" s="116" t="s">
        <v>384</v>
      </c>
      <c r="D542" s="942"/>
      <c r="E542" s="942"/>
    </row>
    <row r="543" spans="3:9" x14ac:dyDescent="0.3">
      <c r="C543" s="116" t="s">
        <v>661</v>
      </c>
      <c r="D543" s="845">
        <f>+D541-D542</f>
        <v>326016.54773805174</v>
      </c>
      <c r="E543" s="845">
        <f>+E541-E542</f>
        <v>209345.48279999947</v>
      </c>
    </row>
    <row r="544" spans="3:9" x14ac:dyDescent="0.3">
      <c r="C544" s="116" t="s">
        <v>520</v>
      </c>
      <c r="D544" s="845">
        <f>150000/100</f>
        <v>1500</v>
      </c>
      <c r="E544" s="845">
        <f>150000/100</f>
        <v>1500</v>
      </c>
    </row>
    <row r="545" spans="3:5" x14ac:dyDescent="0.3">
      <c r="C545" s="116" t="s">
        <v>385</v>
      </c>
      <c r="D545" s="845">
        <f>+'Qualitative Disclosures'!F12</f>
        <v>100</v>
      </c>
      <c r="E545" s="845">
        <v>100</v>
      </c>
    </row>
    <row r="546" spans="3:5" x14ac:dyDescent="0.3">
      <c r="C546" s="116" t="s">
        <v>386</v>
      </c>
      <c r="D546" s="986">
        <f>+D541/D544</f>
        <v>217.34436515870115</v>
      </c>
      <c r="E546" s="986">
        <f>+E541/E544</f>
        <v>139.56365519999966</v>
      </c>
    </row>
    <row r="547" spans="3:5" x14ac:dyDescent="0.3">
      <c r="C547" s="116"/>
      <c r="D547" s="845"/>
      <c r="E547" s="845"/>
    </row>
    <row r="548" spans="3:5" x14ac:dyDescent="0.3">
      <c r="C548" s="819" t="s">
        <v>387</v>
      </c>
      <c r="D548" s="845"/>
      <c r="E548" s="845"/>
    </row>
    <row r="549" spans="3:5" x14ac:dyDescent="0.3">
      <c r="C549" s="116" t="s">
        <v>660</v>
      </c>
      <c r="D549" s="845">
        <f>+'Profit and Loss'!F64</f>
        <v>326016.54773805174</v>
      </c>
      <c r="E549" s="845">
        <f>+'Profit and Loss'!G64</f>
        <v>209345.48279999947</v>
      </c>
    </row>
    <row r="550" spans="3:5" x14ac:dyDescent="0.3">
      <c r="C550" s="116" t="s">
        <v>384</v>
      </c>
      <c r="D550" s="942">
        <v>0</v>
      </c>
      <c r="E550" s="942">
        <v>0</v>
      </c>
    </row>
    <row r="551" spans="3:5" x14ac:dyDescent="0.3">
      <c r="C551" s="116" t="s">
        <v>662</v>
      </c>
      <c r="D551" s="845">
        <f>+D549-D550</f>
        <v>326016.54773805174</v>
      </c>
      <c r="E551" s="845">
        <f>+E549-E550</f>
        <v>209345.48279999947</v>
      </c>
    </row>
    <row r="552" spans="3:5" x14ac:dyDescent="0.3">
      <c r="C552" s="116" t="s">
        <v>697</v>
      </c>
      <c r="D552" s="942"/>
      <c r="E552" s="942"/>
    </row>
    <row r="553" spans="3:5" x14ac:dyDescent="0.3">
      <c r="C553" s="116" t="s">
        <v>522</v>
      </c>
      <c r="D553" s="845">
        <f>+D551+D552</f>
        <v>326016.54773805174</v>
      </c>
      <c r="E553" s="845">
        <f>+E551+E552</f>
        <v>209345.48279999947</v>
      </c>
    </row>
    <row r="554" spans="3:5" x14ac:dyDescent="0.3">
      <c r="C554" s="116" t="s">
        <v>521</v>
      </c>
      <c r="D554" s="845"/>
      <c r="E554" s="845"/>
    </row>
    <row r="555" spans="3:5" x14ac:dyDescent="0.3">
      <c r="C555" s="116" t="s">
        <v>546</v>
      </c>
      <c r="D555" s="942"/>
      <c r="E555" s="942"/>
    </row>
    <row r="556" spans="3:5" x14ac:dyDescent="0.3">
      <c r="C556" s="116" t="s">
        <v>671</v>
      </c>
      <c r="D556" s="845">
        <f>150000/100</f>
        <v>1500</v>
      </c>
      <c r="E556" s="845">
        <f>150000/100</f>
        <v>1500</v>
      </c>
    </row>
    <row r="557" spans="3:5" x14ac:dyDescent="0.3">
      <c r="C557" s="116" t="s">
        <v>385</v>
      </c>
      <c r="D557" s="845"/>
      <c r="E557" s="845"/>
    </row>
    <row r="558" spans="3:5" x14ac:dyDescent="0.3">
      <c r="C558" s="216" t="s">
        <v>388</v>
      </c>
      <c r="D558" s="986">
        <f>+D553/D556</f>
        <v>217.34436515870115</v>
      </c>
      <c r="E558" s="986">
        <f>+E553/E556</f>
        <v>139.56365519999966</v>
      </c>
    </row>
    <row r="559" spans="3:5" x14ac:dyDescent="0.3">
      <c r="C559" s="18"/>
      <c r="D559" s="18"/>
      <c r="E559" s="18"/>
    </row>
    <row r="560" spans="3:5" x14ac:dyDescent="0.3">
      <c r="C560" s="18"/>
      <c r="D560" s="18"/>
      <c r="E560" s="18"/>
    </row>
    <row r="561" spans="3:5" x14ac:dyDescent="0.3">
      <c r="C561" s="4" t="s">
        <v>3902</v>
      </c>
    </row>
    <row r="562" spans="3:5" ht="17.25" thickBot="1" x14ac:dyDescent="0.35"/>
    <row r="563" spans="3:5" x14ac:dyDescent="0.3">
      <c r="C563" s="966" t="s">
        <v>20</v>
      </c>
      <c r="D563" s="943" t="str">
        <f>+BSCY</f>
        <v>As At 31st March 2025</v>
      </c>
      <c r="E563" s="944" t="str">
        <f>+BSPY</f>
        <v>As At 31st March 2024</v>
      </c>
    </row>
    <row r="564" spans="3:5" x14ac:dyDescent="0.3">
      <c r="C564" s="950" t="s">
        <v>1846</v>
      </c>
      <c r="D564" s="106"/>
      <c r="E564" s="115"/>
    </row>
    <row r="565" spans="3:5" x14ac:dyDescent="0.3">
      <c r="C565" s="951" t="s">
        <v>613</v>
      </c>
      <c r="D565" s="132"/>
      <c r="E565" s="115"/>
    </row>
    <row r="566" spans="3:5" x14ac:dyDescent="0.3">
      <c r="C566" s="869" t="s">
        <v>389</v>
      </c>
      <c r="D566" s="133"/>
      <c r="E566" s="1088"/>
    </row>
    <row r="567" spans="3:5" x14ac:dyDescent="0.3">
      <c r="C567" s="869" t="s">
        <v>390</v>
      </c>
      <c r="D567" s="133"/>
      <c r="E567" s="115"/>
    </row>
    <row r="568" spans="3:5" x14ac:dyDescent="0.3">
      <c r="C568" s="869" t="s">
        <v>476</v>
      </c>
      <c r="D568" s="133"/>
      <c r="E568" s="115"/>
    </row>
    <row r="569" spans="3:5" x14ac:dyDescent="0.3">
      <c r="C569" s="22" t="s">
        <v>170</v>
      </c>
      <c r="D569" s="133"/>
      <c r="E569" s="115"/>
    </row>
    <row r="570" spans="3:5" x14ac:dyDescent="0.3">
      <c r="C570" s="22" t="s">
        <v>613</v>
      </c>
      <c r="D570" s="949">
        <f>+SUM(D566:D569)</f>
        <v>0</v>
      </c>
      <c r="E570" s="945">
        <f>+SUM(E566:E569)</f>
        <v>0</v>
      </c>
    </row>
    <row r="571" spans="3:5" x14ac:dyDescent="0.3">
      <c r="C571" s="22"/>
      <c r="D571" s="132"/>
      <c r="E571" s="115"/>
    </row>
    <row r="572" spans="3:5" x14ac:dyDescent="0.3">
      <c r="C572" s="951" t="s">
        <v>391</v>
      </c>
      <c r="D572" s="132"/>
      <c r="E572" s="115"/>
    </row>
    <row r="573" spans="3:5" x14ac:dyDescent="0.3">
      <c r="C573" s="869" t="s">
        <v>392</v>
      </c>
      <c r="D573" s="133">
        <f>62645.41712/100</f>
        <v>626.45417120000002</v>
      </c>
      <c r="E573" s="1088">
        <v>0</v>
      </c>
    </row>
    <row r="574" spans="3:5" x14ac:dyDescent="0.3">
      <c r="C574" s="22" t="s">
        <v>393</v>
      </c>
      <c r="D574" s="133"/>
      <c r="E574" s="115"/>
    </row>
    <row r="575" spans="3:5" x14ac:dyDescent="0.3">
      <c r="C575" s="869" t="s">
        <v>465</v>
      </c>
      <c r="D575" s="133"/>
      <c r="E575" s="115"/>
    </row>
    <row r="576" spans="3:5" x14ac:dyDescent="0.3">
      <c r="C576" s="869" t="s">
        <v>389</v>
      </c>
      <c r="D576" s="133">
        <f>24461.1246308/100</f>
        <v>244.61124630800001</v>
      </c>
      <c r="E576" s="2566">
        <f>35941/100</f>
        <v>359.41</v>
      </c>
    </row>
    <row r="577" spans="3:5" x14ac:dyDescent="0.3">
      <c r="C577" s="22" t="s">
        <v>394</v>
      </c>
      <c r="D577" s="133"/>
      <c r="E577" s="115"/>
    </row>
    <row r="578" spans="3:5" x14ac:dyDescent="0.3">
      <c r="C578" s="22" t="s">
        <v>395</v>
      </c>
      <c r="D578" s="133"/>
      <c r="E578" s="115"/>
    </row>
    <row r="579" spans="3:5" x14ac:dyDescent="0.3">
      <c r="C579" s="869" t="s">
        <v>476</v>
      </c>
      <c r="E579" s="1088">
        <v>0</v>
      </c>
    </row>
    <row r="580" spans="3:5" x14ac:dyDescent="0.3">
      <c r="C580" s="22" t="s">
        <v>170</v>
      </c>
      <c r="D580" s="133">
        <v>740.77372054400007</v>
      </c>
      <c r="E580" s="115"/>
    </row>
    <row r="581" spans="3:5" x14ac:dyDescent="0.3">
      <c r="C581" s="22" t="s">
        <v>391</v>
      </c>
      <c r="D581" s="2536">
        <f>+SUM(D573:D580)</f>
        <v>1611.8391380520002</v>
      </c>
      <c r="E581" s="949">
        <f>+SUM(E573:E580)</f>
        <v>359.41</v>
      </c>
    </row>
    <row r="582" spans="3:5" x14ac:dyDescent="0.3">
      <c r="C582" s="22"/>
      <c r="D582" s="132"/>
      <c r="E582" s="948"/>
    </row>
    <row r="583" spans="3:5" x14ac:dyDescent="0.3">
      <c r="C583" s="22"/>
      <c r="D583" s="132"/>
      <c r="E583" s="115"/>
    </row>
    <row r="584" spans="3:5" x14ac:dyDescent="0.3">
      <c r="C584" s="953" t="s">
        <v>3815</v>
      </c>
      <c r="D584" s="947">
        <f>+D581+D570</f>
        <v>1611.8391380520002</v>
      </c>
      <c r="E584" s="946">
        <f>+E581+E570</f>
        <v>359.41</v>
      </c>
    </row>
    <row r="585" spans="3:5" x14ac:dyDescent="0.3">
      <c r="C585" s="270"/>
      <c r="D585" s="952"/>
      <c r="E585" s="948"/>
    </row>
    <row r="586" spans="3:5" ht="17.25" thickBot="1" x14ac:dyDescent="0.35">
      <c r="C586" s="2966" t="s">
        <v>3816</v>
      </c>
      <c r="D586" s="3074"/>
      <c r="E586" s="3075"/>
    </row>
    <row r="587" spans="3:5" x14ac:dyDescent="0.3">
      <c r="C587" s="18"/>
      <c r="D587" s="18"/>
      <c r="E587" s="18"/>
    </row>
    <row r="588" spans="3:5" x14ac:dyDescent="0.3">
      <c r="C588" s="18"/>
      <c r="D588" s="18"/>
      <c r="E588" s="18"/>
    </row>
    <row r="589" spans="3:5" x14ac:dyDescent="0.3">
      <c r="C589" s="101" t="str">
        <f>+"Note " &amp;MID('Disclosures under AS'!C191,6,2)+1&amp; " : Discontinuing operations (AS 24)"</f>
        <v>Note 22 : Discontinuing operations (AS 24)</v>
      </c>
      <c r="D589" s="18"/>
      <c r="E589" s="18"/>
    </row>
    <row r="590" spans="3:5" x14ac:dyDescent="0.3">
      <c r="C590" s="18"/>
      <c r="D590" s="18"/>
      <c r="E590" s="18"/>
    </row>
    <row r="591" spans="3:5" x14ac:dyDescent="0.3">
      <c r="C591" s="2962" t="s">
        <v>819</v>
      </c>
      <c r="D591" s="2962"/>
      <c r="E591" s="2962"/>
    </row>
    <row r="592" spans="3:5" x14ac:dyDescent="0.3">
      <c r="C592" s="820"/>
      <c r="D592" s="820"/>
      <c r="E592" s="820"/>
    </row>
    <row r="593" spans="3:5" x14ac:dyDescent="0.3">
      <c r="C593" s="851" t="s">
        <v>20</v>
      </c>
      <c r="D593" s="314" t="str">
        <f>BSCY</f>
        <v>As At 31st March 2025</v>
      </c>
      <c r="E593" s="823" t="str">
        <f>BSPY</f>
        <v>As At 31st March 2024</v>
      </c>
    </row>
    <row r="594" spans="3:5" x14ac:dyDescent="0.3">
      <c r="C594" s="122" t="s">
        <v>396</v>
      </c>
      <c r="D594" s="95"/>
      <c r="E594" s="95"/>
    </row>
    <row r="595" spans="3:5" x14ac:dyDescent="0.3">
      <c r="C595" s="122"/>
      <c r="D595" s="24"/>
      <c r="E595" s="309"/>
    </row>
    <row r="596" spans="3:5" x14ac:dyDescent="0.3">
      <c r="C596" s="107" t="s">
        <v>523</v>
      </c>
      <c r="D596" s="24"/>
      <c r="E596" s="24"/>
    </row>
    <row r="597" spans="3:5" x14ac:dyDescent="0.3">
      <c r="C597" s="107" t="s">
        <v>524</v>
      </c>
      <c r="D597" s="24"/>
      <c r="E597" s="24"/>
    </row>
    <row r="598" spans="3:5" x14ac:dyDescent="0.3">
      <c r="C598" s="107" t="s">
        <v>525</v>
      </c>
      <c r="D598" s="25"/>
      <c r="E598" s="25"/>
    </row>
    <row r="599" spans="3:5" x14ac:dyDescent="0.3">
      <c r="C599" s="119" t="s">
        <v>526</v>
      </c>
      <c r="D599" s="108"/>
      <c r="E599" s="108"/>
    </row>
    <row r="600" spans="3:5" x14ac:dyDescent="0.3">
      <c r="C600" s="107"/>
      <c r="D600" s="107"/>
      <c r="E600" s="106"/>
    </row>
    <row r="601" spans="3:5" x14ac:dyDescent="0.3">
      <c r="C601" s="123" t="s">
        <v>397</v>
      </c>
      <c r="D601" s="107"/>
      <c r="E601" s="106"/>
    </row>
    <row r="602" spans="3:5" x14ac:dyDescent="0.3">
      <c r="C602" s="123" t="s">
        <v>398</v>
      </c>
      <c r="D602" s="107"/>
      <c r="E602" s="106"/>
    </row>
    <row r="603" spans="3:5" x14ac:dyDescent="0.3">
      <c r="C603" s="822" t="s">
        <v>456</v>
      </c>
      <c r="D603" s="107"/>
      <c r="E603" s="106"/>
    </row>
    <row r="604" spans="3:5" x14ac:dyDescent="0.3">
      <c r="C604" s="123" t="s">
        <v>399</v>
      </c>
      <c r="D604" s="107"/>
      <c r="E604" s="106"/>
    </row>
    <row r="605" spans="3:5" x14ac:dyDescent="0.3">
      <c r="C605" s="123" t="s">
        <v>36</v>
      </c>
      <c r="D605" s="107"/>
      <c r="E605" s="106"/>
    </row>
    <row r="606" spans="3:5" x14ac:dyDescent="0.3">
      <c r="C606" s="123" t="s">
        <v>37</v>
      </c>
      <c r="D606" s="107"/>
      <c r="E606" s="106"/>
    </row>
    <row r="607" spans="3:5" x14ac:dyDescent="0.3">
      <c r="C607" s="123" t="s">
        <v>400</v>
      </c>
      <c r="D607" s="124"/>
      <c r="E607" s="108"/>
    </row>
    <row r="608" spans="3:5" x14ac:dyDescent="0.3">
      <c r="C608" s="119" t="s">
        <v>527</v>
      </c>
      <c r="D608" s="125"/>
      <c r="E608" s="125"/>
    </row>
    <row r="609" spans="3:5" x14ac:dyDescent="0.3">
      <c r="C609" s="107"/>
      <c r="D609" s="106"/>
      <c r="E609" s="106"/>
    </row>
    <row r="610" spans="3:5" x14ac:dyDescent="0.3">
      <c r="C610" s="107" t="s">
        <v>401</v>
      </c>
      <c r="D610" s="126">
        <v>0</v>
      </c>
      <c r="E610" s="126">
        <v>0</v>
      </c>
    </row>
    <row r="611" spans="3:5" x14ac:dyDescent="0.3">
      <c r="C611" s="127" t="s">
        <v>672</v>
      </c>
      <c r="D611" s="103">
        <v>0</v>
      </c>
      <c r="E611" s="103">
        <v>0</v>
      </c>
    </row>
    <row r="612" spans="3:5" x14ac:dyDescent="0.3">
      <c r="C612" s="127"/>
      <c r="D612" s="126"/>
      <c r="E612" s="126"/>
    </row>
    <row r="613" spans="3:5" x14ac:dyDescent="0.3">
      <c r="C613" s="107" t="s">
        <v>343</v>
      </c>
      <c r="D613" s="126"/>
      <c r="E613" s="126"/>
    </row>
    <row r="614" spans="3:5" x14ac:dyDescent="0.3">
      <c r="C614" s="821" t="s">
        <v>402</v>
      </c>
      <c r="D614" s="126">
        <v>0</v>
      </c>
      <c r="E614" s="126">
        <v>0</v>
      </c>
    </row>
    <row r="615" spans="3:5" x14ac:dyDescent="0.3">
      <c r="C615" s="821" t="s">
        <v>673</v>
      </c>
      <c r="D615" s="103">
        <v>0</v>
      </c>
      <c r="E615" s="103">
        <v>0</v>
      </c>
    </row>
    <row r="616" spans="3:5" x14ac:dyDescent="0.3">
      <c r="C616" s="128"/>
      <c r="D616" s="129"/>
      <c r="E616" s="129"/>
    </row>
    <row r="617" spans="3:5" x14ac:dyDescent="0.3">
      <c r="C617" s="128"/>
      <c r="D617" s="126"/>
      <c r="E617" s="126"/>
    </row>
    <row r="618" spans="3:5" x14ac:dyDescent="0.3">
      <c r="C618" s="128"/>
      <c r="D618" s="126"/>
      <c r="E618" s="103"/>
    </row>
    <row r="619" spans="3:5" x14ac:dyDescent="0.3">
      <c r="C619" s="128"/>
      <c r="D619" s="129"/>
      <c r="E619" s="129"/>
    </row>
    <row r="620" spans="3:5" x14ac:dyDescent="0.3">
      <c r="C620" s="119" t="s">
        <v>403</v>
      </c>
      <c r="D620" s="103"/>
      <c r="E620" s="103"/>
    </row>
    <row r="621" spans="3:5" x14ac:dyDescent="0.3">
      <c r="C621" s="107"/>
      <c r="D621" s="104"/>
      <c r="E621" s="156"/>
    </row>
    <row r="622" spans="3:5" x14ac:dyDescent="0.3">
      <c r="C622" s="130" t="s">
        <v>686</v>
      </c>
      <c r="D622" s="106"/>
      <c r="E622" s="106"/>
    </row>
    <row r="623" spans="3:5" x14ac:dyDescent="0.3">
      <c r="C623" s="130" t="s">
        <v>687</v>
      </c>
      <c r="D623" s="106"/>
      <c r="E623" s="106"/>
    </row>
    <row r="624" spans="3:5" x14ac:dyDescent="0.3">
      <c r="C624" s="130"/>
      <c r="D624" s="106"/>
      <c r="E624" s="106"/>
    </row>
    <row r="625" spans="3:9" x14ac:dyDescent="0.3">
      <c r="C625" s="107" t="s">
        <v>404</v>
      </c>
      <c r="D625" s="106"/>
      <c r="E625" s="106"/>
    </row>
    <row r="626" spans="3:9" x14ac:dyDescent="0.3">
      <c r="C626" s="107" t="s">
        <v>405</v>
      </c>
      <c r="D626" s="106"/>
      <c r="E626" s="106"/>
    </row>
    <row r="627" spans="3:9" x14ac:dyDescent="0.3">
      <c r="C627" s="107" t="s">
        <v>406</v>
      </c>
      <c r="D627" s="106"/>
      <c r="E627" s="106"/>
    </row>
    <row r="628" spans="3:9" x14ac:dyDescent="0.3">
      <c r="C628" s="124" t="s">
        <v>407</v>
      </c>
      <c r="D628" s="108"/>
      <c r="E628" s="108"/>
    </row>
    <row r="629" spans="3:9" x14ac:dyDescent="0.3">
      <c r="C629" s="18"/>
      <c r="D629" s="18"/>
      <c r="E629" s="18"/>
    </row>
    <row r="630" spans="3:9" x14ac:dyDescent="0.3">
      <c r="C630" s="958"/>
      <c r="D630" s="1063"/>
      <c r="E630" s="1063"/>
      <c r="F630" s="1063"/>
      <c r="G630" s="1063"/>
      <c r="H630" s="1063"/>
      <c r="I630" s="959"/>
    </row>
    <row r="631" spans="3:9" x14ac:dyDescent="0.3">
      <c r="C631" s="960"/>
      <c r="D631" s="113"/>
      <c r="E631" s="113"/>
      <c r="F631" s="113"/>
      <c r="G631" s="113"/>
      <c r="H631" s="113"/>
      <c r="I631" s="135"/>
    </row>
    <row r="632" spans="3:9" x14ac:dyDescent="0.3">
      <c r="C632" s="960"/>
      <c r="D632" s="113"/>
      <c r="E632" s="113"/>
      <c r="F632" s="113"/>
      <c r="G632" s="113"/>
      <c r="H632" s="113"/>
      <c r="I632" s="135"/>
    </row>
    <row r="633" spans="3:9" x14ac:dyDescent="0.3">
      <c r="C633" s="960"/>
      <c r="D633" s="113"/>
      <c r="E633" s="113"/>
      <c r="F633" s="113"/>
      <c r="G633" s="113"/>
      <c r="H633" s="113"/>
      <c r="I633" s="135"/>
    </row>
    <row r="634" spans="3:9" x14ac:dyDescent="0.3">
      <c r="C634" s="960"/>
      <c r="D634" s="113"/>
      <c r="E634" s="113"/>
      <c r="F634" s="113"/>
      <c r="G634" s="113"/>
      <c r="H634" s="113"/>
      <c r="I634" s="135"/>
    </row>
    <row r="635" spans="3:9" x14ac:dyDescent="0.3">
      <c r="C635" s="960"/>
      <c r="D635" s="113"/>
      <c r="E635" s="113"/>
      <c r="F635" s="113"/>
      <c r="G635" s="113"/>
      <c r="H635" s="113"/>
      <c r="I635" s="135"/>
    </row>
    <row r="636" spans="3:9" x14ac:dyDescent="0.3">
      <c r="C636" s="960"/>
      <c r="D636" s="113"/>
      <c r="E636" s="113"/>
      <c r="F636" s="113"/>
      <c r="G636" s="113"/>
      <c r="H636" s="113"/>
      <c r="I636" s="135"/>
    </row>
    <row r="637" spans="3:9" x14ac:dyDescent="0.3">
      <c r="C637" s="960"/>
      <c r="D637" s="113"/>
      <c r="E637" s="113"/>
      <c r="F637" s="113"/>
      <c r="G637" s="113"/>
      <c r="H637" s="113"/>
      <c r="I637" s="135"/>
    </row>
    <row r="638" spans="3:9" x14ac:dyDescent="0.3">
      <c r="C638" s="960"/>
      <c r="D638" s="113"/>
      <c r="E638" s="113"/>
      <c r="F638" s="113"/>
      <c r="G638" s="113"/>
      <c r="H638" s="113"/>
      <c r="I638" s="135"/>
    </row>
    <row r="639" spans="3:9" x14ac:dyDescent="0.3">
      <c r="C639" s="960"/>
      <c r="D639" s="113"/>
      <c r="E639" s="113"/>
      <c r="F639" s="113"/>
      <c r="G639" s="113"/>
      <c r="H639" s="113"/>
      <c r="I639" s="135"/>
    </row>
    <row r="640" spans="3:9" x14ac:dyDescent="0.3">
      <c r="C640" s="960"/>
      <c r="D640" s="113"/>
      <c r="E640" s="113"/>
      <c r="F640" s="113"/>
      <c r="G640" s="113"/>
      <c r="H640" s="113"/>
      <c r="I640" s="135"/>
    </row>
    <row r="641" spans="3:9" x14ac:dyDescent="0.3">
      <c r="C641" s="1064"/>
      <c r="D641" s="1065"/>
      <c r="E641" s="1065"/>
      <c r="F641" s="1065"/>
      <c r="G641" s="1065"/>
      <c r="H641" s="1065"/>
      <c r="I641" s="144"/>
    </row>
    <row r="642" spans="3:9" x14ac:dyDescent="0.3">
      <c r="C642" s="18"/>
      <c r="D642" s="18"/>
      <c r="E642" s="18"/>
    </row>
    <row r="643" spans="3:9" x14ac:dyDescent="0.3">
      <c r="C643" s="18"/>
      <c r="D643" s="18"/>
      <c r="E643" s="18"/>
    </row>
    <row r="644" spans="3:9" x14ac:dyDescent="0.3">
      <c r="C644" s="18"/>
      <c r="D644" s="18"/>
      <c r="E644" s="18"/>
    </row>
    <row r="645" spans="3:9" x14ac:dyDescent="0.3">
      <c r="C645" s="101" t="s">
        <v>1748</v>
      </c>
      <c r="D645" s="18"/>
      <c r="E645" s="18"/>
    </row>
    <row r="646" spans="3:9" x14ac:dyDescent="0.3">
      <c r="C646" s="18"/>
      <c r="D646" s="18"/>
      <c r="E646" s="18"/>
    </row>
    <row r="647" spans="3:9" x14ac:dyDescent="0.3">
      <c r="C647" s="851" t="s">
        <v>20</v>
      </c>
      <c r="D647" s="314" t="str">
        <f>BSCY</f>
        <v>As At 31st March 2025</v>
      </c>
      <c r="E647" s="823" t="str">
        <f>BSPY</f>
        <v>As At 31st March 2024</v>
      </c>
    </row>
    <row r="648" spans="3:9" x14ac:dyDescent="0.3">
      <c r="C648" s="116" t="s">
        <v>282</v>
      </c>
      <c r="D648" s="106"/>
      <c r="E648" s="139"/>
    </row>
    <row r="649" spans="3:9" x14ac:dyDescent="0.3">
      <c r="C649" s="116" t="s">
        <v>399</v>
      </c>
      <c r="D649" s="106"/>
      <c r="E649" s="139"/>
    </row>
    <row r="650" spans="3:9" x14ac:dyDescent="0.3">
      <c r="C650" s="116" t="s">
        <v>283</v>
      </c>
      <c r="D650" s="106"/>
      <c r="E650" s="139"/>
    </row>
    <row r="651" spans="3:9" x14ac:dyDescent="0.3">
      <c r="C651" s="116" t="s">
        <v>284</v>
      </c>
      <c r="D651" s="106"/>
      <c r="E651" s="139"/>
    </row>
    <row r="652" spans="3:9" x14ac:dyDescent="0.3">
      <c r="C652" s="116" t="s">
        <v>663</v>
      </c>
      <c r="D652" s="106"/>
      <c r="E652" s="139"/>
    </row>
    <row r="653" spans="3:9" x14ac:dyDescent="0.3">
      <c r="C653" s="116" t="s">
        <v>285</v>
      </c>
      <c r="D653" s="106"/>
      <c r="E653" s="139"/>
    </row>
    <row r="654" spans="3:9" x14ac:dyDescent="0.3">
      <c r="C654" s="116" t="s">
        <v>286</v>
      </c>
      <c r="D654" s="106"/>
      <c r="E654" s="139"/>
    </row>
    <row r="655" spans="3:9" x14ac:dyDescent="0.3">
      <c r="C655" s="116" t="s">
        <v>37</v>
      </c>
      <c r="D655" s="106"/>
      <c r="E655" s="139"/>
    </row>
    <row r="656" spans="3:9" x14ac:dyDescent="0.3">
      <c r="C656" s="216" t="s">
        <v>170</v>
      </c>
      <c r="D656" s="108"/>
      <c r="E656" s="143"/>
    </row>
    <row r="657" spans="3:9" x14ac:dyDescent="0.3">
      <c r="C657" s="3"/>
      <c r="D657" s="18"/>
      <c r="E657" s="18"/>
    </row>
    <row r="658" spans="3:9" x14ac:dyDescent="0.3">
      <c r="C658" s="530"/>
      <c r="D658" s="532"/>
      <c r="E658" s="532"/>
      <c r="F658" s="532"/>
      <c r="G658" s="532"/>
      <c r="H658" s="532"/>
      <c r="I658" s="531"/>
    </row>
    <row r="659" spans="3:9" x14ac:dyDescent="0.3">
      <c r="C659" s="1071"/>
      <c r="D659" s="146"/>
      <c r="E659" s="146"/>
      <c r="F659" s="146"/>
      <c r="G659" s="146"/>
      <c r="H659" s="146"/>
      <c r="I659" s="1078"/>
    </row>
    <row r="660" spans="3:9" x14ac:dyDescent="0.3">
      <c r="C660" s="1071"/>
      <c r="D660" s="146"/>
      <c r="E660" s="146"/>
      <c r="F660" s="146"/>
      <c r="G660" s="146"/>
      <c r="H660" s="146"/>
      <c r="I660" s="1078"/>
    </row>
    <row r="661" spans="3:9" x14ac:dyDescent="0.3">
      <c r="C661" s="1071"/>
      <c r="D661" s="146"/>
      <c r="E661" s="146"/>
      <c r="F661" s="146"/>
      <c r="G661" s="146"/>
      <c r="H661" s="146"/>
      <c r="I661" s="1078"/>
    </row>
    <row r="662" spans="3:9" x14ac:dyDescent="0.3">
      <c r="C662" s="1071"/>
      <c r="D662" s="146"/>
      <c r="E662" s="146"/>
      <c r="F662" s="146"/>
      <c r="G662" s="146"/>
      <c r="H662" s="146"/>
      <c r="I662" s="1078"/>
    </row>
    <row r="663" spans="3:9" x14ac:dyDescent="0.3">
      <c r="C663" s="1071"/>
      <c r="D663" s="146"/>
      <c r="E663" s="146"/>
      <c r="F663" s="146"/>
      <c r="G663" s="146"/>
      <c r="H663" s="146"/>
      <c r="I663" s="1078"/>
    </row>
    <row r="664" spans="3:9" x14ac:dyDescent="0.3">
      <c r="C664" s="1071"/>
      <c r="D664" s="146"/>
      <c r="E664" s="146"/>
      <c r="F664" s="146"/>
      <c r="G664" s="146"/>
      <c r="H664" s="146"/>
      <c r="I664" s="1078"/>
    </row>
    <row r="665" spans="3:9" x14ac:dyDescent="0.3">
      <c r="C665" s="1071"/>
      <c r="D665" s="146"/>
      <c r="E665" s="146"/>
      <c r="F665" s="146"/>
      <c r="G665" s="146"/>
      <c r="H665" s="146"/>
      <c r="I665" s="1078"/>
    </row>
    <row r="666" spans="3:9" x14ac:dyDescent="0.3">
      <c r="C666" s="1071"/>
      <c r="D666" s="146"/>
      <c r="E666" s="146"/>
      <c r="F666" s="146"/>
      <c r="G666" s="146"/>
      <c r="H666" s="146"/>
      <c r="I666" s="1078"/>
    </row>
    <row r="667" spans="3:9" x14ac:dyDescent="0.3">
      <c r="C667" s="1071"/>
      <c r="D667" s="146"/>
      <c r="E667" s="146"/>
      <c r="F667" s="146"/>
      <c r="G667" s="146"/>
      <c r="H667" s="146"/>
      <c r="I667" s="1078"/>
    </row>
    <row r="668" spans="3:9" x14ac:dyDescent="0.3">
      <c r="C668" s="1071"/>
      <c r="D668" s="146"/>
      <c r="E668" s="146"/>
      <c r="F668" s="146"/>
      <c r="G668" s="146"/>
      <c r="H668" s="146"/>
      <c r="I668" s="1078"/>
    </row>
    <row r="669" spans="3:9" x14ac:dyDescent="0.3">
      <c r="C669" s="1072"/>
      <c r="D669" s="1079"/>
      <c r="E669" s="1079"/>
      <c r="F669" s="1079"/>
      <c r="G669" s="1079"/>
      <c r="H669" s="1079"/>
      <c r="I669" s="1080"/>
    </row>
    <row r="670" spans="3:9" x14ac:dyDescent="0.3">
      <c r="C670" s="3"/>
      <c r="D670" s="18"/>
      <c r="E670" s="18"/>
    </row>
    <row r="672" spans="3:9" x14ac:dyDescent="0.3">
      <c r="C672" s="4" t="s">
        <v>1872</v>
      </c>
    </row>
    <row r="674" spans="3:11" ht="17.25" thickBot="1" x14ac:dyDescent="0.35"/>
    <row r="675" spans="3:11" x14ac:dyDescent="0.3">
      <c r="C675" s="2918" t="s">
        <v>20</v>
      </c>
      <c r="D675" s="2919"/>
      <c r="E675" s="2919"/>
      <c r="F675" s="2919"/>
      <c r="G675" s="2919"/>
      <c r="H675" s="2919"/>
      <c r="I675" s="2919"/>
      <c r="J675" s="2919"/>
      <c r="K675" s="2920"/>
    </row>
    <row r="676" spans="3:11" ht="17.25" thickBot="1" x14ac:dyDescent="0.35">
      <c r="C676" s="3038"/>
      <c r="D676" s="3039"/>
      <c r="E676" s="3039"/>
      <c r="F676" s="3039"/>
      <c r="G676" s="3039"/>
      <c r="H676" s="3039"/>
      <c r="I676" s="3039"/>
      <c r="J676" s="3039"/>
      <c r="K676" s="3040"/>
    </row>
    <row r="677" spans="3:11" x14ac:dyDescent="0.3">
      <c r="C677" s="865" t="s">
        <v>408</v>
      </c>
      <c r="D677" s="101"/>
      <c r="E677" s="18"/>
      <c r="F677" s="18"/>
      <c r="G677" s="18"/>
      <c r="H677" s="18"/>
      <c r="I677" s="18"/>
      <c r="J677" s="18"/>
      <c r="K677" s="87"/>
    </row>
    <row r="678" spans="3:11" x14ac:dyDescent="0.3">
      <c r="C678" s="3079" t="s">
        <v>636</v>
      </c>
      <c r="D678" s="2959"/>
      <c r="E678" s="2959"/>
      <c r="F678" s="2959"/>
      <c r="G678" s="2959"/>
      <c r="H678" s="2959"/>
      <c r="I678" s="2959"/>
      <c r="J678" s="2959"/>
      <c r="K678" s="87"/>
    </row>
    <row r="679" spans="3:11" x14ac:dyDescent="0.3">
      <c r="C679" s="867" t="s">
        <v>667</v>
      </c>
      <c r="D679" s="18"/>
      <c r="E679" s="18"/>
      <c r="F679" s="18"/>
      <c r="G679" s="18"/>
      <c r="H679" s="18"/>
      <c r="I679" s="18"/>
      <c r="J679" s="102"/>
      <c r="K679" s="87"/>
    </row>
    <row r="680" spans="3:11" x14ac:dyDescent="0.3">
      <c r="C680" s="867"/>
      <c r="D680" s="18"/>
      <c r="E680" s="18"/>
      <c r="F680" s="18"/>
      <c r="G680" s="18"/>
      <c r="H680" s="102"/>
      <c r="I680" s="18"/>
      <c r="J680" s="102"/>
      <c r="K680" s="87"/>
    </row>
    <row r="681" spans="3:11" x14ac:dyDescent="0.3">
      <c r="C681" s="3013" t="s">
        <v>637</v>
      </c>
      <c r="D681" s="3015" t="s">
        <v>610</v>
      </c>
      <c r="E681" s="3018" t="str">
        <f>"Amount of interest based on accounts for the year ended 31 March,"&amp;" "&amp;'Master Data'!C559</f>
        <v xml:space="preserve">Amount of interest based on accounts for the year ended 31 March, </v>
      </c>
      <c r="F681" s="3019"/>
      <c r="G681" s="3019"/>
      <c r="H681" s="3020"/>
      <c r="I681" s="18"/>
      <c r="J681" s="18"/>
      <c r="K681" s="87"/>
    </row>
    <row r="682" spans="3:11" x14ac:dyDescent="0.3">
      <c r="C682" s="3014"/>
      <c r="D682" s="3016"/>
      <c r="E682" s="3021" t="s">
        <v>241</v>
      </c>
      <c r="F682" s="3022"/>
      <c r="G682" s="3021" t="s">
        <v>593</v>
      </c>
      <c r="H682" s="3022"/>
      <c r="I682" s="18"/>
      <c r="J682" s="18"/>
      <c r="K682" s="87"/>
    </row>
    <row r="683" spans="3:11" x14ac:dyDescent="0.3">
      <c r="C683" s="872"/>
      <c r="D683" s="105"/>
      <c r="E683" s="3077"/>
      <c r="F683" s="3078"/>
      <c r="G683" s="3077"/>
      <c r="H683" s="3078"/>
      <c r="I683" s="18"/>
      <c r="J683" s="18"/>
      <c r="K683" s="87"/>
    </row>
    <row r="684" spans="3:11" x14ac:dyDescent="0.3">
      <c r="C684" s="88"/>
      <c r="D684" s="105"/>
      <c r="E684" s="3011"/>
      <c r="F684" s="3012"/>
      <c r="G684" s="3011"/>
      <c r="H684" s="3012"/>
      <c r="I684" s="18"/>
      <c r="J684" s="18"/>
      <c r="K684" s="87"/>
    </row>
    <row r="685" spans="3:11" x14ac:dyDescent="0.3">
      <c r="C685" s="88"/>
      <c r="D685" s="105"/>
      <c r="E685" s="3011"/>
      <c r="F685" s="3012"/>
      <c r="G685" s="3011"/>
      <c r="H685" s="3012"/>
      <c r="I685" s="18"/>
      <c r="J685" s="18"/>
      <c r="K685" s="87"/>
    </row>
    <row r="686" spans="3:11" x14ac:dyDescent="0.3">
      <c r="C686" s="88"/>
      <c r="D686" s="105"/>
      <c r="E686" s="3011"/>
      <c r="F686" s="3012"/>
      <c r="G686" s="3011"/>
      <c r="H686" s="3012"/>
      <c r="I686" s="107"/>
      <c r="J686" s="18"/>
      <c r="K686" s="87"/>
    </row>
    <row r="687" spans="3:11" x14ac:dyDescent="0.3">
      <c r="C687" s="876" t="s">
        <v>674</v>
      </c>
      <c r="D687" s="86"/>
      <c r="E687" s="86"/>
      <c r="F687" s="86"/>
      <c r="G687" s="86"/>
      <c r="H687" s="86"/>
      <c r="I687" s="18"/>
      <c r="J687" s="18"/>
      <c r="K687" s="87"/>
    </row>
    <row r="688" spans="3:11" x14ac:dyDescent="0.3">
      <c r="C688" s="867"/>
      <c r="D688" s="18"/>
      <c r="E688" s="18"/>
      <c r="F688" s="18"/>
      <c r="G688" s="18"/>
      <c r="H688" s="18"/>
      <c r="I688" s="18"/>
      <c r="J688" s="18"/>
      <c r="K688" s="87"/>
    </row>
    <row r="689" spans="3:11" x14ac:dyDescent="0.3">
      <c r="C689" s="867" t="s">
        <v>609</v>
      </c>
      <c r="D689" s="18"/>
      <c r="E689" s="18"/>
      <c r="F689" s="18"/>
      <c r="G689" s="18"/>
      <c r="H689" s="18"/>
      <c r="I689" s="18"/>
      <c r="J689" s="18"/>
      <c r="K689" s="87"/>
    </row>
    <row r="690" spans="3:11" x14ac:dyDescent="0.3">
      <c r="C690" s="867"/>
      <c r="D690" s="18"/>
      <c r="E690" s="18"/>
      <c r="F690" s="18"/>
      <c r="G690" s="18"/>
      <c r="H690" s="18"/>
      <c r="I690" s="18"/>
      <c r="J690" s="102" t="s">
        <v>1</v>
      </c>
      <c r="K690" s="87"/>
    </row>
    <row r="691" spans="3:11" x14ac:dyDescent="0.3">
      <c r="C691" s="3013" t="s">
        <v>637</v>
      </c>
      <c r="D691" s="3015" t="s">
        <v>961</v>
      </c>
      <c r="E691" s="3017" t="str">
        <f>"Amount of interest based on accounts for the year ended 31 March,"&amp;" "&amp;'Master Data'!C560</f>
        <v xml:space="preserve">Amount of interest based on accounts for the year ended 31 March, </v>
      </c>
      <c r="F691" s="3017"/>
      <c r="G691" s="3017"/>
      <c r="H691" s="3017"/>
      <c r="I691" s="3017"/>
      <c r="J691" s="3017"/>
      <c r="K691" s="87"/>
    </row>
    <row r="692" spans="3:11" x14ac:dyDescent="0.3">
      <c r="C692" s="3014"/>
      <c r="D692" s="3016"/>
      <c r="E692" s="880" t="s">
        <v>409</v>
      </c>
      <c r="F692" s="880" t="s">
        <v>410</v>
      </c>
      <c r="G692" s="880" t="s">
        <v>411</v>
      </c>
      <c r="H692" s="880" t="s">
        <v>412</v>
      </c>
      <c r="I692" s="868" t="s">
        <v>241</v>
      </c>
      <c r="J692" s="868" t="s">
        <v>593</v>
      </c>
      <c r="K692" s="87"/>
    </row>
    <row r="693" spans="3:11" x14ac:dyDescent="0.3">
      <c r="C693" s="88"/>
      <c r="D693" s="105"/>
      <c r="E693" s="105"/>
      <c r="F693" s="105"/>
      <c r="G693" s="105"/>
      <c r="H693" s="105"/>
      <c r="I693" s="105"/>
      <c r="J693" s="105"/>
      <c r="K693" s="87"/>
    </row>
    <row r="694" spans="3:11" x14ac:dyDescent="0.3">
      <c r="C694" s="88"/>
      <c r="D694" s="105"/>
      <c r="E694" s="105"/>
      <c r="F694" s="105"/>
      <c r="G694" s="105"/>
      <c r="H694" s="105"/>
      <c r="I694" s="105"/>
      <c r="J694" s="105"/>
      <c r="K694" s="87"/>
    </row>
    <row r="695" spans="3:11" x14ac:dyDescent="0.3">
      <c r="C695" s="88"/>
      <c r="D695" s="105"/>
      <c r="E695" s="105"/>
      <c r="F695" s="105"/>
      <c r="G695" s="105"/>
      <c r="H695" s="105"/>
      <c r="I695" s="105"/>
      <c r="J695" s="105"/>
      <c r="K695" s="87"/>
    </row>
    <row r="696" spans="3:11" x14ac:dyDescent="0.3">
      <c r="C696" s="99"/>
      <c r="D696" s="109"/>
      <c r="E696" s="109"/>
      <c r="F696" s="109"/>
      <c r="G696" s="109"/>
      <c r="H696" s="109"/>
      <c r="I696" s="109"/>
      <c r="J696" s="109"/>
      <c r="K696" s="87"/>
    </row>
    <row r="697" spans="3:11" ht="17.25" thickBot="1" x14ac:dyDescent="0.35">
      <c r="C697" s="1092" t="s">
        <v>674</v>
      </c>
      <c r="D697" s="1093"/>
      <c r="E697" s="1093"/>
      <c r="F697" s="1093"/>
      <c r="G697" s="1093"/>
      <c r="H697" s="1093"/>
      <c r="I697" s="1093"/>
      <c r="J697" s="111"/>
      <c r="K697" s="112"/>
    </row>
    <row r="700" spans="3:11" x14ac:dyDescent="0.3">
      <c r="C700" s="4" t="s">
        <v>1874</v>
      </c>
    </row>
    <row r="701" spans="3:11" ht="17.25" thickBot="1" x14ac:dyDescent="0.35"/>
    <row r="702" spans="3:11" x14ac:dyDescent="0.3">
      <c r="C702" s="3023" t="s">
        <v>20</v>
      </c>
      <c r="D702" s="3024"/>
      <c r="E702" s="3024"/>
      <c r="F702" s="3024"/>
      <c r="G702" s="3024"/>
      <c r="H702" s="3024"/>
      <c r="I702" s="3024"/>
      <c r="J702" s="3025"/>
    </row>
    <row r="703" spans="3:11" ht="17.25" thickBot="1" x14ac:dyDescent="0.35">
      <c r="C703" s="3026"/>
      <c r="D703" s="3027"/>
      <c r="E703" s="3027"/>
      <c r="F703" s="3027"/>
      <c r="G703" s="3027"/>
      <c r="H703" s="3027"/>
      <c r="I703" s="3027"/>
      <c r="J703" s="3028"/>
    </row>
    <row r="704" spans="3:11" x14ac:dyDescent="0.3">
      <c r="C704" s="883" t="s">
        <v>594</v>
      </c>
      <c r="D704" s="102"/>
      <c r="E704" s="102"/>
      <c r="F704" s="18"/>
      <c r="G704" s="18"/>
      <c r="H704" s="18"/>
      <c r="I704" s="18"/>
      <c r="J704" s="87"/>
    </row>
    <row r="705" spans="3:10" ht="17.25" thickBot="1" x14ac:dyDescent="0.35">
      <c r="C705" s="3029" t="s">
        <v>595</v>
      </c>
      <c r="D705" s="2942"/>
      <c r="E705" s="2942"/>
      <c r="F705" s="2942"/>
      <c r="G705" s="2942"/>
      <c r="H705" s="2942"/>
      <c r="I705" s="2942"/>
      <c r="J705" s="87"/>
    </row>
    <row r="706" spans="3:10" ht="45.75" thickBot="1" x14ac:dyDescent="0.35">
      <c r="C706" s="884" t="s">
        <v>20</v>
      </c>
      <c r="D706" s="885" t="str">
        <f>"As at 
1 April,"&amp;" "&amp;'Master Data'!C587</f>
        <v xml:space="preserve">As at 
1 April, </v>
      </c>
      <c r="E706" s="885" t="s">
        <v>182</v>
      </c>
      <c r="F706" s="885" t="s">
        <v>413</v>
      </c>
      <c r="G706" s="885" t="s">
        <v>414</v>
      </c>
      <c r="H706" s="885" t="s">
        <v>1973</v>
      </c>
      <c r="I706" s="886" t="str">
        <f>BSPY</f>
        <v>As At 31st March 2024</v>
      </c>
      <c r="J706" s="87"/>
    </row>
    <row r="707" spans="3:10" x14ac:dyDescent="0.3">
      <c r="C707" s="3008" t="s">
        <v>52</v>
      </c>
      <c r="D707" s="90"/>
      <c r="E707" s="90"/>
      <c r="F707" s="90"/>
      <c r="G707" s="90"/>
      <c r="H707" s="90"/>
      <c r="I707" s="90"/>
      <c r="J707" s="87"/>
    </row>
    <row r="708" spans="3:10" x14ac:dyDescent="0.3">
      <c r="C708" s="3008"/>
      <c r="D708" s="91"/>
      <c r="E708" s="91"/>
      <c r="F708" s="91"/>
      <c r="G708" s="91"/>
      <c r="H708" s="91"/>
      <c r="I708" s="91"/>
      <c r="J708" s="87"/>
    </row>
    <row r="709" spans="3:10" x14ac:dyDescent="0.3">
      <c r="C709" s="869"/>
      <c r="D709" s="69"/>
      <c r="E709" s="69"/>
      <c r="F709" s="69"/>
      <c r="G709" s="69"/>
      <c r="H709" s="69"/>
      <c r="I709" s="69"/>
      <c r="J709" s="87"/>
    </row>
    <row r="710" spans="3:10" x14ac:dyDescent="0.3">
      <c r="C710" s="3008" t="s">
        <v>415</v>
      </c>
      <c r="D710" s="90"/>
      <c r="E710" s="90"/>
      <c r="F710" s="90"/>
      <c r="G710" s="90"/>
      <c r="H710" s="90"/>
      <c r="I710" s="90"/>
      <c r="J710" s="87"/>
    </row>
    <row r="711" spans="3:10" x14ac:dyDescent="0.3">
      <c r="C711" s="3008"/>
      <c r="D711" s="91"/>
      <c r="E711" s="91"/>
      <c r="F711" s="91"/>
      <c r="G711" s="91"/>
      <c r="H711" s="91"/>
      <c r="I711" s="91"/>
      <c r="J711" s="87"/>
    </row>
    <row r="712" spans="3:10" x14ac:dyDescent="0.3">
      <c r="C712" s="869"/>
      <c r="D712" s="69"/>
      <c r="E712" s="69"/>
      <c r="F712" s="69"/>
      <c r="G712" s="69"/>
      <c r="H712" s="69"/>
      <c r="I712" s="69"/>
      <c r="J712" s="87"/>
    </row>
    <row r="713" spans="3:10" x14ac:dyDescent="0.3">
      <c r="C713" s="869" t="s">
        <v>416</v>
      </c>
      <c r="D713" s="90"/>
      <c r="E713" s="90"/>
      <c r="F713" s="90"/>
      <c r="G713" s="90"/>
      <c r="H713" s="90"/>
      <c r="I713" s="90"/>
      <c r="J713" s="87"/>
    </row>
    <row r="714" spans="3:10" x14ac:dyDescent="0.3">
      <c r="C714" s="869"/>
      <c r="D714" s="91"/>
      <c r="E714" s="91"/>
      <c r="F714" s="91"/>
      <c r="G714" s="91"/>
      <c r="H714" s="91"/>
      <c r="I714" s="91"/>
      <c r="J714" s="87"/>
    </row>
    <row r="715" spans="3:10" x14ac:dyDescent="0.3">
      <c r="C715" s="869"/>
      <c r="D715" s="69"/>
      <c r="E715" s="69"/>
      <c r="F715" s="69"/>
      <c r="G715" s="69"/>
      <c r="H715" s="69"/>
      <c r="I715" s="69"/>
      <c r="J715" s="87"/>
    </row>
    <row r="716" spans="3:10" x14ac:dyDescent="0.3">
      <c r="C716" s="3009" t="s">
        <v>35</v>
      </c>
      <c r="D716" s="92"/>
      <c r="E716" s="92"/>
      <c r="F716" s="92"/>
      <c r="G716" s="92"/>
      <c r="H716" s="92"/>
      <c r="I716" s="92"/>
      <c r="J716" s="87"/>
    </row>
    <row r="717" spans="3:10" x14ac:dyDescent="0.3">
      <c r="C717" s="3010"/>
      <c r="D717" s="93"/>
      <c r="E717" s="93"/>
      <c r="F717" s="93"/>
      <c r="G717" s="93"/>
      <c r="H717" s="93"/>
      <c r="I717" s="93"/>
      <c r="J717" s="87"/>
    </row>
    <row r="718" spans="3:10" x14ac:dyDescent="0.3">
      <c r="C718" s="955" t="s">
        <v>960</v>
      </c>
      <c r="D718" s="629"/>
      <c r="E718" s="629"/>
      <c r="F718" s="629"/>
      <c r="G718" s="629"/>
      <c r="H718" s="17"/>
      <c r="I718" s="50"/>
      <c r="J718" s="87"/>
    </row>
    <row r="719" spans="3:10" x14ac:dyDescent="0.3">
      <c r="C719" s="270"/>
      <c r="D719" s="17"/>
      <c r="E719" s="94"/>
      <c r="F719" s="17"/>
      <c r="G719" s="17"/>
      <c r="H719" s="17"/>
      <c r="I719" s="50"/>
      <c r="J719" s="87"/>
    </row>
    <row r="720" spans="3:10" x14ac:dyDescent="0.3">
      <c r="C720" s="232" t="s">
        <v>417</v>
      </c>
      <c r="D720" s="31"/>
      <c r="E720" s="31"/>
      <c r="F720" s="31"/>
      <c r="G720" s="31"/>
      <c r="H720" s="31"/>
      <c r="I720" s="140"/>
      <c r="J720" s="87"/>
    </row>
    <row r="721" spans="3:10" ht="17.25" thickBot="1" x14ac:dyDescent="0.35">
      <c r="C721" s="1095" t="s">
        <v>20</v>
      </c>
      <c r="D721" s="1094" t="str">
        <f>BSCY</f>
        <v>As At 31st March 2025</v>
      </c>
      <c r="E721" s="1094" t="str">
        <f>BSPY</f>
        <v>As At 31st March 2024</v>
      </c>
      <c r="F721" s="41"/>
      <c r="G721" s="41"/>
      <c r="H721" s="41"/>
      <c r="I721" s="50"/>
      <c r="J721" s="87"/>
    </row>
    <row r="722" spans="3:10" x14ac:dyDescent="0.3">
      <c r="C722" s="3008" t="s">
        <v>52</v>
      </c>
      <c r="D722" s="48"/>
      <c r="E722" s="48"/>
      <c r="F722" s="41"/>
      <c r="G722" s="41"/>
      <c r="H722" s="41"/>
      <c r="I722" s="50"/>
      <c r="J722" s="87"/>
    </row>
    <row r="723" spans="3:10" x14ac:dyDescent="0.3">
      <c r="C723" s="3008"/>
      <c r="D723" s="48"/>
      <c r="E723" s="48"/>
      <c r="F723" s="41"/>
      <c r="G723" s="41"/>
      <c r="H723" s="41"/>
      <c r="I723" s="50"/>
      <c r="J723" s="87"/>
    </row>
    <row r="724" spans="3:10" x14ac:dyDescent="0.3">
      <c r="C724" s="3008" t="s">
        <v>415</v>
      </c>
      <c r="D724" s="48"/>
      <c r="E724" s="48"/>
      <c r="F724" s="41"/>
      <c r="G724" s="41"/>
      <c r="H724" s="41"/>
      <c r="I724" s="50"/>
      <c r="J724" s="87"/>
    </row>
    <row r="725" spans="3:10" x14ac:dyDescent="0.3">
      <c r="C725" s="3008"/>
      <c r="D725" s="48"/>
      <c r="E725" s="48"/>
      <c r="F725" s="41"/>
      <c r="G725" s="41"/>
      <c r="H725" s="41"/>
      <c r="I725" s="50"/>
      <c r="J725" s="87"/>
    </row>
    <row r="726" spans="3:10" x14ac:dyDescent="0.3">
      <c r="C726" s="931" t="s">
        <v>416</v>
      </c>
      <c r="D726" s="96"/>
      <c r="E726" s="96"/>
      <c r="F726" s="97"/>
      <c r="G726" s="97"/>
      <c r="H726" s="97"/>
      <c r="I726" s="98"/>
      <c r="J726" s="87"/>
    </row>
    <row r="727" spans="3:10" x14ac:dyDescent="0.3">
      <c r="C727" s="1096"/>
      <c r="J727" s="1097"/>
    </row>
    <row r="728" spans="3:10" ht="17.25" thickBot="1" x14ac:dyDescent="0.35">
      <c r="C728" s="1098"/>
      <c r="D728" s="1062"/>
      <c r="E728" s="1062"/>
      <c r="F728" s="1062"/>
      <c r="G728" s="1062"/>
      <c r="H728" s="1062"/>
      <c r="I728" s="1062"/>
      <c r="J728" s="1099"/>
    </row>
    <row r="731" spans="3:10" x14ac:dyDescent="0.3">
      <c r="C731" s="4" t="s">
        <v>1875</v>
      </c>
    </row>
    <row r="732" spans="3:10" ht="17.25" thickBot="1" x14ac:dyDescent="0.35"/>
    <row r="733" spans="3:10" x14ac:dyDescent="0.3">
      <c r="C733" s="967" t="s">
        <v>203</v>
      </c>
      <c r="D733" s="3001" t="s">
        <v>20</v>
      </c>
      <c r="E733" s="3001"/>
      <c r="F733" s="3001"/>
      <c r="G733" s="3001"/>
      <c r="H733" s="3002"/>
    </row>
    <row r="734" spans="3:10" x14ac:dyDescent="0.3">
      <c r="C734" s="891" t="str">
        <f>+MID('Details of ESOP'!B11,6,2)</f>
        <v>22</v>
      </c>
      <c r="D734" s="42" t="s">
        <v>418</v>
      </c>
      <c r="E734" s="41"/>
      <c r="F734" s="41"/>
      <c r="G734" s="41"/>
      <c r="H734" s="43"/>
    </row>
    <row r="735" spans="3:10" x14ac:dyDescent="0.3">
      <c r="C735" s="968"/>
      <c r="D735" s="41"/>
      <c r="E735" s="41"/>
      <c r="F735" s="41"/>
      <c r="G735" s="41"/>
      <c r="H735" s="43"/>
    </row>
    <row r="736" spans="3:10" x14ac:dyDescent="0.3">
      <c r="C736" s="968" t="s">
        <v>419</v>
      </c>
      <c r="D736" s="2942" t="s">
        <v>578</v>
      </c>
      <c r="E736" s="2942"/>
      <c r="F736" s="2942"/>
      <c r="G736" s="2942"/>
      <c r="H736" s="3005"/>
    </row>
    <row r="737" spans="3:8" x14ac:dyDescent="0.3">
      <c r="C737" s="968"/>
      <c r="D737" s="2942" t="s">
        <v>420</v>
      </c>
      <c r="E737" s="2942"/>
      <c r="F737" s="2942"/>
      <c r="G737" s="2942"/>
      <c r="H737" s="3005"/>
    </row>
    <row r="738" spans="3:8" x14ac:dyDescent="0.3">
      <c r="C738" s="968"/>
      <c r="D738" s="2942" t="s">
        <v>675</v>
      </c>
      <c r="E738" s="2942"/>
      <c r="F738" s="2942"/>
      <c r="G738" s="2942"/>
      <c r="H738" s="3005"/>
    </row>
    <row r="739" spans="3:8" x14ac:dyDescent="0.3">
      <c r="C739" s="968"/>
      <c r="D739" s="2942" t="s">
        <v>466</v>
      </c>
      <c r="E739" s="2942"/>
      <c r="F739" s="2942"/>
      <c r="G739" s="2942"/>
      <c r="H739" s="3005"/>
    </row>
    <row r="740" spans="3:8" x14ac:dyDescent="0.3">
      <c r="C740" s="968"/>
      <c r="D740" s="3006"/>
      <c r="E740" s="3006"/>
      <c r="F740" s="3006"/>
      <c r="G740" s="3006"/>
      <c r="H740" s="3007"/>
    </row>
    <row r="741" spans="3:8" x14ac:dyDescent="0.3">
      <c r="C741" s="968" t="s">
        <v>421</v>
      </c>
      <c r="D741" s="3003" t="s">
        <v>676</v>
      </c>
      <c r="E741" s="3003"/>
      <c r="F741" s="3003"/>
      <c r="G741" s="3003"/>
      <c r="H741" s="3004"/>
    </row>
    <row r="742" spans="3:8" x14ac:dyDescent="0.3">
      <c r="C742" s="968"/>
      <c r="D742" s="3003" t="s">
        <v>489</v>
      </c>
      <c r="E742" s="3003"/>
      <c r="F742" s="3003"/>
      <c r="G742" s="3003"/>
      <c r="H742" s="3004"/>
    </row>
    <row r="743" spans="3:8" x14ac:dyDescent="0.3">
      <c r="C743" s="968"/>
      <c r="D743" s="2942" t="s">
        <v>693</v>
      </c>
      <c r="E743" s="2942"/>
      <c r="F743" s="2942"/>
      <c r="G743" s="2942"/>
      <c r="H743" s="3005"/>
    </row>
    <row r="744" spans="3:8" x14ac:dyDescent="0.3">
      <c r="C744" s="968"/>
      <c r="D744" s="3006"/>
      <c r="E744" s="3006"/>
      <c r="F744" s="3006"/>
      <c r="G744" s="3006"/>
      <c r="H744" s="3007"/>
    </row>
    <row r="745" spans="3:8" x14ac:dyDescent="0.3">
      <c r="C745" s="968" t="s">
        <v>422</v>
      </c>
      <c r="D745" s="3003" t="s">
        <v>677</v>
      </c>
      <c r="E745" s="3003"/>
      <c r="F745" s="3003"/>
      <c r="G745" s="3003"/>
      <c r="H745" s="3004"/>
    </row>
    <row r="746" spans="3:8" x14ac:dyDescent="0.3">
      <c r="C746" s="968"/>
      <c r="D746" s="3003" t="s">
        <v>678</v>
      </c>
      <c r="E746" s="3003"/>
      <c r="F746" s="3003"/>
      <c r="G746" s="3003"/>
      <c r="H746" s="3004"/>
    </row>
    <row r="747" spans="3:8" x14ac:dyDescent="0.3">
      <c r="C747" s="968"/>
      <c r="D747" s="2942" t="s">
        <v>694</v>
      </c>
      <c r="E747" s="2942"/>
      <c r="F747" s="2942"/>
      <c r="G747" s="2942"/>
      <c r="H747" s="3005"/>
    </row>
    <row r="748" spans="3:8" x14ac:dyDescent="0.3">
      <c r="C748" s="968"/>
      <c r="D748" s="3"/>
      <c r="E748" s="3"/>
      <c r="F748" s="3"/>
      <c r="G748" s="3"/>
      <c r="H748" s="44"/>
    </row>
    <row r="749" spans="3:8" x14ac:dyDescent="0.3">
      <c r="C749" s="968" t="s">
        <v>423</v>
      </c>
      <c r="D749" s="41" t="s">
        <v>688</v>
      </c>
      <c r="E749" s="41"/>
      <c r="F749" s="41"/>
      <c r="G749" s="41"/>
      <c r="H749" s="43"/>
    </row>
    <row r="750" spans="3:8" x14ac:dyDescent="0.3">
      <c r="C750" s="968"/>
      <c r="D750" s="41"/>
      <c r="E750" s="41"/>
      <c r="F750" s="41"/>
      <c r="G750" s="41"/>
      <c r="H750" s="43"/>
    </row>
    <row r="751" spans="3:8" x14ac:dyDescent="0.3">
      <c r="C751" s="968"/>
      <c r="D751" s="2999" t="s">
        <v>20</v>
      </c>
      <c r="E751" s="2828" t="str">
        <f>"During the year ended 
31  March,"&amp;" "&amp;'Master Data'!C618</f>
        <v xml:space="preserve">During the year ended 
31  March, </v>
      </c>
      <c r="F751" s="2829"/>
      <c r="G751" s="2828" t="str">
        <f>"During the year ended 
31  March,"&amp;" "&amp;'Master Data'!C619</f>
        <v xml:space="preserve">During the year ended 
31  March, </v>
      </c>
      <c r="H751" s="2829"/>
    </row>
    <row r="752" spans="3:8" ht="60" x14ac:dyDescent="0.3">
      <c r="C752" s="968"/>
      <c r="D752" s="3000"/>
      <c r="E752" s="314" t="s">
        <v>528</v>
      </c>
      <c r="F752" s="314" t="s">
        <v>818</v>
      </c>
      <c r="G752" s="314" t="s">
        <v>528</v>
      </c>
      <c r="H752" s="892" t="s">
        <v>818</v>
      </c>
    </row>
    <row r="753" spans="3:8" x14ac:dyDescent="0.3">
      <c r="C753" s="968"/>
      <c r="D753" s="47" t="s">
        <v>529</v>
      </c>
      <c r="E753" s="48"/>
      <c r="F753" s="48"/>
      <c r="G753" s="48"/>
      <c r="H753" s="49"/>
    </row>
    <row r="754" spans="3:8" x14ac:dyDescent="0.3">
      <c r="C754" s="968"/>
      <c r="D754" s="50" t="s">
        <v>424</v>
      </c>
      <c r="E754" s="51"/>
      <c r="F754" s="52"/>
      <c r="G754" s="51"/>
      <c r="H754" s="53"/>
    </row>
    <row r="755" spans="3:8" x14ac:dyDescent="0.3">
      <c r="C755" s="968"/>
      <c r="D755" s="50" t="s">
        <v>425</v>
      </c>
      <c r="E755" s="51"/>
      <c r="F755" s="52"/>
      <c r="G755" s="51"/>
      <c r="H755" s="53"/>
    </row>
    <row r="756" spans="3:8" x14ac:dyDescent="0.3">
      <c r="C756" s="968"/>
      <c r="D756" s="50" t="s">
        <v>426</v>
      </c>
      <c r="E756" s="51"/>
      <c r="F756" s="52"/>
      <c r="G756" s="54"/>
      <c r="H756" s="55"/>
    </row>
    <row r="757" spans="3:8" x14ac:dyDescent="0.3">
      <c r="C757" s="968"/>
      <c r="D757" s="50" t="s">
        <v>427</v>
      </c>
      <c r="E757" s="52"/>
      <c r="F757" s="52"/>
      <c r="G757" s="52"/>
      <c r="H757" s="53"/>
    </row>
    <row r="758" spans="3:8" x14ac:dyDescent="0.3">
      <c r="C758" s="968"/>
      <c r="D758" s="50" t="s">
        <v>424</v>
      </c>
      <c r="E758" s="54"/>
      <c r="F758" s="54"/>
      <c r="G758" s="54"/>
      <c r="H758" s="55"/>
    </row>
    <row r="759" spans="3:8" x14ac:dyDescent="0.3">
      <c r="C759" s="968"/>
      <c r="D759" s="50" t="s">
        <v>425</v>
      </c>
      <c r="E759" s="51"/>
      <c r="F759" s="52"/>
      <c r="G759" s="51"/>
      <c r="H759" s="53"/>
    </row>
    <row r="760" spans="3:8" x14ac:dyDescent="0.3">
      <c r="C760" s="968"/>
      <c r="D760" s="50" t="s">
        <v>426</v>
      </c>
      <c r="E760" s="54"/>
      <c r="F760" s="54"/>
      <c r="G760" s="51"/>
      <c r="H760" s="53"/>
    </row>
    <row r="761" spans="3:8" x14ac:dyDescent="0.3">
      <c r="C761" s="968"/>
      <c r="D761" s="50" t="s">
        <v>428</v>
      </c>
      <c r="E761" s="52"/>
      <c r="F761" s="52"/>
      <c r="G761" s="52"/>
      <c r="H761" s="53"/>
    </row>
    <row r="762" spans="3:8" x14ac:dyDescent="0.3">
      <c r="C762" s="968"/>
      <c r="D762" s="50" t="s">
        <v>424</v>
      </c>
      <c r="E762" s="51"/>
      <c r="F762" s="52"/>
      <c r="G762" s="51"/>
      <c r="H762" s="53"/>
    </row>
    <row r="763" spans="3:8" x14ac:dyDescent="0.3">
      <c r="C763" s="968"/>
      <c r="D763" s="50" t="s">
        <v>425</v>
      </c>
      <c r="E763" s="51"/>
      <c r="F763" s="52"/>
      <c r="G763" s="51"/>
      <c r="H763" s="53"/>
    </row>
    <row r="764" spans="3:8" x14ac:dyDescent="0.3">
      <c r="C764" s="968"/>
      <c r="D764" s="50" t="s">
        <v>426</v>
      </c>
      <c r="E764" s="51"/>
      <c r="F764" s="52"/>
      <c r="G764" s="54"/>
      <c r="H764" s="55"/>
    </row>
    <row r="765" spans="3:8" x14ac:dyDescent="0.3">
      <c r="C765" s="968"/>
      <c r="D765" s="50" t="s">
        <v>429</v>
      </c>
      <c r="E765" s="52"/>
      <c r="F765" s="52"/>
      <c r="G765" s="52"/>
      <c r="H765" s="53"/>
    </row>
    <row r="766" spans="3:8" x14ac:dyDescent="0.3">
      <c r="C766" s="968"/>
      <c r="D766" s="50" t="s">
        <v>424</v>
      </c>
      <c r="E766" s="51"/>
      <c r="F766" s="52"/>
      <c r="G766" s="51"/>
      <c r="H766" s="53"/>
    </row>
    <row r="767" spans="3:8" x14ac:dyDescent="0.3">
      <c r="C767" s="968"/>
      <c r="D767" s="50" t="s">
        <v>425</v>
      </c>
      <c r="E767" s="51"/>
      <c r="F767" s="52"/>
      <c r="G767" s="51"/>
      <c r="H767" s="53"/>
    </row>
    <row r="768" spans="3:8" x14ac:dyDescent="0.3">
      <c r="C768" s="968"/>
      <c r="D768" s="50" t="s">
        <v>426</v>
      </c>
      <c r="E768" s="51"/>
      <c r="F768" s="52"/>
      <c r="G768" s="54"/>
      <c r="H768" s="55"/>
    </row>
    <row r="769" spans="3:8" x14ac:dyDescent="0.3">
      <c r="C769" s="968"/>
      <c r="D769" s="50" t="s">
        <v>430</v>
      </c>
      <c r="E769" s="52"/>
      <c r="F769" s="52"/>
      <c r="G769" s="52"/>
      <c r="H769" s="53"/>
    </row>
    <row r="770" spans="3:8" x14ac:dyDescent="0.3">
      <c r="C770" s="968"/>
      <c r="D770" s="50" t="s">
        <v>424</v>
      </c>
      <c r="E770" s="51"/>
      <c r="F770" s="52"/>
      <c r="G770" s="51"/>
      <c r="H770" s="53"/>
    </row>
    <row r="771" spans="3:8" x14ac:dyDescent="0.3">
      <c r="C771" s="968"/>
      <c r="D771" s="50" t="s">
        <v>425</v>
      </c>
      <c r="E771" s="51"/>
      <c r="F771" s="52"/>
      <c r="G771" s="51"/>
      <c r="H771" s="53"/>
    </row>
    <row r="772" spans="3:8" x14ac:dyDescent="0.3">
      <c r="C772" s="968"/>
      <c r="D772" s="50" t="s">
        <v>426</v>
      </c>
      <c r="E772" s="51"/>
      <c r="F772" s="52"/>
      <c r="G772" s="54"/>
      <c r="H772" s="55"/>
    </row>
    <row r="773" spans="3:8" x14ac:dyDescent="0.3">
      <c r="C773" s="968"/>
      <c r="D773" s="50" t="s">
        <v>530</v>
      </c>
      <c r="E773" s="52"/>
      <c r="F773" s="52"/>
      <c r="G773" s="52"/>
      <c r="H773" s="53"/>
    </row>
    <row r="774" spans="3:8" x14ac:dyDescent="0.3">
      <c r="C774" s="968"/>
      <c r="D774" s="50" t="s">
        <v>424</v>
      </c>
      <c r="E774" s="51"/>
      <c r="F774" s="52"/>
      <c r="G774" s="51"/>
      <c r="H774" s="53"/>
    </row>
    <row r="775" spans="3:8" x14ac:dyDescent="0.3">
      <c r="C775" s="968"/>
      <c r="D775" s="50" t="s">
        <v>425</v>
      </c>
      <c r="E775" s="51"/>
      <c r="F775" s="52"/>
      <c r="G775" s="51"/>
      <c r="H775" s="53"/>
    </row>
    <row r="776" spans="3:8" x14ac:dyDescent="0.3">
      <c r="C776" s="968"/>
      <c r="D776" s="50" t="s">
        <v>426</v>
      </c>
      <c r="E776" s="51"/>
      <c r="F776" s="52"/>
      <c r="G776" s="51"/>
      <c r="H776" s="53"/>
    </row>
    <row r="777" spans="3:8" x14ac:dyDescent="0.3">
      <c r="C777" s="968"/>
      <c r="D777" s="50" t="s">
        <v>531</v>
      </c>
      <c r="E777" s="52"/>
      <c r="F777" s="52"/>
      <c r="G777" s="52"/>
      <c r="H777" s="53"/>
    </row>
    <row r="778" spans="3:8" x14ac:dyDescent="0.3">
      <c r="C778" s="968"/>
      <c r="D778" s="50" t="s">
        <v>424</v>
      </c>
      <c r="E778" s="51"/>
      <c r="F778" s="54"/>
      <c r="G778" s="51"/>
      <c r="H778" s="55"/>
    </row>
    <row r="779" spans="3:8" x14ac:dyDescent="0.3">
      <c r="C779" s="968"/>
      <c r="D779" s="50" t="s">
        <v>425</v>
      </c>
      <c r="E779" s="51"/>
      <c r="F779" s="54"/>
      <c r="G779" s="51"/>
      <c r="H779" s="55"/>
    </row>
    <row r="780" spans="3:8" x14ac:dyDescent="0.3">
      <c r="C780" s="968"/>
      <c r="D780" s="50" t="s">
        <v>426</v>
      </c>
      <c r="E780" s="51"/>
      <c r="F780" s="54"/>
      <c r="G780" s="51"/>
      <c r="H780" s="55"/>
    </row>
    <row r="781" spans="3:8" x14ac:dyDescent="0.3">
      <c r="C781" s="968"/>
      <c r="D781" s="56" t="s">
        <v>664</v>
      </c>
      <c r="E781" s="51"/>
      <c r="F781" s="54"/>
      <c r="G781" s="51"/>
      <c r="H781" s="55"/>
    </row>
    <row r="782" spans="3:8" x14ac:dyDescent="0.3">
      <c r="C782" s="968"/>
      <c r="D782" s="56" t="s">
        <v>665</v>
      </c>
      <c r="E782" s="57"/>
      <c r="F782" s="58"/>
      <c r="G782" s="57"/>
      <c r="H782" s="59"/>
    </row>
    <row r="783" spans="3:8" ht="17.25" thickBot="1" x14ac:dyDescent="0.35">
      <c r="C783" s="969"/>
      <c r="D783" s="2" t="s">
        <v>666</v>
      </c>
      <c r="E783" s="60"/>
      <c r="F783" s="61"/>
      <c r="G783" s="60"/>
      <c r="H783" s="62"/>
    </row>
    <row r="784" spans="3:8" x14ac:dyDescent="0.3">
      <c r="C784" s="81"/>
      <c r="D784" s="41"/>
      <c r="E784" s="63"/>
      <c r="F784" s="64"/>
      <c r="G784" s="63"/>
      <c r="H784" s="64"/>
    </row>
    <row r="785" spans="3:8" x14ac:dyDescent="0.3">
      <c r="C785" s="81"/>
      <c r="D785" s="41"/>
      <c r="E785" s="41"/>
      <c r="F785" s="41"/>
      <c r="G785" s="41"/>
      <c r="H785" s="41"/>
    </row>
    <row r="786" spans="3:8" x14ac:dyDescent="0.3">
      <c r="C786" s="81"/>
      <c r="D786" s="17" t="str">
        <f>C731 &amp; " contd."</f>
        <v>Details of ESOP: contd.</v>
      </c>
      <c r="E786" s="41"/>
      <c r="F786" s="41"/>
      <c r="G786" s="41"/>
      <c r="H786" s="41"/>
    </row>
    <row r="787" spans="3:8" ht="17.25" thickBot="1" x14ac:dyDescent="0.35">
      <c r="C787" s="81"/>
      <c r="D787" s="17"/>
      <c r="E787" s="41"/>
      <c r="F787" s="41"/>
      <c r="G787" s="41"/>
      <c r="H787" s="41"/>
    </row>
    <row r="788" spans="3:8" x14ac:dyDescent="0.3">
      <c r="C788" s="967" t="s">
        <v>203</v>
      </c>
      <c r="D788" s="3001" t="s">
        <v>20</v>
      </c>
      <c r="E788" s="3001"/>
      <c r="F788" s="3001"/>
      <c r="G788" s="3001"/>
      <c r="H788" s="3002"/>
    </row>
    <row r="789" spans="3:8" x14ac:dyDescent="0.3">
      <c r="C789" s="968" t="s">
        <v>431</v>
      </c>
      <c r="D789" s="3003" t="s">
        <v>638</v>
      </c>
      <c r="E789" s="3003"/>
      <c r="F789" s="3003"/>
      <c r="G789" s="3003"/>
      <c r="H789" s="3004"/>
    </row>
    <row r="790" spans="3:8" x14ac:dyDescent="0.3">
      <c r="C790" s="968"/>
      <c r="D790" s="65" t="s">
        <v>20</v>
      </c>
      <c r="E790" s="46" t="str">
        <f>BSCY</f>
        <v>As At 31st March 2025</v>
      </c>
      <c r="F790" s="46" t="str">
        <f>BSPY</f>
        <v>As At 31st March 2024</v>
      </c>
      <c r="G790" s="41"/>
      <c r="H790" s="43"/>
    </row>
    <row r="791" spans="3:8" x14ac:dyDescent="0.3">
      <c r="C791" s="968"/>
      <c r="D791" s="66" t="s">
        <v>679</v>
      </c>
      <c r="E791" s="67"/>
      <c r="F791" s="68"/>
      <c r="G791" s="41"/>
      <c r="H791" s="43"/>
    </row>
    <row r="792" spans="3:8" x14ac:dyDescent="0.3">
      <c r="C792" s="968"/>
      <c r="D792" s="47" t="s">
        <v>535</v>
      </c>
      <c r="E792" s="69"/>
      <c r="F792" s="70"/>
      <c r="G792" s="41"/>
      <c r="H792" s="43"/>
    </row>
    <row r="793" spans="3:8" x14ac:dyDescent="0.3">
      <c r="C793" s="968"/>
      <c r="D793" s="47" t="s">
        <v>536</v>
      </c>
      <c r="E793" s="69"/>
      <c r="F793" s="70"/>
      <c r="G793" s="41"/>
      <c r="H793" s="43"/>
    </row>
    <row r="794" spans="3:8" x14ac:dyDescent="0.3">
      <c r="C794" s="968"/>
      <c r="D794" s="47" t="s">
        <v>680</v>
      </c>
      <c r="E794" s="69"/>
      <c r="F794" s="70"/>
      <c r="G794" s="41"/>
      <c r="H794" s="43"/>
    </row>
    <row r="795" spans="3:8" x14ac:dyDescent="0.3">
      <c r="C795" s="968"/>
      <c r="D795" s="47"/>
      <c r="E795" s="69"/>
      <c r="F795" s="71"/>
      <c r="G795" s="41"/>
      <c r="H795" s="43"/>
    </row>
    <row r="796" spans="3:8" x14ac:dyDescent="0.3">
      <c r="C796" s="968"/>
      <c r="D796" s="47" t="s">
        <v>432</v>
      </c>
      <c r="E796" s="69"/>
      <c r="F796" s="71"/>
      <c r="G796" s="41"/>
      <c r="H796" s="43"/>
    </row>
    <row r="797" spans="3:8" x14ac:dyDescent="0.3">
      <c r="C797" s="968"/>
      <c r="D797" s="47" t="s">
        <v>537</v>
      </c>
      <c r="E797" s="72"/>
      <c r="F797" s="47"/>
      <c r="G797" s="41"/>
      <c r="H797" s="43"/>
    </row>
    <row r="798" spans="3:8" x14ac:dyDescent="0.3">
      <c r="C798" s="968"/>
      <c r="D798" s="47" t="s">
        <v>433</v>
      </c>
      <c r="E798" s="69"/>
      <c r="F798" s="71"/>
      <c r="G798" s="41"/>
      <c r="H798" s="43"/>
    </row>
    <row r="799" spans="3:8" x14ac:dyDescent="0.3">
      <c r="C799" s="968"/>
      <c r="D799" s="73" t="s">
        <v>538</v>
      </c>
      <c r="E799" s="74"/>
      <c r="F799" s="73"/>
      <c r="G799" s="41"/>
      <c r="H799" s="43"/>
    </row>
    <row r="800" spans="3:8" x14ac:dyDescent="0.3">
      <c r="C800" s="968"/>
      <c r="D800" s="41"/>
      <c r="E800" s="41"/>
      <c r="F800" s="41"/>
      <c r="G800" s="41"/>
      <c r="H800" s="43"/>
    </row>
    <row r="801" spans="3:10" x14ac:dyDescent="0.3">
      <c r="C801" s="968" t="s">
        <v>434</v>
      </c>
      <c r="D801" s="3003" t="s">
        <v>639</v>
      </c>
      <c r="E801" s="3003"/>
      <c r="F801" s="3003"/>
      <c r="G801" s="3003"/>
      <c r="H801" s="3004"/>
    </row>
    <row r="802" spans="3:10" x14ac:dyDescent="0.3">
      <c r="C802" s="968"/>
      <c r="D802" s="41"/>
      <c r="E802" s="41"/>
      <c r="F802" s="41"/>
      <c r="G802" s="41"/>
      <c r="H802" s="43"/>
    </row>
    <row r="803" spans="3:10" x14ac:dyDescent="0.3">
      <c r="C803" s="968"/>
      <c r="D803" s="75" t="s">
        <v>435</v>
      </c>
      <c r="E803" s="46" t="str">
        <f>"31 March,"&amp;" " &amp;'Master Data'!C618</f>
        <v xml:space="preserve">31 March, </v>
      </c>
      <c r="F803" s="46" t="str">
        <f>"31 March,"&amp;" " &amp;'Master Data'!C619</f>
        <v xml:space="preserve">31 March, </v>
      </c>
      <c r="G803" s="41"/>
      <c r="H803" s="43"/>
    </row>
    <row r="804" spans="3:10" x14ac:dyDescent="0.3">
      <c r="C804" s="968"/>
      <c r="D804" s="47" t="s">
        <v>436</v>
      </c>
      <c r="E804" s="76"/>
      <c r="F804" s="76"/>
      <c r="G804" s="41"/>
      <c r="H804" s="43"/>
    </row>
    <row r="805" spans="3:10" x14ac:dyDescent="0.3">
      <c r="C805" s="968"/>
      <c r="D805" s="47" t="s">
        <v>437</v>
      </c>
      <c r="E805" s="69"/>
      <c r="F805" s="69"/>
      <c r="G805" s="41"/>
      <c r="H805" s="43"/>
    </row>
    <row r="806" spans="3:10" x14ac:dyDescent="0.3">
      <c r="C806" s="968"/>
      <c r="D806" s="47" t="s">
        <v>438</v>
      </c>
      <c r="E806" s="77"/>
      <c r="F806" s="77"/>
      <c r="G806" s="41"/>
      <c r="H806" s="43"/>
    </row>
    <row r="807" spans="3:10" x14ac:dyDescent="0.3">
      <c r="C807" s="968"/>
      <c r="D807" s="73" t="s">
        <v>439</v>
      </c>
      <c r="E807" s="78"/>
      <c r="F807" s="78"/>
      <c r="G807" s="41"/>
      <c r="H807" s="43"/>
    </row>
    <row r="808" spans="3:10" x14ac:dyDescent="0.3">
      <c r="C808" s="968"/>
      <c r="D808" s="41"/>
      <c r="E808" s="41"/>
      <c r="F808" s="41"/>
      <c r="G808" s="41"/>
      <c r="H808" s="43"/>
    </row>
    <row r="809" spans="3:10" ht="17.25" thickBot="1" x14ac:dyDescent="0.35">
      <c r="C809" s="969"/>
      <c r="D809" s="79"/>
      <c r="E809" s="79"/>
      <c r="F809" s="79"/>
      <c r="G809" s="79"/>
      <c r="H809" s="80"/>
    </row>
    <row r="811" spans="3:10" x14ac:dyDescent="0.3">
      <c r="C811" s="403"/>
      <c r="D811" s="534"/>
      <c r="E811" s="534"/>
      <c r="F811" s="534"/>
      <c r="G811" s="534"/>
      <c r="H811" s="534"/>
      <c r="I811" s="534"/>
      <c r="J811" s="536"/>
    </row>
    <row r="812" spans="3:10" x14ac:dyDescent="0.3">
      <c r="C812" s="186"/>
      <c r="J812" s="6"/>
    </row>
    <row r="813" spans="3:10" x14ac:dyDescent="0.3">
      <c r="C813" s="186"/>
      <c r="J813" s="6"/>
    </row>
    <row r="814" spans="3:10" x14ac:dyDescent="0.3">
      <c r="C814" s="186"/>
      <c r="J814" s="6"/>
    </row>
    <row r="815" spans="3:10" x14ac:dyDescent="0.3">
      <c r="C815" s="186"/>
      <c r="J815" s="6"/>
    </row>
    <row r="816" spans="3:10" x14ac:dyDescent="0.3">
      <c r="C816" s="186"/>
      <c r="J816" s="6"/>
    </row>
    <row r="817" spans="3:13" x14ac:dyDescent="0.3">
      <c r="C817" s="186"/>
      <c r="J817" s="6"/>
    </row>
    <row r="818" spans="3:13" x14ac:dyDescent="0.3">
      <c r="C818" s="186"/>
      <c r="J818" s="6"/>
    </row>
    <row r="819" spans="3:13" x14ac:dyDescent="0.3">
      <c r="C819" s="186"/>
      <c r="J819" s="6"/>
    </row>
    <row r="820" spans="3:13" x14ac:dyDescent="0.3">
      <c r="C820" s="186"/>
      <c r="J820" s="6"/>
    </row>
    <row r="821" spans="3:13" x14ac:dyDescent="0.3">
      <c r="C821" s="186"/>
      <c r="J821" s="6"/>
      <c r="L821" s="1150"/>
      <c r="M821" s="1150"/>
    </row>
    <row r="822" spans="3:13" x14ac:dyDescent="0.3">
      <c r="C822" s="186"/>
      <c r="J822" s="6"/>
    </row>
    <row r="823" spans="3:13" x14ac:dyDescent="0.3">
      <c r="C823" s="964"/>
      <c r="D823" s="535"/>
      <c r="E823" s="535"/>
      <c r="F823" s="535"/>
      <c r="G823" s="535"/>
      <c r="H823" s="535"/>
      <c r="I823" s="535"/>
      <c r="J823" s="7"/>
    </row>
    <row r="826" spans="3:13" x14ac:dyDescent="0.3">
      <c r="C826" s="4" t="s">
        <v>1876</v>
      </c>
    </row>
    <row r="828" spans="3:13" x14ac:dyDescent="0.3">
      <c r="C828" s="4" t="s">
        <v>863</v>
      </c>
      <c r="D828" s="4"/>
      <c r="E828" s="4"/>
      <c r="F828" s="4"/>
      <c r="G828" s="4"/>
      <c r="H828" s="4"/>
      <c r="I828" s="4"/>
      <c r="J828" s="4"/>
      <c r="K828" s="4"/>
    </row>
    <row r="829" spans="3:13" x14ac:dyDescent="0.3">
      <c r="D829" s="4"/>
      <c r="E829" s="4"/>
      <c r="F829" s="4"/>
      <c r="G829" s="4"/>
      <c r="H829" s="4"/>
      <c r="I829" s="4"/>
      <c r="J829" s="4"/>
      <c r="K829" s="4"/>
    </row>
    <row r="830" spans="3:13" ht="17.25" thickBot="1" x14ac:dyDescent="0.35">
      <c r="C830" s="1" t="s">
        <v>3535</v>
      </c>
    </row>
    <row r="831" spans="3:13" ht="90.75" thickBot="1" x14ac:dyDescent="0.35">
      <c r="C831" s="898" t="s">
        <v>864</v>
      </c>
      <c r="D831" s="899" t="s">
        <v>865</v>
      </c>
      <c r="E831" s="899" t="s">
        <v>866</v>
      </c>
      <c r="F831" s="899" t="s">
        <v>867</v>
      </c>
      <c r="G831" s="899" t="s">
        <v>875</v>
      </c>
      <c r="H831" s="899" t="s">
        <v>868</v>
      </c>
      <c r="I831" s="900" t="s">
        <v>869</v>
      </c>
      <c r="J831" s="5"/>
      <c r="K831" s="5"/>
    </row>
    <row r="832" spans="3:13" x14ac:dyDescent="0.3">
      <c r="C832" s="902" t="s">
        <v>874</v>
      </c>
      <c r="D832" s="903" t="s">
        <v>870</v>
      </c>
      <c r="E832" s="1783">
        <v>0</v>
      </c>
      <c r="F832" s="1783">
        <v>0</v>
      </c>
      <c r="G832" s="1783">
        <v>0</v>
      </c>
      <c r="H832" s="1783">
        <v>0</v>
      </c>
      <c r="I832" s="1783">
        <v>0</v>
      </c>
      <c r="J832" s="30"/>
      <c r="K832" s="30"/>
    </row>
    <row r="833" spans="3:11" x14ac:dyDescent="0.3">
      <c r="C833" s="904" t="s">
        <v>742</v>
      </c>
      <c r="D833" s="29" t="s">
        <v>870</v>
      </c>
      <c r="E833" s="1783">
        <v>0</v>
      </c>
      <c r="F833" s="1783">
        <v>0</v>
      </c>
      <c r="G833" s="1783">
        <v>0</v>
      </c>
      <c r="H833" s="1783">
        <v>0</v>
      </c>
      <c r="I833" s="1783">
        <v>0</v>
      </c>
    </row>
    <row r="834" spans="3:11" x14ac:dyDescent="0.3">
      <c r="C834" s="904" t="s">
        <v>872</v>
      </c>
      <c r="D834" s="29" t="s">
        <v>870</v>
      </c>
      <c r="E834" s="1783">
        <v>0</v>
      </c>
      <c r="F834" s="1783">
        <v>0</v>
      </c>
      <c r="G834" s="1783">
        <v>0</v>
      </c>
      <c r="H834" s="1783">
        <v>0</v>
      </c>
      <c r="I834" s="1783">
        <v>0</v>
      </c>
    </row>
    <row r="835" spans="3:11" ht="17.25" thickBot="1" x14ac:dyDescent="0.35">
      <c r="C835" s="905" t="s">
        <v>873</v>
      </c>
      <c r="D835" s="906"/>
      <c r="E835" s="1783">
        <v>0</v>
      </c>
      <c r="F835" s="1783">
        <v>0</v>
      </c>
      <c r="G835" s="1783">
        <v>0</v>
      </c>
      <c r="H835" s="1783">
        <v>0</v>
      </c>
      <c r="I835" s="1783">
        <v>0</v>
      </c>
    </row>
    <row r="836" spans="3:11" x14ac:dyDescent="0.3">
      <c r="C836" s="1" t="s">
        <v>876</v>
      </c>
    </row>
    <row r="837" spans="3:11" x14ac:dyDescent="0.3">
      <c r="C837" s="1" t="s">
        <v>871</v>
      </c>
    </row>
    <row r="838" spans="3:11" x14ac:dyDescent="0.3">
      <c r="C838" s="180"/>
      <c r="D838" s="180"/>
      <c r="E838" s="180"/>
      <c r="F838" s="180"/>
      <c r="G838" s="180"/>
      <c r="H838" s="180"/>
      <c r="I838" s="180"/>
    </row>
    <row r="839" spans="3:11" x14ac:dyDescent="0.3">
      <c r="C839" s="961" t="s">
        <v>1920</v>
      </c>
      <c r="D839" s="961"/>
      <c r="E839" s="961"/>
      <c r="F839" s="961"/>
      <c r="G839" s="961"/>
      <c r="H839" s="961"/>
      <c r="I839" s="961"/>
      <c r="J839" s="4"/>
      <c r="K839" s="4"/>
    </row>
    <row r="840" spans="3:11" x14ac:dyDescent="0.3">
      <c r="C840" s="1151" t="s">
        <v>3536</v>
      </c>
      <c r="D840" s="1151"/>
      <c r="E840" s="180"/>
      <c r="F840" s="180"/>
      <c r="G840" s="180"/>
      <c r="H840" s="180"/>
      <c r="I840" s="180"/>
      <c r="J840" s="4"/>
      <c r="K840" s="4"/>
    </row>
    <row r="841" spans="3:11" x14ac:dyDescent="0.3">
      <c r="C841" s="180"/>
      <c r="D841" s="180"/>
      <c r="E841" s="180"/>
      <c r="F841" s="180"/>
      <c r="G841" s="180"/>
      <c r="H841" s="180"/>
      <c r="I841" s="180"/>
      <c r="J841" s="4"/>
      <c r="K841" s="4"/>
    </row>
    <row r="842" spans="3:11" x14ac:dyDescent="0.3">
      <c r="C842" s="1102"/>
      <c r="D842" s="1103"/>
      <c r="E842" s="1103"/>
      <c r="F842" s="1103"/>
      <c r="G842" s="1103"/>
      <c r="H842" s="1103"/>
      <c r="I842" s="1103"/>
      <c r="J842" s="297"/>
      <c r="K842" s="4"/>
    </row>
    <row r="843" spans="3:11" x14ac:dyDescent="0.3">
      <c r="C843" s="1104"/>
      <c r="D843" s="180"/>
      <c r="E843" s="180"/>
      <c r="F843" s="180"/>
      <c r="G843" s="180"/>
      <c r="H843" s="180"/>
      <c r="I843" s="180"/>
      <c r="J843" s="1122"/>
      <c r="K843" s="4"/>
    </row>
    <row r="844" spans="3:11" x14ac:dyDescent="0.3">
      <c r="C844" s="1104"/>
      <c r="D844" s="180"/>
      <c r="E844" s="180"/>
      <c r="F844" s="180"/>
      <c r="G844" s="180"/>
      <c r="H844" s="180"/>
      <c r="I844" s="180"/>
      <c r="J844" s="1122"/>
      <c r="K844" s="4"/>
    </row>
    <row r="845" spans="3:11" x14ac:dyDescent="0.3">
      <c r="C845" s="1104"/>
      <c r="D845" s="180"/>
      <c r="E845" s="180"/>
      <c r="F845" s="180"/>
      <c r="G845" s="180"/>
      <c r="H845" s="180"/>
      <c r="I845" s="180"/>
      <c r="J845" s="1122"/>
      <c r="K845" s="4"/>
    </row>
    <row r="846" spans="3:11" x14ac:dyDescent="0.3">
      <c r="C846" s="1104"/>
      <c r="D846" s="180"/>
      <c r="E846" s="180"/>
      <c r="F846" s="180"/>
      <c r="G846" s="180"/>
      <c r="H846" s="180"/>
      <c r="I846" s="180"/>
      <c r="J846" s="1122"/>
      <c r="K846" s="4"/>
    </row>
    <row r="847" spans="3:11" x14ac:dyDescent="0.3">
      <c r="C847" s="1104"/>
      <c r="D847" s="180"/>
      <c r="E847" s="180"/>
      <c r="F847" s="180"/>
      <c r="G847" s="180"/>
      <c r="H847" s="180"/>
      <c r="I847" s="180"/>
      <c r="J847" s="1122"/>
      <c r="K847" s="4"/>
    </row>
    <row r="848" spans="3:11" x14ac:dyDescent="0.3">
      <c r="C848" s="1105"/>
      <c r="D848" s="1106"/>
      <c r="E848" s="1106"/>
      <c r="F848" s="1106"/>
      <c r="G848" s="1106"/>
      <c r="H848" s="1106"/>
      <c r="I848" s="1106"/>
      <c r="J848" s="1123"/>
      <c r="K848" s="4"/>
    </row>
    <row r="849" spans="3:11" x14ac:dyDescent="0.3">
      <c r="C849" s="180"/>
      <c r="D849" s="180"/>
      <c r="E849" s="180"/>
      <c r="F849" s="180"/>
      <c r="G849" s="180"/>
      <c r="H849" s="180"/>
      <c r="I849" s="180"/>
      <c r="J849" s="4"/>
      <c r="K849" s="4"/>
    </row>
    <row r="850" spans="3:11" x14ac:dyDescent="0.3">
      <c r="C850" s="2982"/>
      <c r="D850" s="2982"/>
      <c r="E850" s="2982"/>
      <c r="F850" s="2982"/>
      <c r="G850" s="2982"/>
      <c r="H850" s="2982"/>
      <c r="I850" s="2982"/>
    </row>
    <row r="851" spans="3:11" x14ac:dyDescent="0.3">
      <c r="C851" s="2988" t="s">
        <v>942</v>
      </c>
      <c r="D851" s="2988"/>
      <c r="E851" s="2988"/>
      <c r="F851" s="2988"/>
      <c r="G851" s="2988"/>
      <c r="H851" s="2988"/>
      <c r="I851" s="2988"/>
    </row>
    <row r="852" spans="3:11" x14ac:dyDescent="0.3">
      <c r="C852" s="180" t="s">
        <v>3537</v>
      </c>
      <c r="D852" s="961"/>
      <c r="E852" s="961"/>
      <c r="F852" s="961"/>
      <c r="G852" s="961"/>
      <c r="H852" s="961"/>
      <c r="I852" s="961"/>
    </row>
    <row r="853" spans="3:11" x14ac:dyDescent="0.3">
      <c r="C853" s="961"/>
      <c r="D853" s="961"/>
      <c r="E853" s="961"/>
      <c r="F853" s="961"/>
      <c r="G853" s="961"/>
      <c r="H853" s="961"/>
      <c r="I853" s="961"/>
    </row>
    <row r="854" spans="3:11" ht="17.25" thickBot="1" x14ac:dyDescent="0.35">
      <c r="C854" s="181"/>
      <c r="D854" s="181"/>
      <c r="E854" s="181"/>
      <c r="F854" s="181"/>
      <c r="G854" s="182"/>
      <c r="H854" s="181"/>
      <c r="I854" s="181"/>
    </row>
    <row r="855" spans="3:11" ht="17.25" thickBot="1" x14ac:dyDescent="0.35">
      <c r="C855" s="35"/>
      <c r="D855" s="2708" t="s">
        <v>884</v>
      </c>
      <c r="E855" s="2709"/>
      <c r="F855" s="2709" t="s">
        <v>885</v>
      </c>
      <c r="G855" s="2710"/>
    </row>
    <row r="856" spans="3:11" ht="45.75" thickBot="1" x14ac:dyDescent="0.35">
      <c r="C856" s="898" t="s">
        <v>877</v>
      </c>
      <c r="D856" s="899" t="s">
        <v>878</v>
      </c>
      <c r="E856" s="899" t="s">
        <v>879</v>
      </c>
      <c r="F856" s="899" t="s">
        <v>878</v>
      </c>
      <c r="G856" s="900" t="s">
        <v>879</v>
      </c>
      <c r="H856" s="5"/>
      <c r="I856" s="5"/>
      <c r="J856" s="30"/>
      <c r="K856" s="30"/>
    </row>
    <row r="857" spans="3:11" x14ac:dyDescent="0.3">
      <c r="C857" s="908" t="s">
        <v>886</v>
      </c>
      <c r="D857" s="1784">
        <v>0</v>
      </c>
      <c r="E857" s="1784">
        <v>0</v>
      </c>
      <c r="F857" s="1784">
        <v>0</v>
      </c>
      <c r="G857" s="1787">
        <v>0</v>
      </c>
    </row>
    <row r="858" spans="3:11" x14ac:dyDescent="0.3">
      <c r="C858" s="908" t="s">
        <v>880</v>
      </c>
      <c r="D858" s="1784">
        <v>0</v>
      </c>
      <c r="E858" s="1784">
        <v>0</v>
      </c>
      <c r="F858" s="1784">
        <v>0</v>
      </c>
      <c r="G858" s="1787">
        <v>0</v>
      </c>
    </row>
    <row r="859" spans="3:11" x14ac:dyDescent="0.3">
      <c r="C859" s="908" t="s">
        <v>881</v>
      </c>
      <c r="D859" s="1784">
        <v>0</v>
      </c>
      <c r="E859" s="1784">
        <v>0</v>
      </c>
      <c r="F859" s="1784">
        <v>0</v>
      </c>
      <c r="G859" s="1787">
        <v>0</v>
      </c>
    </row>
    <row r="860" spans="3:11" x14ac:dyDescent="0.3">
      <c r="C860" s="908" t="s">
        <v>882</v>
      </c>
      <c r="D860" s="1784">
        <v>0</v>
      </c>
      <c r="E860" s="1784">
        <v>0</v>
      </c>
      <c r="F860" s="1784">
        <v>0</v>
      </c>
      <c r="G860" s="1787">
        <v>0</v>
      </c>
    </row>
    <row r="861" spans="3:11" x14ac:dyDescent="0.3">
      <c r="C861" s="908" t="s">
        <v>883</v>
      </c>
      <c r="D861" s="1784">
        <v>0</v>
      </c>
      <c r="E861" s="1784">
        <v>0</v>
      </c>
      <c r="F861" s="1784">
        <v>0</v>
      </c>
      <c r="G861" s="1787">
        <v>0</v>
      </c>
    </row>
    <row r="862" spans="3:11" x14ac:dyDescent="0.3">
      <c r="C862" s="908"/>
      <c r="D862" s="1784">
        <v>0</v>
      </c>
      <c r="E862" s="1784">
        <v>0</v>
      </c>
      <c r="F862" s="1784">
        <v>0</v>
      </c>
      <c r="G862" s="1787">
        <v>0</v>
      </c>
    </row>
    <row r="863" spans="3:11" x14ac:dyDescent="0.3">
      <c r="C863" s="910" t="s">
        <v>887</v>
      </c>
      <c r="D863" s="1784">
        <v>0</v>
      </c>
      <c r="E863" s="1784">
        <v>0</v>
      </c>
      <c r="F863" s="1784">
        <v>0</v>
      </c>
      <c r="G863" s="1787">
        <v>0</v>
      </c>
      <c r="H863" s="30"/>
      <c r="I863" s="30"/>
      <c r="J863" s="30"/>
      <c r="K863" s="30"/>
    </row>
    <row r="864" spans="3:11" x14ac:dyDescent="0.3">
      <c r="C864" s="908" t="s">
        <v>880</v>
      </c>
      <c r="D864" s="1784">
        <v>0</v>
      </c>
      <c r="E864" s="1784">
        <v>0</v>
      </c>
      <c r="F864" s="1784">
        <v>0</v>
      </c>
      <c r="G864" s="1787">
        <v>0</v>
      </c>
    </row>
    <row r="865" spans="3:10" x14ac:dyDescent="0.3">
      <c r="C865" s="908" t="s">
        <v>881</v>
      </c>
      <c r="D865" s="1784">
        <v>0</v>
      </c>
      <c r="E865" s="1784">
        <v>0</v>
      </c>
      <c r="F865" s="1784">
        <v>0</v>
      </c>
      <c r="G865" s="1787">
        <v>0</v>
      </c>
    </row>
    <row r="866" spans="3:10" x14ac:dyDescent="0.3">
      <c r="C866" s="908" t="s">
        <v>882</v>
      </c>
      <c r="D866" s="1784">
        <v>0</v>
      </c>
      <c r="E866" s="1784">
        <v>0</v>
      </c>
      <c r="F866" s="1784">
        <v>0</v>
      </c>
      <c r="G866" s="1787">
        <v>0</v>
      </c>
    </row>
    <row r="867" spans="3:10" ht="17.25" thickBot="1" x14ac:dyDescent="0.35">
      <c r="C867" s="911" t="s">
        <v>883</v>
      </c>
      <c r="D867" s="1788">
        <v>0</v>
      </c>
      <c r="E867" s="1784">
        <v>0</v>
      </c>
      <c r="F867" s="1784">
        <v>0</v>
      </c>
      <c r="G867" s="1789">
        <v>0</v>
      </c>
    </row>
    <row r="869" spans="3:10" x14ac:dyDescent="0.3">
      <c r="C869" s="403"/>
      <c r="D869" s="534"/>
      <c r="E869" s="534"/>
      <c r="F869" s="534"/>
      <c r="G869" s="534"/>
      <c r="H869" s="534"/>
      <c r="I869" s="534"/>
      <c r="J869" s="536"/>
    </row>
    <row r="870" spans="3:10" x14ac:dyDescent="0.3">
      <c r="C870" s="186"/>
      <c r="J870" s="6"/>
    </row>
    <row r="871" spans="3:10" x14ac:dyDescent="0.3">
      <c r="C871" s="186"/>
      <c r="J871" s="6"/>
    </row>
    <row r="872" spans="3:10" x14ac:dyDescent="0.3">
      <c r="C872" s="186"/>
      <c r="J872" s="6"/>
    </row>
    <row r="873" spans="3:10" x14ac:dyDescent="0.3">
      <c r="C873" s="186"/>
      <c r="J873" s="6"/>
    </row>
    <row r="874" spans="3:10" x14ac:dyDescent="0.3">
      <c r="C874" s="964"/>
      <c r="D874" s="535"/>
      <c r="E874" s="535"/>
      <c r="F874" s="535"/>
      <c r="G874" s="535"/>
      <c r="H874" s="535"/>
      <c r="I874" s="535"/>
      <c r="J874" s="7"/>
    </row>
    <row r="876" spans="3:10" x14ac:dyDescent="0.3">
      <c r="C876" s="4" t="s">
        <v>943</v>
      </c>
    </row>
    <row r="878" spans="3:10" x14ac:dyDescent="0.3">
      <c r="C878" s="1" t="s">
        <v>3538</v>
      </c>
    </row>
    <row r="880" spans="3:10" x14ac:dyDescent="0.3">
      <c r="C880" s="1" t="s">
        <v>888</v>
      </c>
    </row>
    <row r="881" spans="3:15" ht="17.25" thickBot="1" x14ac:dyDescent="0.35">
      <c r="C881" s="1" t="str">
        <f>+"CWIP ageing schedule " &amp; BSCY</f>
        <v>CWIP ageing schedule As At 31st March 2025</v>
      </c>
      <c r="H881" s="182" t="s">
        <v>898</v>
      </c>
      <c r="J881" s="1" t="str">
        <f>+"CWIP ageing schedule " &amp; BSPY</f>
        <v>CWIP ageing schedule As At 31st March 2024</v>
      </c>
      <c r="O881" s="182" t="s">
        <v>898</v>
      </c>
    </row>
    <row r="882" spans="3:15" x14ac:dyDescent="0.3">
      <c r="C882" s="2990" t="s">
        <v>773</v>
      </c>
      <c r="D882" s="2992" t="s">
        <v>889</v>
      </c>
      <c r="E882" s="2992"/>
      <c r="F882" s="2992"/>
      <c r="G882" s="2992"/>
      <c r="H882" s="2986" t="s">
        <v>890</v>
      </c>
      <c r="J882" s="2990" t="s">
        <v>773</v>
      </c>
      <c r="K882" s="2992" t="s">
        <v>889</v>
      </c>
      <c r="L882" s="2992"/>
      <c r="M882" s="2992"/>
      <c r="N882" s="2992"/>
      <c r="O882" s="2986" t="s">
        <v>890</v>
      </c>
    </row>
    <row r="883" spans="3:15" x14ac:dyDescent="0.3">
      <c r="C883" s="2991"/>
      <c r="D883" s="187" t="s">
        <v>891</v>
      </c>
      <c r="E883" s="187" t="s">
        <v>892</v>
      </c>
      <c r="F883" s="187" t="s">
        <v>893</v>
      </c>
      <c r="G883" s="187" t="s">
        <v>894</v>
      </c>
      <c r="H883" s="2987"/>
      <c r="J883" s="2991"/>
      <c r="K883" s="187" t="s">
        <v>891</v>
      </c>
      <c r="L883" s="187" t="s">
        <v>892</v>
      </c>
      <c r="M883" s="187" t="s">
        <v>893</v>
      </c>
      <c r="N883" s="187" t="s">
        <v>894</v>
      </c>
      <c r="O883" s="2987"/>
    </row>
    <row r="884" spans="3:15" x14ac:dyDescent="0.3">
      <c r="C884" s="908" t="s">
        <v>895</v>
      </c>
      <c r="D884" s="1784">
        <v>0</v>
      </c>
      <c r="E884" s="1784">
        <v>0</v>
      </c>
      <c r="F884" s="1784">
        <v>0</v>
      </c>
      <c r="G884" s="1784">
        <v>0</v>
      </c>
      <c r="H884" s="1785">
        <f>+SUM(D884:G884)</f>
        <v>0</v>
      </c>
      <c r="J884" s="908" t="s">
        <v>895</v>
      </c>
      <c r="K884" s="1784">
        <v>0</v>
      </c>
      <c r="L884" s="1784">
        <v>0</v>
      </c>
      <c r="M884" s="1784">
        <v>0</v>
      </c>
      <c r="N884" s="1784">
        <v>0</v>
      </c>
      <c r="O884" s="1787"/>
    </row>
    <row r="885" spans="3:15" x14ac:dyDescent="0.3">
      <c r="C885" s="915" t="s">
        <v>896</v>
      </c>
      <c r="D885" s="1784">
        <v>0</v>
      </c>
      <c r="E885" s="1784">
        <v>0</v>
      </c>
      <c r="F885" s="1784">
        <v>0</v>
      </c>
      <c r="G885" s="1784">
        <v>0</v>
      </c>
      <c r="H885" s="1785">
        <f t="shared" ref="H885:H886" si="0">+SUM(D885:G885)</f>
        <v>0</v>
      </c>
      <c r="J885" s="915" t="s">
        <v>896</v>
      </c>
      <c r="K885" s="1784">
        <v>0</v>
      </c>
      <c r="L885" s="1784">
        <v>0</v>
      </c>
      <c r="M885" s="1784">
        <v>0</v>
      </c>
      <c r="N885" s="1784">
        <v>0</v>
      </c>
      <c r="O885" s="2291"/>
    </row>
    <row r="886" spans="3:15" ht="17.25" thickBot="1" x14ac:dyDescent="0.35">
      <c r="C886" s="911" t="s">
        <v>35</v>
      </c>
      <c r="D886" s="1786">
        <f>+SUM(D884:D885)</f>
        <v>0</v>
      </c>
      <c r="E886" s="1786">
        <f t="shared" ref="E886:G886" si="1">+SUM(E884:E885)</f>
        <v>0</v>
      </c>
      <c r="F886" s="1786">
        <f t="shared" si="1"/>
        <v>0</v>
      </c>
      <c r="G886" s="1786">
        <f t="shared" si="1"/>
        <v>0</v>
      </c>
      <c r="H886" s="1786">
        <f t="shared" si="0"/>
        <v>0</v>
      </c>
      <c r="J886" s="911" t="s">
        <v>35</v>
      </c>
      <c r="K886" s="2292">
        <f>+SUM(K884:K885)</f>
        <v>0</v>
      </c>
      <c r="L886" s="2292">
        <f t="shared" ref="L886:N886" si="2">+SUM(L884:L885)</f>
        <v>0</v>
      </c>
      <c r="M886" s="2292">
        <f t="shared" si="2"/>
        <v>0</v>
      </c>
      <c r="N886" s="2292">
        <f t="shared" si="2"/>
        <v>0</v>
      </c>
      <c r="O886" s="1789">
        <v>0</v>
      </c>
    </row>
    <row r="887" spans="3:15" x14ac:dyDescent="0.3">
      <c r="C887" s="1" t="s">
        <v>897</v>
      </c>
      <c r="J887" s="1" t="s">
        <v>897</v>
      </c>
    </row>
    <row r="890" spans="3:15" x14ac:dyDescent="0.3">
      <c r="C890" s="2982" t="s">
        <v>945</v>
      </c>
      <c r="D890" s="2982"/>
      <c r="E890" s="2982"/>
      <c r="F890" s="2982"/>
      <c r="G890" s="2982"/>
      <c r="H890" s="2982"/>
      <c r="I890" s="2982"/>
    </row>
    <row r="891" spans="3:15" ht="17.25" thickBot="1" x14ac:dyDescent="0.35">
      <c r="G891" s="182" t="s">
        <v>898</v>
      </c>
    </row>
    <row r="892" spans="3:15" x14ac:dyDescent="0.3">
      <c r="C892" s="2994" t="s">
        <v>773</v>
      </c>
      <c r="D892" s="2996" t="s">
        <v>899</v>
      </c>
      <c r="E892" s="2996"/>
      <c r="F892" s="2996"/>
      <c r="G892" s="2997"/>
    </row>
    <row r="893" spans="3:15" x14ac:dyDescent="0.3">
      <c r="C893" s="2995"/>
      <c r="D893" s="187" t="s">
        <v>891</v>
      </c>
      <c r="E893" s="187" t="s">
        <v>892</v>
      </c>
      <c r="F893" s="187" t="s">
        <v>893</v>
      </c>
      <c r="G893" s="916" t="s">
        <v>894</v>
      </c>
    </row>
    <row r="894" spans="3:15" x14ac:dyDescent="0.3">
      <c r="C894" s="908" t="s">
        <v>895</v>
      </c>
      <c r="D894" s="1784">
        <v>0</v>
      </c>
      <c r="E894" s="1784">
        <v>0</v>
      </c>
      <c r="F894" s="1784">
        <v>0</v>
      </c>
      <c r="G894" s="1787">
        <v>0</v>
      </c>
      <c r="I894" s="177"/>
    </row>
    <row r="895" spans="3:15" x14ac:dyDescent="0.3">
      <c r="C895" s="908" t="s">
        <v>900</v>
      </c>
      <c r="D895" s="1784">
        <v>0</v>
      </c>
      <c r="E895" s="1784">
        <v>0</v>
      </c>
      <c r="F895" s="1784">
        <v>0</v>
      </c>
      <c r="G895" s="1787">
        <v>0</v>
      </c>
    </row>
    <row r="896" spans="3:15" x14ac:dyDescent="0.3">
      <c r="C896" s="908" t="s">
        <v>901</v>
      </c>
      <c r="D896" s="1784">
        <v>0</v>
      </c>
      <c r="E896" s="1784">
        <v>0</v>
      </c>
      <c r="F896" s="1784">
        <v>0</v>
      </c>
      <c r="G896" s="1787">
        <v>0</v>
      </c>
      <c r="I896" s="177"/>
    </row>
    <row r="897" spans="3:11" x14ac:dyDescent="0.3">
      <c r="C897" s="908" t="s">
        <v>896</v>
      </c>
      <c r="D897" s="1784">
        <v>0</v>
      </c>
      <c r="E897" s="1784">
        <v>0</v>
      </c>
      <c r="F897" s="1784">
        <v>0</v>
      </c>
      <c r="G897" s="1787">
        <v>0</v>
      </c>
      <c r="I897" s="177"/>
    </row>
    <row r="898" spans="3:11" x14ac:dyDescent="0.3">
      <c r="C898" s="908" t="s">
        <v>900</v>
      </c>
      <c r="D898" s="1784">
        <v>0</v>
      </c>
      <c r="E898" s="1784">
        <v>0</v>
      </c>
      <c r="F898" s="1784">
        <v>0</v>
      </c>
      <c r="G898" s="1787">
        <v>0</v>
      </c>
      <c r="I898" s="177"/>
    </row>
    <row r="899" spans="3:11" ht="17.25" thickBot="1" x14ac:dyDescent="0.35">
      <c r="C899" s="911" t="s">
        <v>901</v>
      </c>
      <c r="D899" s="1788">
        <v>0</v>
      </c>
      <c r="E899" s="1788">
        <v>0</v>
      </c>
      <c r="F899" s="1788">
        <v>0</v>
      </c>
      <c r="G899" s="1789">
        <v>0</v>
      </c>
      <c r="I899" s="177"/>
    </row>
    <row r="900" spans="3:11" x14ac:dyDescent="0.3">
      <c r="C900" s="181"/>
      <c r="D900" s="181"/>
      <c r="E900" s="181"/>
      <c r="F900" s="181"/>
      <c r="G900" s="181"/>
      <c r="H900" s="181"/>
      <c r="I900" s="181"/>
    </row>
    <row r="901" spans="3:11" x14ac:dyDescent="0.3">
      <c r="C901" s="1107"/>
      <c r="D901" s="1108"/>
      <c r="E901" s="1108"/>
      <c r="F901" s="1108"/>
      <c r="G901" s="1108"/>
      <c r="H901" s="1108"/>
      <c r="I901" s="1108"/>
      <c r="J901" s="536"/>
    </row>
    <row r="902" spans="3:11" x14ac:dyDescent="0.3">
      <c r="C902" s="1109"/>
      <c r="D902" s="181"/>
      <c r="E902" s="181"/>
      <c r="F902" s="181"/>
      <c r="G902" s="181"/>
      <c r="H902" s="181"/>
      <c r="I902" s="181"/>
      <c r="J902" s="6"/>
    </row>
    <row r="903" spans="3:11" x14ac:dyDescent="0.3">
      <c r="C903" s="1109"/>
      <c r="D903" s="181"/>
      <c r="E903" s="181"/>
      <c r="F903" s="181"/>
      <c r="G903" s="181"/>
      <c r="H903" s="181"/>
      <c r="I903" s="181"/>
      <c r="J903" s="6"/>
    </row>
    <row r="904" spans="3:11" x14ac:dyDescent="0.3">
      <c r="C904" s="1109"/>
      <c r="D904" s="181"/>
      <c r="E904" s="181"/>
      <c r="F904" s="181"/>
      <c r="G904" s="181"/>
      <c r="H904" s="181"/>
      <c r="I904" s="181"/>
      <c r="J904" s="6"/>
    </row>
    <row r="905" spans="3:11" x14ac:dyDescent="0.3">
      <c r="C905" s="1109"/>
      <c r="D905" s="181"/>
      <c r="E905" s="181"/>
      <c r="F905" s="181"/>
      <c r="G905" s="181"/>
      <c r="H905" s="181"/>
      <c r="I905" s="181"/>
      <c r="J905" s="6"/>
    </row>
    <row r="906" spans="3:11" x14ac:dyDescent="0.3">
      <c r="C906" s="1109"/>
      <c r="D906" s="181"/>
      <c r="E906" s="181"/>
      <c r="F906" s="181"/>
      <c r="G906" s="181"/>
      <c r="H906" s="181"/>
      <c r="I906" s="181"/>
      <c r="J906" s="6"/>
    </row>
    <row r="907" spans="3:11" x14ac:dyDescent="0.3">
      <c r="C907" s="1109"/>
      <c r="D907" s="181"/>
      <c r="E907" s="181"/>
      <c r="F907" s="181"/>
      <c r="G907" s="181"/>
      <c r="H907" s="181"/>
      <c r="I907" s="181"/>
      <c r="J907" s="6"/>
    </row>
    <row r="908" spans="3:11" x14ac:dyDescent="0.3">
      <c r="C908" s="1110"/>
      <c r="D908" s="1111"/>
      <c r="E908" s="1111"/>
      <c r="F908" s="1111"/>
      <c r="G908" s="1111"/>
      <c r="H908" s="1111"/>
      <c r="I908" s="1111"/>
      <c r="J908" s="7"/>
    </row>
    <row r="910" spans="3:11" x14ac:dyDescent="0.3">
      <c r="C910" s="4" t="s">
        <v>902</v>
      </c>
      <c r="D910" s="4"/>
      <c r="E910" s="4"/>
      <c r="F910" s="4"/>
      <c r="G910" s="4"/>
      <c r="H910" s="4"/>
      <c r="I910" s="4"/>
      <c r="J910" s="4"/>
      <c r="K910" s="4"/>
    </row>
    <row r="911" spans="3:11" x14ac:dyDescent="0.3">
      <c r="C911" s="2982"/>
      <c r="D911" s="2982"/>
      <c r="E911" s="2982"/>
      <c r="F911" s="2982"/>
      <c r="G911" s="2982"/>
      <c r="H911" s="2982"/>
      <c r="I911" s="2982"/>
    </row>
    <row r="912" spans="3:11" x14ac:dyDescent="0.3">
      <c r="C912" s="181" t="s">
        <v>3539</v>
      </c>
      <c r="D912" s="181"/>
      <c r="E912" s="181"/>
      <c r="F912" s="181"/>
      <c r="G912" s="181"/>
      <c r="H912" s="181"/>
      <c r="I912" s="181"/>
    </row>
    <row r="913" spans="3:15" x14ac:dyDescent="0.3">
      <c r="C913" s="181"/>
      <c r="D913" s="181"/>
      <c r="E913" s="181"/>
      <c r="F913" s="181"/>
      <c r="G913" s="181"/>
      <c r="H913" s="181"/>
      <c r="I913" s="181"/>
    </row>
    <row r="914" spans="3:15" x14ac:dyDescent="0.3">
      <c r="C914" s="4" t="s">
        <v>903</v>
      </c>
    </row>
    <row r="915" spans="3:15" ht="17.25" thickBot="1" x14ac:dyDescent="0.35">
      <c r="C915" s="1" t="str">
        <f>+"Intangible assets under development ageing schedule " &amp; BSCY</f>
        <v>Intangible assets under development ageing schedule As At 31st March 2025</v>
      </c>
      <c r="H915" s="182" t="s">
        <v>898</v>
      </c>
      <c r="J915" s="1" t="str">
        <f>+"Intangible assets under development ageing schedule " &amp; BSPY</f>
        <v>Intangible assets under development ageing schedule As At 31st March 2024</v>
      </c>
      <c r="O915" s="182" t="s">
        <v>898</v>
      </c>
    </row>
    <row r="916" spans="3:15" x14ac:dyDescent="0.3">
      <c r="C916" s="2983" t="s">
        <v>741</v>
      </c>
      <c r="D916" s="2985" t="s">
        <v>904</v>
      </c>
      <c r="E916" s="2985"/>
      <c r="F916" s="2985"/>
      <c r="G916" s="2985"/>
      <c r="H916" s="2986" t="s">
        <v>890</v>
      </c>
      <c r="J916" s="2983" t="s">
        <v>741</v>
      </c>
      <c r="K916" s="2985" t="s">
        <v>904</v>
      </c>
      <c r="L916" s="2985"/>
      <c r="M916" s="2985"/>
      <c r="N916" s="2985"/>
      <c r="O916" s="2986" t="s">
        <v>890</v>
      </c>
    </row>
    <row r="917" spans="3:15" x14ac:dyDescent="0.3">
      <c r="C917" s="2984"/>
      <c r="D917" s="917" t="s">
        <v>891</v>
      </c>
      <c r="E917" s="917" t="s">
        <v>892</v>
      </c>
      <c r="F917" s="917" t="s">
        <v>893</v>
      </c>
      <c r="G917" s="917" t="s">
        <v>894</v>
      </c>
      <c r="H917" s="2987"/>
      <c r="J917" s="2984"/>
      <c r="K917" s="917" t="s">
        <v>891</v>
      </c>
      <c r="L917" s="917" t="s">
        <v>892</v>
      </c>
      <c r="M917" s="917" t="s">
        <v>893</v>
      </c>
      <c r="N917" s="917" t="s">
        <v>894</v>
      </c>
      <c r="O917" s="2987"/>
    </row>
    <row r="918" spans="3:15" x14ac:dyDescent="0.3">
      <c r="C918" s="908" t="s">
        <v>895</v>
      </c>
      <c r="D918" s="1784">
        <v>0</v>
      </c>
      <c r="E918" s="1784">
        <v>0</v>
      </c>
      <c r="F918" s="1784">
        <v>0</v>
      </c>
      <c r="G918" s="1784">
        <v>0</v>
      </c>
      <c r="H918" s="1787">
        <v>0</v>
      </c>
      <c r="J918" s="908" t="s">
        <v>895</v>
      </c>
      <c r="K918" s="1784">
        <v>0</v>
      </c>
      <c r="L918" s="1784">
        <v>0</v>
      </c>
      <c r="M918" s="1784">
        <v>0</v>
      </c>
      <c r="N918" s="1784">
        <v>0</v>
      </c>
      <c r="O918" s="1787">
        <v>0</v>
      </c>
    </row>
    <row r="919" spans="3:15" x14ac:dyDescent="0.3">
      <c r="C919" s="915" t="s">
        <v>896</v>
      </c>
      <c r="D919" s="1784">
        <v>0</v>
      </c>
      <c r="E919" s="1784">
        <v>0</v>
      </c>
      <c r="F919" s="1784">
        <v>0</v>
      </c>
      <c r="G919" s="1784">
        <v>0</v>
      </c>
      <c r="H919" s="1787">
        <v>0</v>
      </c>
      <c r="J919" s="915" t="s">
        <v>896</v>
      </c>
      <c r="K919" s="1784">
        <v>0</v>
      </c>
      <c r="L919" s="1784">
        <v>0</v>
      </c>
      <c r="M919" s="1784">
        <v>0</v>
      </c>
      <c r="N919" s="1784">
        <v>0</v>
      </c>
      <c r="O919" s="1787">
        <v>0</v>
      </c>
    </row>
    <row r="920" spans="3:15" ht="17.25" thickBot="1" x14ac:dyDescent="0.35">
      <c r="C920" s="911" t="s">
        <v>35</v>
      </c>
      <c r="D920" s="1788">
        <v>0</v>
      </c>
      <c r="E920" s="1788">
        <v>0</v>
      </c>
      <c r="F920" s="1788">
        <v>0</v>
      </c>
      <c r="G920" s="1788">
        <v>0</v>
      </c>
      <c r="H920" s="1789">
        <v>0</v>
      </c>
      <c r="J920" s="911" t="s">
        <v>35</v>
      </c>
      <c r="K920" s="2292">
        <v>0</v>
      </c>
      <c r="L920" s="2292">
        <v>0</v>
      </c>
      <c r="M920" s="2292">
        <v>0</v>
      </c>
      <c r="N920" s="2292">
        <v>0</v>
      </c>
      <c r="O920" s="2293">
        <v>0</v>
      </c>
    </row>
    <row r="921" spans="3:15" x14ac:dyDescent="0.3">
      <c r="C921" s="1" t="s">
        <v>905</v>
      </c>
      <c r="J921" s="1" t="s">
        <v>905</v>
      </c>
    </row>
    <row r="923" spans="3:15" x14ac:dyDescent="0.3">
      <c r="C923" s="2988" t="s">
        <v>944</v>
      </c>
      <c r="D923" s="2988"/>
      <c r="E923" s="2988"/>
      <c r="F923" s="2988"/>
      <c r="G923" s="2988"/>
      <c r="H923" s="2988"/>
      <c r="I923" s="2988"/>
    </row>
    <row r="924" spans="3:15" ht="17.25" thickBot="1" x14ac:dyDescent="0.35">
      <c r="G924" s="182" t="s">
        <v>898</v>
      </c>
    </row>
    <row r="925" spans="3:15" x14ac:dyDescent="0.3">
      <c r="C925" s="2983" t="s">
        <v>741</v>
      </c>
      <c r="D925" s="2992" t="s">
        <v>899</v>
      </c>
      <c r="E925" s="2992"/>
      <c r="F925" s="2992"/>
      <c r="G925" s="2993"/>
    </row>
    <row r="926" spans="3:15" x14ac:dyDescent="0.3">
      <c r="C926" s="2984"/>
      <c r="D926" s="187" t="s">
        <v>891</v>
      </c>
      <c r="E926" s="187" t="s">
        <v>892</v>
      </c>
      <c r="F926" s="187" t="s">
        <v>893</v>
      </c>
      <c r="G926" s="916" t="s">
        <v>894</v>
      </c>
    </row>
    <row r="927" spans="3:15" x14ac:dyDescent="0.3">
      <c r="C927" s="908" t="s">
        <v>895</v>
      </c>
      <c r="D927" s="1784">
        <v>0</v>
      </c>
      <c r="E927" s="1784">
        <v>0</v>
      </c>
      <c r="F927" s="1784">
        <v>0</v>
      </c>
      <c r="G927" s="1787">
        <v>0</v>
      </c>
    </row>
    <row r="928" spans="3:15" x14ac:dyDescent="0.3">
      <c r="C928" s="908" t="s">
        <v>900</v>
      </c>
      <c r="D928" s="1784">
        <v>0</v>
      </c>
      <c r="E928" s="1784">
        <v>0</v>
      </c>
      <c r="F928" s="1784">
        <v>0</v>
      </c>
      <c r="G928" s="1787">
        <v>0</v>
      </c>
    </row>
    <row r="929" spans="3:10" x14ac:dyDescent="0.3">
      <c r="C929" s="908" t="s">
        <v>901</v>
      </c>
      <c r="D929" s="1784">
        <v>0</v>
      </c>
      <c r="E929" s="1784">
        <v>0</v>
      </c>
      <c r="F929" s="1784">
        <v>0</v>
      </c>
      <c r="G929" s="1787">
        <v>0</v>
      </c>
    </row>
    <row r="930" spans="3:10" x14ac:dyDescent="0.3">
      <c r="C930" s="908" t="s">
        <v>896</v>
      </c>
      <c r="D930" s="1784">
        <v>0</v>
      </c>
      <c r="E930" s="1784">
        <v>0</v>
      </c>
      <c r="F930" s="1784">
        <v>0</v>
      </c>
      <c r="G930" s="1787">
        <v>0</v>
      </c>
    </row>
    <row r="931" spans="3:10" x14ac:dyDescent="0.3">
      <c r="C931" s="908" t="s">
        <v>900</v>
      </c>
      <c r="D931" s="1784">
        <v>0</v>
      </c>
      <c r="E931" s="1784">
        <v>0</v>
      </c>
      <c r="F931" s="1784">
        <v>0</v>
      </c>
      <c r="G931" s="1787">
        <v>0</v>
      </c>
    </row>
    <row r="932" spans="3:10" ht="17.25" thickBot="1" x14ac:dyDescent="0.35">
      <c r="C932" s="911" t="s">
        <v>901</v>
      </c>
      <c r="D932" s="1788">
        <v>0</v>
      </c>
      <c r="E932" s="1788">
        <v>0</v>
      </c>
      <c r="F932" s="1788">
        <v>0</v>
      </c>
      <c r="G932" s="1789">
        <v>0</v>
      </c>
    </row>
    <row r="934" spans="3:10" x14ac:dyDescent="0.3">
      <c r="C934" s="403"/>
      <c r="D934" s="534"/>
      <c r="E934" s="534"/>
      <c r="F934" s="534"/>
      <c r="G934" s="534"/>
      <c r="H934" s="534"/>
      <c r="I934" s="534"/>
      <c r="J934" s="536"/>
    </row>
    <row r="935" spans="3:10" x14ac:dyDescent="0.3">
      <c r="C935" s="186"/>
      <c r="J935" s="6"/>
    </row>
    <row r="936" spans="3:10" x14ac:dyDescent="0.3">
      <c r="C936" s="186"/>
      <c r="J936" s="6"/>
    </row>
    <row r="937" spans="3:10" x14ac:dyDescent="0.3">
      <c r="C937" s="186"/>
      <c r="J937" s="6"/>
    </row>
    <row r="938" spans="3:10" x14ac:dyDescent="0.3">
      <c r="C938" s="186"/>
      <c r="J938" s="6"/>
    </row>
    <row r="939" spans="3:10" x14ac:dyDescent="0.3">
      <c r="C939" s="186"/>
      <c r="J939" s="6"/>
    </row>
    <row r="940" spans="3:10" x14ac:dyDescent="0.3">
      <c r="C940" s="186"/>
      <c r="J940" s="6"/>
    </row>
    <row r="941" spans="3:10" x14ac:dyDescent="0.3">
      <c r="C941" s="186"/>
      <c r="J941" s="6"/>
    </row>
    <row r="942" spans="3:10" x14ac:dyDescent="0.3">
      <c r="C942" s="186"/>
      <c r="J942" s="6"/>
    </row>
    <row r="943" spans="3:10" x14ac:dyDescent="0.3">
      <c r="C943" s="186"/>
      <c r="J943" s="6"/>
    </row>
    <row r="944" spans="3:10" x14ac:dyDescent="0.3">
      <c r="C944" s="964"/>
      <c r="D944" s="535"/>
      <c r="E944" s="535"/>
      <c r="F944" s="535"/>
      <c r="G944" s="535"/>
      <c r="H944" s="535"/>
      <c r="I944" s="535"/>
      <c r="J944" s="7"/>
    </row>
    <row r="946" spans="3:10" x14ac:dyDescent="0.3">
      <c r="C946" s="4" t="s">
        <v>906</v>
      </c>
    </row>
    <row r="947" spans="3:10" x14ac:dyDescent="0.3">
      <c r="C947" s="4"/>
    </row>
    <row r="948" spans="3:10" x14ac:dyDescent="0.3">
      <c r="C948" s="403" t="s">
        <v>3545</v>
      </c>
      <c r="D948" s="534"/>
      <c r="E948" s="534"/>
      <c r="F948" s="534"/>
      <c r="G948" s="534"/>
      <c r="H948" s="534"/>
      <c r="I948" s="534"/>
      <c r="J948" s="536"/>
    </row>
    <row r="949" spans="3:10" x14ac:dyDescent="0.3">
      <c r="C949" s="1112"/>
      <c r="J949" s="6"/>
    </row>
    <row r="950" spans="3:10" x14ac:dyDescent="0.3">
      <c r="C950" s="1112"/>
      <c r="J950" s="6"/>
    </row>
    <row r="951" spans="3:10" x14ac:dyDescent="0.3">
      <c r="C951" s="1112"/>
      <c r="J951" s="6"/>
    </row>
    <row r="952" spans="3:10" x14ac:dyDescent="0.3">
      <c r="C952" s="1112"/>
      <c r="J952" s="6"/>
    </row>
    <row r="953" spans="3:10" x14ac:dyDescent="0.3">
      <c r="C953" s="1112"/>
      <c r="J953" s="6"/>
    </row>
    <row r="954" spans="3:10" x14ac:dyDescent="0.3">
      <c r="C954" s="1112"/>
      <c r="J954" s="6"/>
    </row>
    <row r="955" spans="3:10" x14ac:dyDescent="0.3">
      <c r="C955" s="1112"/>
      <c r="J955" s="6"/>
    </row>
    <row r="956" spans="3:10" x14ac:dyDescent="0.3">
      <c r="C956" s="1112"/>
      <c r="J956" s="6"/>
    </row>
    <row r="957" spans="3:10" x14ac:dyDescent="0.3">
      <c r="C957" s="1113"/>
      <c r="D957" s="535"/>
      <c r="E957" s="535"/>
      <c r="F957" s="535"/>
      <c r="G957" s="535"/>
      <c r="H957" s="535"/>
      <c r="I957" s="535"/>
      <c r="J957" s="7"/>
    </row>
    <row r="958" spans="3:10" x14ac:dyDescent="0.3">
      <c r="C958" s="5"/>
      <c r="D958" s="5"/>
      <c r="E958" s="5"/>
      <c r="F958" s="5"/>
      <c r="G958" s="5"/>
      <c r="H958" s="5"/>
      <c r="I958" s="5"/>
    </row>
    <row r="959" spans="3:10" x14ac:dyDescent="0.3">
      <c r="C959" s="2980" t="s">
        <v>946</v>
      </c>
      <c r="D959" s="2980"/>
      <c r="E959" s="2980"/>
      <c r="F959" s="2980"/>
      <c r="G959" s="2980"/>
      <c r="H959" s="2980"/>
      <c r="I959" s="2980"/>
    </row>
    <row r="960" spans="3:10" x14ac:dyDescent="0.3">
      <c r="C960" s="181" t="s">
        <v>3540</v>
      </c>
      <c r="D960" s="181"/>
      <c r="E960" s="181"/>
      <c r="F960" s="181"/>
      <c r="G960" s="181"/>
      <c r="H960" s="181"/>
      <c r="I960" s="181"/>
    </row>
    <row r="961" spans="3:10" x14ac:dyDescent="0.3">
      <c r="C961" s="2981"/>
      <c r="D961" s="2981"/>
      <c r="E961" s="2981"/>
      <c r="F961" s="2981"/>
      <c r="G961" s="2981"/>
      <c r="H961" s="2981"/>
      <c r="I961" s="2981"/>
    </row>
    <row r="962" spans="3:10" ht="17.25" thickBot="1" x14ac:dyDescent="0.35">
      <c r="C962" s="2982"/>
      <c r="D962" s="2982"/>
      <c r="E962" s="2982"/>
      <c r="F962" s="2982"/>
      <c r="G962" s="2982"/>
      <c r="H962" s="2982"/>
      <c r="I962" s="2982"/>
    </row>
    <row r="963" spans="3:10" ht="45" x14ac:dyDescent="0.3">
      <c r="C963" s="919" t="s">
        <v>907</v>
      </c>
      <c r="D963" s="920" t="s">
        <v>908</v>
      </c>
      <c r="E963" s="920" t="s">
        <v>909</v>
      </c>
      <c r="F963" s="920" t="s">
        <v>910</v>
      </c>
      <c r="G963" s="920" t="s">
        <v>911</v>
      </c>
      <c r="H963" s="920" t="s">
        <v>912</v>
      </c>
      <c r="I963" s="921" t="s">
        <v>913</v>
      </c>
    </row>
    <row r="964" spans="3:10" ht="17.25" thickBot="1" x14ac:dyDescent="0.35">
      <c r="C964" s="911" t="s">
        <v>914</v>
      </c>
      <c r="D964" s="912" t="s">
        <v>915</v>
      </c>
      <c r="E964" s="912" t="s">
        <v>916</v>
      </c>
      <c r="F964" s="912"/>
      <c r="G964" s="912"/>
      <c r="H964" s="912"/>
      <c r="I964" s="913"/>
    </row>
    <row r="966" spans="3:10" x14ac:dyDescent="0.3">
      <c r="C966" s="403"/>
      <c r="D966" s="534"/>
      <c r="E966" s="534"/>
      <c r="F966" s="534"/>
      <c r="G966" s="534"/>
      <c r="H966" s="534"/>
      <c r="I966" s="534"/>
      <c r="J966" s="536"/>
    </row>
    <row r="967" spans="3:10" x14ac:dyDescent="0.3">
      <c r="C967" s="186"/>
      <c r="J967" s="6"/>
    </row>
    <row r="968" spans="3:10" x14ac:dyDescent="0.3">
      <c r="C968" s="186"/>
      <c r="J968" s="6"/>
    </row>
    <row r="969" spans="3:10" x14ac:dyDescent="0.3">
      <c r="C969" s="186"/>
      <c r="J969" s="6"/>
    </row>
    <row r="970" spans="3:10" x14ac:dyDescent="0.3">
      <c r="C970" s="186"/>
      <c r="J970" s="6"/>
    </row>
    <row r="971" spans="3:10" x14ac:dyDescent="0.3">
      <c r="C971" s="186"/>
      <c r="J971" s="6"/>
    </row>
    <row r="972" spans="3:10" x14ac:dyDescent="0.3">
      <c r="C972" s="186"/>
      <c r="J972" s="6"/>
    </row>
    <row r="973" spans="3:10" x14ac:dyDescent="0.3">
      <c r="C973" s="186"/>
      <c r="J973" s="6"/>
    </row>
    <row r="974" spans="3:10" x14ac:dyDescent="0.3">
      <c r="C974" s="186"/>
      <c r="J974" s="6"/>
    </row>
    <row r="975" spans="3:10" x14ac:dyDescent="0.3">
      <c r="C975" s="186"/>
      <c r="J975" s="6"/>
    </row>
    <row r="976" spans="3:10" x14ac:dyDescent="0.3">
      <c r="C976" s="186"/>
      <c r="J976" s="6"/>
    </row>
    <row r="977" spans="3:10" x14ac:dyDescent="0.3">
      <c r="C977" s="964"/>
      <c r="D977" s="535"/>
      <c r="E977" s="535"/>
      <c r="F977" s="535"/>
      <c r="G977" s="535"/>
      <c r="H977" s="535"/>
      <c r="I977" s="535"/>
      <c r="J977" s="7"/>
    </row>
    <row r="979" spans="3:10" x14ac:dyDescent="0.3">
      <c r="C979" s="4" t="s">
        <v>947</v>
      </c>
    </row>
    <row r="980" spans="3:10" x14ac:dyDescent="0.3">
      <c r="C980" s="4"/>
    </row>
    <row r="981" spans="3:10" ht="33" x14ac:dyDescent="0.3">
      <c r="C981" s="2397" t="s">
        <v>3544</v>
      </c>
      <c r="D981" s="534"/>
      <c r="E981" s="534"/>
      <c r="F981" s="534"/>
      <c r="G981" s="534"/>
      <c r="H981" s="534"/>
      <c r="I981" s="534"/>
      <c r="J981" s="536"/>
    </row>
    <row r="982" spans="3:10" x14ac:dyDescent="0.3">
      <c r="C982" s="1112"/>
      <c r="J982" s="6"/>
    </row>
    <row r="983" spans="3:10" x14ac:dyDescent="0.3">
      <c r="C983" s="1112"/>
      <c r="J983" s="6"/>
    </row>
    <row r="984" spans="3:10" x14ac:dyDescent="0.3">
      <c r="C984" s="1112"/>
      <c r="J984" s="6"/>
    </row>
    <row r="985" spans="3:10" x14ac:dyDescent="0.3">
      <c r="C985" s="1112"/>
      <c r="J985" s="6"/>
    </row>
    <row r="986" spans="3:10" x14ac:dyDescent="0.3">
      <c r="C986" s="1112"/>
      <c r="J986" s="6"/>
    </row>
    <row r="987" spans="3:10" x14ac:dyDescent="0.3">
      <c r="C987" s="1113"/>
      <c r="D987" s="535"/>
      <c r="E987" s="535"/>
      <c r="F987" s="535"/>
      <c r="G987" s="535"/>
      <c r="H987" s="535"/>
      <c r="I987" s="535"/>
      <c r="J987" s="7"/>
    </row>
    <row r="989" spans="3:10" x14ac:dyDescent="0.3">
      <c r="C989" s="2980" t="s">
        <v>948</v>
      </c>
      <c r="D989" s="2980"/>
      <c r="E989" s="2980"/>
      <c r="F989" s="2980"/>
      <c r="G989" s="2980"/>
      <c r="H989" s="2980"/>
      <c r="I989" s="2980"/>
    </row>
    <row r="990" spans="3:10" x14ac:dyDescent="0.3">
      <c r="C990" s="181"/>
      <c r="D990" s="181"/>
      <c r="E990" s="181"/>
      <c r="F990" s="181"/>
      <c r="G990" s="181"/>
      <c r="H990" s="181"/>
      <c r="I990" s="181"/>
    </row>
    <row r="991" spans="3:10" x14ac:dyDescent="0.3">
      <c r="C991" s="551" t="s">
        <v>3541</v>
      </c>
      <c r="D991" s="181"/>
      <c r="E991" s="181"/>
      <c r="F991" s="181"/>
      <c r="G991" s="181"/>
      <c r="H991" s="181"/>
      <c r="I991" s="181"/>
    </row>
    <row r="992" spans="3:10" ht="17.25" thickBot="1" x14ac:dyDescent="0.35">
      <c r="C992" s="181"/>
      <c r="D992" s="181"/>
      <c r="E992" s="181"/>
      <c r="F992" s="181"/>
      <c r="G992" s="181"/>
      <c r="H992" s="181"/>
      <c r="I992" s="181"/>
    </row>
    <row r="993" spans="3:11" ht="75" x14ac:dyDescent="0.3">
      <c r="C993" s="919" t="s">
        <v>917</v>
      </c>
      <c r="D993" s="920" t="s">
        <v>918</v>
      </c>
      <c r="E993" s="920" t="s">
        <v>925</v>
      </c>
      <c r="F993" s="920" t="s">
        <v>919</v>
      </c>
      <c r="G993" s="920" t="s">
        <v>926</v>
      </c>
      <c r="H993" s="921" t="s">
        <v>919</v>
      </c>
      <c r="I993" s="28"/>
      <c r="J993" s="28"/>
      <c r="K993" s="28"/>
    </row>
    <row r="994" spans="3:11" x14ac:dyDescent="0.3">
      <c r="C994" s="908"/>
      <c r="D994" s="183" t="s">
        <v>920</v>
      </c>
      <c r="E994" s="183"/>
      <c r="F994" s="183"/>
      <c r="G994" s="183"/>
      <c r="H994" s="909"/>
      <c r="K994" s="177"/>
    </row>
    <row r="995" spans="3:11" x14ac:dyDescent="0.3">
      <c r="C995" s="908"/>
      <c r="D995" s="183" t="s">
        <v>921</v>
      </c>
      <c r="E995" s="183"/>
      <c r="F995" s="183"/>
      <c r="G995" s="183"/>
      <c r="H995" s="909"/>
    </row>
    <row r="996" spans="3:11" x14ac:dyDescent="0.3">
      <c r="C996" s="908"/>
      <c r="D996" s="183" t="s">
        <v>922</v>
      </c>
      <c r="E996" s="183"/>
      <c r="F996" s="183"/>
      <c r="G996" s="183"/>
      <c r="H996" s="909"/>
    </row>
    <row r="997" spans="3:11" x14ac:dyDescent="0.3">
      <c r="C997" s="908"/>
      <c r="D997" s="923" t="s">
        <v>923</v>
      </c>
      <c r="E997" s="183"/>
      <c r="F997" s="183"/>
      <c r="G997" s="183"/>
      <c r="H997" s="909"/>
    </row>
    <row r="998" spans="3:11" ht="17.25" thickBot="1" x14ac:dyDescent="0.35">
      <c r="C998" s="911"/>
      <c r="D998" s="924" t="s">
        <v>924</v>
      </c>
      <c r="E998" s="912"/>
      <c r="F998" s="912"/>
      <c r="G998" s="912"/>
      <c r="H998" s="913"/>
    </row>
    <row r="1000" spans="3:11" x14ac:dyDescent="0.3">
      <c r="C1000" s="403"/>
      <c r="D1000" s="534"/>
      <c r="E1000" s="534"/>
      <c r="F1000" s="534"/>
      <c r="G1000" s="534"/>
      <c r="H1000" s="534"/>
      <c r="I1000" s="534"/>
      <c r="J1000" s="536"/>
    </row>
    <row r="1001" spans="3:11" x14ac:dyDescent="0.3">
      <c r="C1001" s="186"/>
      <c r="J1001" s="6"/>
    </row>
    <row r="1002" spans="3:11" x14ac:dyDescent="0.3">
      <c r="C1002" s="186"/>
      <c r="J1002" s="6"/>
    </row>
    <row r="1003" spans="3:11" x14ac:dyDescent="0.3">
      <c r="C1003" s="186"/>
      <c r="J1003" s="6"/>
    </row>
    <row r="1004" spans="3:11" x14ac:dyDescent="0.3">
      <c r="C1004" s="186"/>
      <c r="J1004" s="6"/>
    </row>
    <row r="1005" spans="3:11" x14ac:dyDescent="0.3">
      <c r="C1005" s="186"/>
      <c r="J1005" s="6"/>
    </row>
    <row r="1006" spans="3:11" x14ac:dyDescent="0.3">
      <c r="C1006" s="186"/>
      <c r="J1006" s="6"/>
    </row>
    <row r="1007" spans="3:11" x14ac:dyDescent="0.3">
      <c r="C1007" s="964"/>
      <c r="D1007" s="535"/>
      <c r="E1007" s="535"/>
      <c r="F1007" s="535"/>
      <c r="G1007" s="535"/>
      <c r="H1007" s="535"/>
      <c r="I1007" s="535"/>
      <c r="J1007" s="7"/>
    </row>
    <row r="1009" spans="3:10" x14ac:dyDescent="0.3">
      <c r="C1009" s="4" t="s">
        <v>949</v>
      </c>
    </row>
    <row r="1010" spans="3:10" x14ac:dyDescent="0.3">
      <c r="C1010" s="4"/>
    </row>
    <row r="1011" spans="3:10" x14ac:dyDescent="0.3">
      <c r="C1011" s="403" t="s">
        <v>3543</v>
      </c>
      <c r="D1011" s="534"/>
      <c r="E1011" s="534"/>
      <c r="F1011" s="534"/>
      <c r="G1011" s="534"/>
      <c r="H1011" s="534"/>
      <c r="I1011" s="534"/>
      <c r="J1011" s="536"/>
    </row>
    <row r="1012" spans="3:10" x14ac:dyDescent="0.3">
      <c r="C1012" s="1112"/>
      <c r="J1012" s="6"/>
    </row>
    <row r="1013" spans="3:10" x14ac:dyDescent="0.3">
      <c r="C1013" s="1112"/>
      <c r="J1013" s="6"/>
    </row>
    <row r="1014" spans="3:10" x14ac:dyDescent="0.3">
      <c r="C1014" s="1112"/>
      <c r="J1014" s="6"/>
    </row>
    <row r="1015" spans="3:10" x14ac:dyDescent="0.3">
      <c r="C1015" s="1112"/>
      <c r="J1015" s="6"/>
    </row>
    <row r="1016" spans="3:10" x14ac:dyDescent="0.3">
      <c r="C1016" s="1112"/>
      <c r="J1016" s="6"/>
    </row>
    <row r="1017" spans="3:10" x14ac:dyDescent="0.3">
      <c r="C1017" s="1112"/>
      <c r="J1017" s="6"/>
    </row>
    <row r="1018" spans="3:10" x14ac:dyDescent="0.3">
      <c r="C1018" s="1112"/>
      <c r="J1018" s="6"/>
    </row>
    <row r="1019" spans="3:10" x14ac:dyDescent="0.3">
      <c r="C1019" s="1113"/>
      <c r="D1019" s="535"/>
      <c r="E1019" s="535"/>
      <c r="F1019" s="535"/>
      <c r="G1019" s="535"/>
      <c r="H1019" s="535"/>
      <c r="I1019" s="535"/>
      <c r="J1019" s="7"/>
    </row>
    <row r="1020" spans="3:10" x14ac:dyDescent="0.3">
      <c r="C1020" s="4"/>
    </row>
    <row r="1021" spans="3:10" x14ac:dyDescent="0.3">
      <c r="C1021" s="4" t="s">
        <v>950</v>
      </c>
    </row>
    <row r="1022" spans="3:10" x14ac:dyDescent="0.3">
      <c r="C1022" s="4"/>
    </row>
    <row r="1023" spans="3:10" x14ac:dyDescent="0.3">
      <c r="C1023" s="296"/>
      <c r="D1023" s="534"/>
      <c r="E1023" s="534"/>
      <c r="F1023" s="534"/>
      <c r="G1023" s="534"/>
      <c r="H1023" s="534"/>
      <c r="I1023" s="534"/>
      <c r="J1023" s="536"/>
    </row>
    <row r="1024" spans="3:10" x14ac:dyDescent="0.3">
      <c r="C1024" s="1112"/>
      <c r="J1024" s="6"/>
    </row>
    <row r="1025" spans="3:10" x14ac:dyDescent="0.3">
      <c r="C1025" s="1112"/>
      <c r="J1025" s="6"/>
    </row>
    <row r="1026" spans="3:10" x14ac:dyDescent="0.3">
      <c r="C1026" s="1112"/>
      <c r="J1026" s="6"/>
    </row>
    <row r="1027" spans="3:10" x14ac:dyDescent="0.3">
      <c r="C1027" s="1112"/>
      <c r="J1027" s="6"/>
    </row>
    <row r="1028" spans="3:10" x14ac:dyDescent="0.3">
      <c r="C1028" s="1112"/>
      <c r="J1028" s="6"/>
    </row>
    <row r="1029" spans="3:10" x14ac:dyDescent="0.3">
      <c r="C1029" s="1112"/>
      <c r="J1029" s="6"/>
    </row>
    <row r="1030" spans="3:10" x14ac:dyDescent="0.3">
      <c r="C1030" s="964"/>
      <c r="D1030" s="535"/>
      <c r="E1030" s="535"/>
      <c r="F1030" s="535"/>
      <c r="G1030" s="535"/>
      <c r="H1030" s="535"/>
      <c r="I1030" s="535"/>
      <c r="J1030" s="7"/>
    </row>
    <row r="1032" spans="3:10" x14ac:dyDescent="0.3">
      <c r="C1032" s="4" t="s">
        <v>951</v>
      </c>
    </row>
    <row r="1033" spans="3:10" ht="17.25" thickBot="1" x14ac:dyDescent="0.35"/>
    <row r="1034" spans="3:10" x14ac:dyDescent="0.3">
      <c r="C1034" s="926" t="s">
        <v>937</v>
      </c>
      <c r="D1034" s="927" t="s">
        <v>938</v>
      </c>
      <c r="E1034" s="927" t="s">
        <v>939</v>
      </c>
      <c r="F1034" s="927" t="s">
        <v>884</v>
      </c>
      <c r="G1034" s="927" t="s">
        <v>885</v>
      </c>
      <c r="H1034" s="927" t="s">
        <v>940</v>
      </c>
      <c r="I1034" s="928" t="s">
        <v>3883</v>
      </c>
    </row>
    <row r="1035" spans="3:10" x14ac:dyDescent="0.3">
      <c r="C1035" s="908" t="s">
        <v>941</v>
      </c>
      <c r="D1035" s="183" t="s">
        <v>1013</v>
      </c>
      <c r="E1035" s="183" t="s">
        <v>953</v>
      </c>
      <c r="F1035" s="2684">
        <f>+'Balance Sheet'!F63/'Balance Sheet'!F37</f>
        <v>2.7349676010679191</v>
      </c>
      <c r="G1035" s="2684">
        <f ca="1">+'Balance Sheet'!G63/'Balance Sheet'!G37</f>
        <v>3.1896021209394894</v>
      </c>
      <c r="H1035" s="1784">
        <f ca="1">(F1035-G1035)/G1035</f>
        <v>-0.14253643640594857</v>
      </c>
      <c r="I1035" s="909"/>
    </row>
    <row r="1036" spans="3:10" x14ac:dyDescent="0.3">
      <c r="C1036" s="908" t="s">
        <v>927</v>
      </c>
      <c r="D1036" s="183" t="s">
        <v>1924</v>
      </c>
      <c r="E1036" s="183" t="s">
        <v>1925</v>
      </c>
      <c r="F1036" s="2684">
        <f>+'Balance Sheet'!F28/('Balance Sheet'!F17+'Balance Sheet'!F18)</f>
        <v>0</v>
      </c>
      <c r="G1036" s="2684">
        <f>+'Balance Sheet'!G28/('Balance Sheet'!G17+'Balance Sheet'!G18)</f>
        <v>0</v>
      </c>
      <c r="H1036" s="1808" t="s">
        <v>3193</v>
      </c>
      <c r="I1036" s="909"/>
    </row>
    <row r="1037" spans="3:10" x14ac:dyDescent="0.3">
      <c r="C1037" s="908" t="s">
        <v>928</v>
      </c>
      <c r="D1037" s="183" t="s">
        <v>1926</v>
      </c>
      <c r="E1037" s="183" t="s">
        <v>1927</v>
      </c>
      <c r="F1037" s="2684">
        <v>0</v>
      </c>
      <c r="G1037" s="2684">
        <v>0</v>
      </c>
      <c r="H1037" s="1808" t="s">
        <v>3193</v>
      </c>
      <c r="I1037" s="909"/>
    </row>
    <row r="1038" spans="3:10" x14ac:dyDescent="0.3">
      <c r="C1038" s="908" t="s">
        <v>929</v>
      </c>
      <c r="D1038" s="183" t="s">
        <v>655</v>
      </c>
      <c r="E1038" s="183" t="s">
        <v>1928</v>
      </c>
      <c r="F1038" s="2684">
        <f>+'Profit and Loss'!F64/(('Balance Sheet'!F20+'Balance Sheet'!G20)/2)</f>
        <v>0.29063171005210248</v>
      </c>
      <c r="G1038" s="2684">
        <f>+'Profit and Loss'!G64/(('Balance Sheet'!G20+'Balance Sheet-FY 22-23'!F20)/2)</f>
        <v>0.24511500408900858</v>
      </c>
      <c r="H1038" s="1784">
        <f>+(F1038-G1038)/G1038</f>
        <v>0.18569530711618709</v>
      </c>
      <c r="I1038" s="909"/>
    </row>
    <row r="1039" spans="3:10" x14ac:dyDescent="0.3">
      <c r="C1039" s="908" t="s">
        <v>930</v>
      </c>
      <c r="D1039" s="183" t="s">
        <v>1929</v>
      </c>
      <c r="E1039" s="183" t="s">
        <v>1930</v>
      </c>
      <c r="F1039" s="2684">
        <f>+('Balance Sheet'!G58+'Profit and Loss'!F22-'Balance Sheet'!F58)/(('Balance Sheet'!F58+'Balance Sheet'!G58)/2)</f>
        <v>54.7885651399232</v>
      </c>
      <c r="G1039" s="2684">
        <f>+('Balance Sheet-FY 22-23'!F58+'Profit and Loss'!G22-'Balance Sheet'!G58)/(('Balance Sheet'!G58+'Balance Sheet-FY 22-23'!F58)/2)</f>
        <v>15.750944274840249</v>
      </c>
      <c r="H1039" s="1784">
        <f t="shared" ref="H1039:H1045" si="3">+(F1039-G1039)/G1039</f>
        <v>2.4784305108259219</v>
      </c>
      <c r="I1039" s="909"/>
    </row>
    <row r="1040" spans="3:10" x14ac:dyDescent="0.3">
      <c r="C1040" s="908" t="s">
        <v>931</v>
      </c>
      <c r="D1040" s="183" t="s">
        <v>748</v>
      </c>
      <c r="E1040" s="183" t="s">
        <v>1931</v>
      </c>
      <c r="F1040" s="2684">
        <f>+'Profit and Loss'!F16/(('Balance Sheet'!F59+'Balance Sheet'!G59)/2)</f>
        <v>12.399565385185975</v>
      </c>
      <c r="G1040" s="2684">
        <f>+'Profit and Loss'!G16/(('Balance Sheet'!G59+'Balance Sheet-FY 22-23'!F59)/2)</f>
        <v>17.004141105526312</v>
      </c>
      <c r="H1040" s="1784">
        <f t="shared" si="3"/>
        <v>-0.27079143202615857</v>
      </c>
      <c r="I1040" s="909"/>
    </row>
    <row r="1041" spans="3:10" x14ac:dyDescent="0.3">
      <c r="C1041" s="908" t="s">
        <v>932</v>
      </c>
      <c r="D1041" s="183" t="s">
        <v>1932</v>
      </c>
      <c r="E1041" s="183" t="s">
        <v>1933</v>
      </c>
      <c r="F1041" s="2684">
        <f>+'Profit and Loss'!F22/(('Balance Sheet'!F34+'Balance Sheet'!F33+'Balance Sheet'!G34)/2)</f>
        <v>4.000783013638789</v>
      </c>
      <c r="G1041" s="2684">
        <f>+'Profit and Loss'!G22/(('Balance Sheet'!G34+'Balance Sheet'!G33+'Balance Sheet-FY 22-23'!F34)/2)</f>
        <v>3.6919466778910643</v>
      </c>
      <c r="H1041" s="1784">
        <f t="shared" si="3"/>
        <v>8.3651353254142857E-2</v>
      </c>
      <c r="I1041" s="909"/>
    </row>
    <row r="1042" spans="3:10" x14ac:dyDescent="0.3">
      <c r="C1042" s="908" t="s">
        <v>933</v>
      </c>
      <c r="D1042" s="183" t="s">
        <v>748</v>
      </c>
      <c r="E1042" s="183" t="s">
        <v>1934</v>
      </c>
      <c r="F1042" s="2684">
        <f>+'Profit and Loss'!F16/('Balance Sheet'!F63-'Balance Sheet'!F37)</f>
        <v>4.0610130896444048</v>
      </c>
      <c r="G1042" s="2684">
        <f ca="1">+'Profit and Loss'!G16/('Balance Sheet'!G63-'Balance Sheet'!G37)</f>
        <v>5.0794525336914287</v>
      </c>
      <c r="H1042" s="1784">
        <f t="shared" ca="1" si="3"/>
        <v>-0.20050181339265036</v>
      </c>
      <c r="I1042" s="909"/>
    </row>
    <row r="1043" spans="3:10" x14ac:dyDescent="0.3">
      <c r="C1043" s="908" t="s">
        <v>934</v>
      </c>
      <c r="D1043" s="183" t="s">
        <v>655</v>
      </c>
      <c r="E1043" s="183" t="s">
        <v>748</v>
      </c>
      <c r="F1043" s="1784">
        <f>+'Profit and Loss'!F64/'Profit and Loss'!F16</f>
        <v>6.3579828967924745E-2</v>
      </c>
      <c r="G1043" s="1784">
        <f>+'Profit and Loss'!G64/'Profit and Loss'!G16</f>
        <v>4.3801616595609168E-2</v>
      </c>
      <c r="H1043" s="1784">
        <f>(F1043-G1043)/G1043</f>
        <v>0.45154069437469613</v>
      </c>
      <c r="I1043" s="909"/>
    </row>
    <row r="1044" spans="3:10" ht="17.25" thickBot="1" x14ac:dyDescent="0.35">
      <c r="C1044" s="908" t="s">
        <v>935</v>
      </c>
      <c r="D1044" s="183" t="s">
        <v>1935</v>
      </c>
      <c r="E1044" s="183" t="s">
        <v>1936</v>
      </c>
      <c r="F1044" s="1784">
        <f>+Sheet2!C9</f>
        <v>0.37770232127608561</v>
      </c>
      <c r="G1044" s="1784">
        <f>+'Profit and Loss'!G38/(('Balance Sheet'!G20+'Balance Sheet-FY 22-23'!F20)/2)</f>
        <v>0.33303056147321441</v>
      </c>
      <c r="H1044" s="1784">
        <f t="shared" si="3"/>
        <v>0.13413711824301786</v>
      </c>
      <c r="I1044" s="909"/>
    </row>
    <row r="1045" spans="3:10" ht="17.25" hidden="1" thickBot="1" x14ac:dyDescent="0.35">
      <c r="C1045" s="911" t="s">
        <v>936</v>
      </c>
      <c r="D1045" s="912" t="s">
        <v>1937</v>
      </c>
      <c r="E1045" s="912" t="s">
        <v>1938</v>
      </c>
      <c r="F1045" s="1788">
        <f>+'Profit and Loss'!F64/('Balance Sheet'!F20+'Balance Sheet'!G20)/2</f>
        <v>7.2657927513025619E-2</v>
      </c>
      <c r="G1045" s="1788">
        <v>0.22</v>
      </c>
      <c r="H1045" s="1784">
        <f t="shared" si="3"/>
        <v>-0.66973669312261086</v>
      </c>
      <c r="I1045" s="913"/>
    </row>
    <row r="1046" spans="3:10" x14ac:dyDescent="0.3">
      <c r="C1046" s="2998" t="s">
        <v>952</v>
      </c>
      <c r="D1046" s="2998"/>
      <c r="E1046" s="2998"/>
      <c r="F1046" s="2998"/>
      <c r="G1046" s="2998"/>
      <c r="H1046" s="2998"/>
      <c r="I1046" s="2998"/>
    </row>
    <row r="1048" spans="3:10" x14ac:dyDescent="0.3">
      <c r="C1048" s="4" t="s">
        <v>954</v>
      </c>
    </row>
    <row r="1049" spans="3:10" x14ac:dyDescent="0.3">
      <c r="C1049" s="4"/>
    </row>
    <row r="1050" spans="3:10" x14ac:dyDescent="0.3">
      <c r="C1050" s="403" t="s">
        <v>3349</v>
      </c>
      <c r="D1050" s="534"/>
      <c r="E1050" s="534"/>
      <c r="F1050" s="534"/>
      <c r="G1050" s="534"/>
      <c r="H1050" s="534"/>
      <c r="I1050" s="534"/>
      <c r="J1050" s="536"/>
    </row>
    <row r="1051" spans="3:10" x14ac:dyDescent="0.3">
      <c r="C1051" s="1112"/>
      <c r="J1051" s="6"/>
    </row>
    <row r="1052" spans="3:10" x14ac:dyDescent="0.3">
      <c r="C1052" s="1112"/>
      <c r="J1052" s="6"/>
    </row>
    <row r="1053" spans="3:10" x14ac:dyDescent="0.3">
      <c r="C1053" s="1112"/>
      <c r="J1053" s="6"/>
    </row>
    <row r="1054" spans="3:10" x14ac:dyDescent="0.3">
      <c r="C1054" s="1112"/>
      <c r="J1054" s="6"/>
    </row>
    <row r="1055" spans="3:10" x14ac:dyDescent="0.3">
      <c r="C1055" s="1112"/>
      <c r="J1055" s="6"/>
    </row>
    <row r="1056" spans="3:10" x14ac:dyDescent="0.3">
      <c r="C1056" s="1112"/>
      <c r="J1056" s="6"/>
    </row>
    <row r="1057" spans="3:10" x14ac:dyDescent="0.3">
      <c r="C1057" s="1112"/>
      <c r="J1057" s="6"/>
    </row>
    <row r="1058" spans="3:10" x14ac:dyDescent="0.3">
      <c r="C1058" s="1113"/>
      <c r="D1058" s="535"/>
      <c r="E1058" s="535"/>
      <c r="F1058" s="535"/>
      <c r="G1058" s="535"/>
      <c r="H1058" s="535"/>
      <c r="I1058" s="535"/>
      <c r="J1058" s="7"/>
    </row>
    <row r="1060" spans="3:10" x14ac:dyDescent="0.3">
      <c r="C1060" s="4" t="s">
        <v>955</v>
      </c>
    </row>
    <row r="1062" spans="3:10" x14ac:dyDescent="0.3">
      <c r="C1062" s="403" t="s">
        <v>3542</v>
      </c>
      <c r="D1062" s="534"/>
      <c r="E1062" s="534"/>
      <c r="F1062" s="534"/>
      <c r="G1062" s="534"/>
      <c r="H1062" s="534"/>
      <c r="I1062" s="534"/>
      <c r="J1062" s="536"/>
    </row>
    <row r="1063" spans="3:10" x14ac:dyDescent="0.3">
      <c r="C1063" s="186"/>
      <c r="J1063" s="6"/>
    </row>
    <row r="1064" spans="3:10" x14ac:dyDescent="0.3">
      <c r="C1064" s="186"/>
      <c r="J1064" s="6"/>
    </row>
    <row r="1065" spans="3:10" x14ac:dyDescent="0.3">
      <c r="C1065" s="186"/>
      <c r="J1065" s="6"/>
    </row>
    <row r="1066" spans="3:10" x14ac:dyDescent="0.3">
      <c r="C1066" s="186"/>
      <c r="J1066" s="6"/>
    </row>
    <row r="1067" spans="3:10" x14ac:dyDescent="0.3">
      <c r="C1067" s="186"/>
      <c r="J1067" s="6"/>
    </row>
    <row r="1068" spans="3:10" x14ac:dyDescent="0.3">
      <c r="C1068" s="964"/>
      <c r="D1068" s="535"/>
      <c r="E1068" s="535"/>
      <c r="F1068" s="535"/>
      <c r="G1068" s="535"/>
      <c r="H1068" s="535"/>
      <c r="I1068" s="535"/>
      <c r="J1068" s="7"/>
    </row>
    <row r="1069" spans="3:10" x14ac:dyDescent="0.3">
      <c r="C1069" s="188"/>
      <c r="D1069" s="188"/>
      <c r="E1069" s="188"/>
      <c r="F1069" s="188"/>
      <c r="G1069" s="188"/>
      <c r="H1069" s="188"/>
      <c r="I1069" s="188"/>
    </row>
    <row r="1070" spans="3:10" x14ac:dyDescent="0.3">
      <c r="C1070" s="189" t="s">
        <v>956</v>
      </c>
      <c r="D1070" s="188"/>
      <c r="E1070" s="188"/>
      <c r="F1070" s="188"/>
      <c r="G1070" s="188"/>
      <c r="H1070" s="188"/>
      <c r="I1070" s="188"/>
    </row>
    <row r="1071" spans="3:10" x14ac:dyDescent="0.3">
      <c r="C1071" s="189"/>
      <c r="D1071" s="188"/>
      <c r="E1071" s="188"/>
      <c r="F1071" s="188"/>
      <c r="G1071" s="188"/>
      <c r="H1071" s="188"/>
      <c r="I1071" s="188"/>
    </row>
    <row r="1072" spans="3:10" x14ac:dyDescent="0.3">
      <c r="C1072" s="1107" t="s">
        <v>3546</v>
      </c>
      <c r="D1072" s="1118"/>
      <c r="E1072" s="1118"/>
      <c r="F1072" s="1118"/>
      <c r="G1072" s="1118"/>
      <c r="H1072" s="1118"/>
      <c r="I1072" s="1118"/>
      <c r="J1072" s="536"/>
    </row>
    <row r="1073" spans="3:10" x14ac:dyDescent="0.3">
      <c r="C1073" s="1119"/>
      <c r="D1073" s="188"/>
      <c r="E1073" s="188"/>
      <c r="F1073" s="188"/>
      <c r="G1073" s="188"/>
      <c r="H1073" s="188"/>
      <c r="I1073" s="188"/>
      <c r="J1073" s="6"/>
    </row>
    <row r="1074" spans="3:10" x14ac:dyDescent="0.3">
      <c r="C1074" s="1119"/>
      <c r="D1074" s="188"/>
      <c r="E1074" s="188"/>
      <c r="F1074" s="188"/>
      <c r="G1074" s="188"/>
      <c r="H1074" s="188"/>
      <c r="I1074" s="188"/>
      <c r="J1074" s="6"/>
    </row>
    <row r="1075" spans="3:10" x14ac:dyDescent="0.3">
      <c r="C1075" s="1119"/>
      <c r="D1075" s="188"/>
      <c r="E1075" s="188"/>
      <c r="F1075" s="188"/>
      <c r="G1075" s="188"/>
      <c r="H1075" s="188"/>
      <c r="I1075" s="188"/>
      <c r="J1075" s="6"/>
    </row>
    <row r="1076" spans="3:10" x14ac:dyDescent="0.3">
      <c r="C1076" s="1119"/>
      <c r="D1076" s="188"/>
      <c r="E1076" s="188"/>
      <c r="F1076" s="188"/>
      <c r="G1076" s="188"/>
      <c r="H1076" s="188"/>
      <c r="I1076" s="188"/>
      <c r="J1076" s="6"/>
    </row>
    <row r="1077" spans="3:10" x14ac:dyDescent="0.3">
      <c r="C1077" s="1119"/>
      <c r="D1077" s="188"/>
      <c r="E1077" s="188"/>
      <c r="F1077" s="188"/>
      <c r="G1077" s="188"/>
      <c r="H1077" s="188"/>
      <c r="I1077" s="188"/>
      <c r="J1077" s="6"/>
    </row>
    <row r="1078" spans="3:10" x14ac:dyDescent="0.3">
      <c r="C1078" s="1120"/>
      <c r="D1078" s="1121"/>
      <c r="E1078" s="1121"/>
      <c r="F1078" s="1121"/>
      <c r="G1078" s="1121"/>
      <c r="H1078" s="1121"/>
      <c r="I1078" s="1121"/>
      <c r="J1078" s="7"/>
    </row>
    <row r="1079" spans="3:10" x14ac:dyDescent="0.3">
      <c r="C1079" s="2981"/>
      <c r="D1079" s="2981"/>
      <c r="E1079" s="2981"/>
      <c r="F1079" s="2981"/>
      <c r="G1079" s="2981"/>
      <c r="H1079" s="2981"/>
      <c r="I1079" s="2981"/>
    </row>
    <row r="1080" spans="3:10" x14ac:dyDescent="0.3">
      <c r="C1080" s="2988" t="s">
        <v>957</v>
      </c>
      <c r="D1080" s="2988"/>
      <c r="E1080" s="2988"/>
      <c r="F1080" s="2988"/>
      <c r="G1080" s="2988"/>
      <c r="H1080" s="2988"/>
      <c r="I1080" s="2988"/>
    </row>
    <row r="1081" spans="3:10" x14ac:dyDescent="0.3">
      <c r="C1081" s="961"/>
      <c r="D1081" s="961"/>
      <c r="E1081" s="961"/>
      <c r="F1081" s="961"/>
      <c r="G1081" s="961"/>
      <c r="H1081" s="961"/>
      <c r="I1081" s="961"/>
    </row>
    <row r="1082" spans="3:10" x14ac:dyDescent="0.3">
      <c r="C1082" s="1102" t="s">
        <v>3547</v>
      </c>
      <c r="D1082" s="1114"/>
      <c r="E1082" s="1114"/>
      <c r="F1082" s="1114"/>
      <c r="G1082" s="1114"/>
      <c r="H1082" s="1114"/>
      <c r="I1082" s="1114"/>
      <c r="J1082" s="536"/>
    </row>
    <row r="1083" spans="3:10" x14ac:dyDescent="0.3">
      <c r="C1083" s="1115"/>
      <c r="D1083" s="961"/>
      <c r="E1083" s="961"/>
      <c r="F1083" s="961"/>
      <c r="G1083" s="961"/>
      <c r="H1083" s="961"/>
      <c r="I1083" s="961"/>
      <c r="J1083" s="6"/>
    </row>
    <row r="1084" spans="3:10" x14ac:dyDescent="0.3">
      <c r="C1084" s="1115"/>
      <c r="D1084" s="961"/>
      <c r="E1084" s="961"/>
      <c r="F1084" s="961"/>
      <c r="G1084" s="961"/>
      <c r="H1084" s="961"/>
      <c r="I1084" s="961"/>
      <c r="J1084" s="6"/>
    </row>
    <row r="1085" spans="3:10" x14ac:dyDescent="0.3">
      <c r="C1085" s="1115"/>
      <c r="D1085" s="961"/>
      <c r="E1085" s="961"/>
      <c r="F1085" s="961"/>
      <c r="G1085" s="961"/>
      <c r="H1085" s="961"/>
      <c r="I1085" s="961"/>
      <c r="J1085" s="6"/>
    </row>
    <row r="1086" spans="3:10" x14ac:dyDescent="0.3">
      <c r="C1086" s="1115"/>
      <c r="D1086" s="961"/>
      <c r="E1086" s="961"/>
      <c r="F1086" s="961"/>
      <c r="G1086" s="961"/>
      <c r="H1086" s="961"/>
      <c r="I1086" s="961"/>
      <c r="J1086" s="6"/>
    </row>
    <row r="1087" spans="3:10" x14ac:dyDescent="0.3">
      <c r="C1087" s="1115"/>
      <c r="D1087" s="961"/>
      <c r="E1087" s="961"/>
      <c r="F1087" s="961"/>
      <c r="G1087" s="961"/>
      <c r="H1087" s="961"/>
      <c r="I1087" s="961"/>
      <c r="J1087" s="6"/>
    </row>
    <row r="1088" spans="3:10" x14ac:dyDescent="0.3">
      <c r="C1088" s="1115"/>
      <c r="D1088" s="961"/>
      <c r="E1088" s="961"/>
      <c r="F1088" s="961"/>
      <c r="G1088" s="961"/>
      <c r="H1088" s="961"/>
      <c r="I1088" s="961"/>
      <c r="J1088" s="6"/>
    </row>
    <row r="1089" spans="3:10" x14ac:dyDescent="0.3">
      <c r="C1089" s="1116"/>
      <c r="D1089" s="1117"/>
      <c r="E1089" s="1117"/>
      <c r="F1089" s="1117"/>
      <c r="G1089" s="1117"/>
      <c r="H1089" s="1117"/>
      <c r="I1089" s="1117"/>
      <c r="J1089" s="7"/>
    </row>
    <row r="1090" spans="3:10" x14ac:dyDescent="0.3">
      <c r="C1090" s="180"/>
      <c r="D1090" s="180"/>
      <c r="E1090" s="180"/>
      <c r="F1090" s="180"/>
      <c r="G1090" s="180"/>
      <c r="H1090" s="180"/>
      <c r="I1090" s="180"/>
    </row>
    <row r="1091" spans="3:10" x14ac:dyDescent="0.3">
      <c r="C1091" s="2988" t="s">
        <v>958</v>
      </c>
      <c r="D1091" s="2988"/>
      <c r="E1091" s="2988"/>
      <c r="F1091" s="2988"/>
      <c r="G1091" s="2988"/>
      <c r="H1091" s="2988"/>
      <c r="I1091" s="2988"/>
    </row>
    <row r="1092" spans="3:10" x14ac:dyDescent="0.3">
      <c r="C1092" s="961"/>
      <c r="D1092" s="961"/>
      <c r="E1092" s="961"/>
      <c r="F1092" s="961"/>
      <c r="G1092" s="961"/>
      <c r="H1092" s="961"/>
      <c r="I1092" s="961"/>
    </row>
    <row r="1093" spans="3:10" x14ac:dyDescent="0.3">
      <c r="C1093" s="1102" t="s">
        <v>3548</v>
      </c>
      <c r="D1093" s="1114"/>
      <c r="E1093" s="1114"/>
      <c r="F1093" s="1114"/>
      <c r="G1093" s="1114"/>
      <c r="H1093" s="1114"/>
      <c r="I1093" s="1114"/>
      <c r="J1093" s="536"/>
    </row>
    <row r="1094" spans="3:10" x14ac:dyDescent="0.3">
      <c r="C1094" s="1115"/>
      <c r="D1094" s="961"/>
      <c r="E1094" s="961"/>
      <c r="F1094" s="961"/>
      <c r="G1094" s="961"/>
      <c r="H1094" s="961"/>
      <c r="I1094" s="961"/>
      <c r="J1094" s="6"/>
    </row>
    <row r="1095" spans="3:10" x14ac:dyDescent="0.3">
      <c r="C1095" s="1115"/>
      <c r="D1095" s="961"/>
      <c r="E1095" s="961"/>
      <c r="F1095" s="961"/>
      <c r="G1095" s="961"/>
      <c r="H1095" s="961"/>
      <c r="I1095" s="961"/>
      <c r="J1095" s="6"/>
    </row>
    <row r="1096" spans="3:10" x14ac:dyDescent="0.3">
      <c r="C1096" s="1115"/>
      <c r="D1096" s="961"/>
      <c r="E1096" s="961"/>
      <c r="F1096" s="961"/>
      <c r="G1096" s="961"/>
      <c r="H1096" s="961"/>
      <c r="I1096" s="961"/>
      <c r="J1096" s="6"/>
    </row>
    <row r="1097" spans="3:10" x14ac:dyDescent="0.3">
      <c r="C1097" s="1115"/>
      <c r="D1097" s="961"/>
      <c r="E1097" s="961"/>
      <c r="F1097" s="961"/>
      <c r="G1097" s="961"/>
      <c r="H1097" s="961"/>
      <c r="I1097" s="961"/>
      <c r="J1097" s="6"/>
    </row>
    <row r="1098" spans="3:10" x14ac:dyDescent="0.3">
      <c r="C1098" s="1115"/>
      <c r="D1098" s="961"/>
      <c r="E1098" s="961"/>
      <c r="F1098" s="961"/>
      <c r="G1098" s="961"/>
      <c r="H1098" s="961"/>
      <c r="I1098" s="961"/>
      <c r="J1098" s="6"/>
    </row>
    <row r="1099" spans="3:10" x14ac:dyDescent="0.3">
      <c r="C1099" s="1116"/>
      <c r="D1099" s="1117"/>
      <c r="E1099" s="1117"/>
      <c r="F1099" s="1117"/>
      <c r="G1099" s="1117"/>
      <c r="H1099" s="1117"/>
      <c r="I1099" s="1117"/>
      <c r="J1099" s="7"/>
    </row>
    <row r="1100" spans="3:10" x14ac:dyDescent="0.3">
      <c r="C1100" s="179"/>
    </row>
    <row r="1101" spans="3:10" x14ac:dyDescent="0.3">
      <c r="C1101" s="1910" t="s">
        <v>1917</v>
      </c>
      <c r="D1101" s="1129"/>
      <c r="E1101" s="1129"/>
      <c r="F1101" s="1129"/>
      <c r="G1101" s="1129"/>
      <c r="H1101" s="1129"/>
      <c r="I1101" s="1129"/>
    </row>
    <row r="1102" spans="3:10" x14ac:dyDescent="0.3">
      <c r="C1102" s="113"/>
      <c r="D1102" s="1129"/>
      <c r="E1102" s="1129"/>
      <c r="F1102" s="1129"/>
      <c r="G1102" s="1129"/>
      <c r="H1102" s="1129"/>
      <c r="I1102" s="1129"/>
    </row>
    <row r="1103" spans="3:10" x14ac:dyDescent="0.3">
      <c r="C1103" s="1231" t="s">
        <v>681</v>
      </c>
      <c r="D1103" s="657"/>
      <c r="E1103" s="657"/>
      <c r="F1103" s="657"/>
      <c r="G1103" s="657"/>
      <c r="H1103" s="657"/>
      <c r="I1103" s="657"/>
    </row>
    <row r="1104" spans="3:10" x14ac:dyDescent="0.3">
      <c r="C1104" s="1129"/>
      <c r="D1104" s="1129"/>
      <c r="E1104" s="1129"/>
      <c r="F1104" s="1129"/>
      <c r="G1104" s="1129"/>
      <c r="H1104" s="1129"/>
      <c r="I1104" s="1129"/>
    </row>
    <row r="1105" spans="3:10" x14ac:dyDescent="0.3">
      <c r="C1105" s="1136"/>
      <c r="D1105" s="1137"/>
      <c r="E1105" s="1137"/>
      <c r="F1105" s="1137"/>
      <c r="G1105" s="1137"/>
      <c r="H1105" s="1137"/>
      <c r="I1105" s="1137"/>
      <c r="J1105" s="536"/>
    </row>
    <row r="1106" spans="3:10" x14ac:dyDescent="0.3">
      <c r="C1106" s="1138"/>
      <c r="D1106" s="1129"/>
      <c r="E1106" s="1129"/>
      <c r="F1106" s="1129"/>
      <c r="G1106" s="1129"/>
      <c r="H1106" s="1129"/>
      <c r="I1106" s="1129"/>
      <c r="J1106" s="6"/>
    </row>
    <row r="1107" spans="3:10" x14ac:dyDescent="0.3">
      <c r="C1107" s="1138"/>
      <c r="D1107" s="1129"/>
      <c r="E1107" s="1129"/>
      <c r="F1107" s="1129"/>
      <c r="G1107" s="1129"/>
      <c r="H1107" s="1129"/>
      <c r="I1107" s="1129"/>
      <c r="J1107" s="6"/>
    </row>
    <row r="1108" spans="3:10" x14ac:dyDescent="0.3">
      <c r="C1108" s="1138"/>
      <c r="D1108" s="1129"/>
      <c r="E1108" s="1129"/>
      <c r="F1108" s="1129"/>
      <c r="G1108" s="1129"/>
      <c r="H1108" s="1129"/>
      <c r="I1108" s="1129"/>
      <c r="J1108" s="6"/>
    </row>
    <row r="1109" spans="3:10" x14ac:dyDescent="0.3">
      <c r="C1109" s="186"/>
      <c r="J1109" s="6"/>
    </row>
    <row r="1110" spans="3:10" x14ac:dyDescent="0.3">
      <c r="C1110" s="964"/>
      <c r="D1110" s="535"/>
      <c r="E1110" s="535"/>
      <c r="F1110" s="535"/>
      <c r="G1110" s="535"/>
      <c r="H1110" s="535"/>
      <c r="I1110" s="535"/>
      <c r="J1110" s="7"/>
    </row>
    <row r="1114" spans="3:10" x14ac:dyDescent="0.3">
      <c r="C1114" s="4" t="s">
        <v>1922</v>
      </c>
    </row>
    <row r="1116" spans="3:10" x14ac:dyDescent="0.3">
      <c r="C1116" s="1165" t="s">
        <v>629</v>
      </c>
      <c r="D1116" s="191"/>
      <c r="E1116" s="192"/>
      <c r="F1116" s="192"/>
    </row>
    <row r="1117" spans="3:10" x14ac:dyDescent="0.3">
      <c r="C1117" s="2942" t="s">
        <v>964</v>
      </c>
      <c r="D1117" s="2942"/>
      <c r="E1117" s="2942"/>
      <c r="F1117" s="2942"/>
    </row>
    <row r="1118" spans="3:10" x14ac:dyDescent="0.3">
      <c r="C1118" s="56"/>
      <c r="D1118" s="56"/>
      <c r="E1118" s="56"/>
      <c r="F1118" s="56"/>
    </row>
    <row r="1119" spans="3:10" x14ac:dyDescent="0.3">
      <c r="C1119" s="1166"/>
      <c r="D1119" s="1167"/>
      <c r="E1119" s="1167"/>
      <c r="F1119" s="1167"/>
      <c r="G1119" s="534"/>
      <c r="H1119" s="534"/>
      <c r="I1119" s="534"/>
      <c r="J1119" s="536"/>
    </row>
    <row r="1120" spans="3:10" x14ac:dyDescent="0.3">
      <c r="C1120" s="193"/>
      <c r="D1120" s="56"/>
      <c r="E1120" s="56"/>
      <c r="F1120" s="56" t="s">
        <v>1923</v>
      </c>
      <c r="J1120" s="6"/>
    </row>
    <row r="1121" spans="3:10" x14ac:dyDescent="0.3">
      <c r="C1121" s="193"/>
      <c r="D1121" s="56"/>
      <c r="E1121" s="56"/>
      <c r="F1121" s="56"/>
      <c r="J1121" s="6"/>
    </row>
    <row r="1122" spans="3:10" x14ac:dyDescent="0.3">
      <c r="C1122" s="193"/>
      <c r="D1122" s="56"/>
      <c r="E1122" s="56"/>
      <c r="F1122" s="56"/>
      <c r="J1122" s="6"/>
    </row>
    <row r="1123" spans="3:10" x14ac:dyDescent="0.3">
      <c r="C1123" s="193"/>
      <c r="D1123" s="56"/>
      <c r="E1123" s="56"/>
      <c r="F1123" s="56"/>
      <c r="J1123" s="6"/>
    </row>
    <row r="1124" spans="3:10" x14ac:dyDescent="0.3">
      <c r="C1124" s="1168"/>
      <c r="D1124" s="1169"/>
      <c r="E1124" s="1169"/>
      <c r="F1124" s="1169"/>
      <c r="G1124" s="535"/>
      <c r="H1124" s="535"/>
      <c r="I1124" s="535"/>
      <c r="J1124" s="7"/>
    </row>
    <row r="1125" spans="3:10" x14ac:dyDescent="0.3">
      <c r="C1125" s="191"/>
      <c r="D1125" s="191"/>
      <c r="E1125" s="192"/>
      <c r="F1125" s="192"/>
    </row>
    <row r="1126" spans="3:10" x14ac:dyDescent="0.3">
      <c r="C1126" s="1164" t="s">
        <v>6</v>
      </c>
      <c r="D1126" s="191"/>
      <c r="E1126" s="192"/>
      <c r="F1126" s="192"/>
    </row>
    <row r="1127" spans="3:10" x14ac:dyDescent="0.3">
      <c r="C1127" s="3003" t="s">
        <v>821</v>
      </c>
      <c r="D1127" s="3003"/>
      <c r="E1127" s="3003"/>
      <c r="F1127" s="3003"/>
    </row>
    <row r="1128" spans="3:10" x14ac:dyDescent="0.3">
      <c r="C1128" s="56"/>
      <c r="D1128" s="56"/>
      <c r="E1128" s="56"/>
      <c r="F1128" s="56"/>
    </row>
    <row r="1129" spans="3:10" x14ac:dyDescent="0.3">
      <c r="C1129" s="1166"/>
      <c r="D1129" s="1167"/>
      <c r="E1129" s="1167"/>
      <c r="F1129" s="1167"/>
      <c r="G1129" s="534"/>
      <c r="H1129" s="534"/>
      <c r="I1129" s="534"/>
      <c r="J1129" s="536"/>
    </row>
    <row r="1130" spans="3:10" x14ac:dyDescent="0.3">
      <c r="C1130" s="193"/>
      <c r="D1130" s="56"/>
      <c r="E1130" s="56"/>
      <c r="F1130" s="56"/>
      <c r="J1130" s="6"/>
    </row>
    <row r="1131" spans="3:10" x14ac:dyDescent="0.3">
      <c r="C1131" s="193"/>
      <c r="D1131" s="56"/>
      <c r="E1131" s="56"/>
      <c r="F1131" s="56"/>
      <c r="J1131" s="6"/>
    </row>
    <row r="1132" spans="3:10" x14ac:dyDescent="0.3">
      <c r="C1132" s="193"/>
      <c r="D1132" s="56"/>
      <c r="E1132" s="56"/>
      <c r="F1132" s="56"/>
      <c r="J1132" s="6"/>
    </row>
    <row r="1133" spans="3:10" x14ac:dyDescent="0.3">
      <c r="C1133" s="193"/>
      <c r="D1133" s="56"/>
      <c r="E1133" s="56"/>
      <c r="F1133" s="56"/>
      <c r="J1133" s="6"/>
    </row>
    <row r="1134" spans="3:10" x14ac:dyDescent="0.3">
      <c r="C1134" s="1168"/>
      <c r="D1134" s="1169"/>
      <c r="E1134" s="1169"/>
      <c r="F1134" s="1169"/>
      <c r="G1134" s="535"/>
      <c r="H1134" s="535"/>
      <c r="I1134" s="535"/>
      <c r="J1134" s="7"/>
    </row>
    <row r="1135" spans="3:10" x14ac:dyDescent="0.3">
      <c r="C1135" s="31"/>
      <c r="D1135" s="31"/>
      <c r="E1135" s="31"/>
      <c r="F1135" s="31"/>
    </row>
    <row r="1136" spans="3:10" x14ac:dyDescent="0.3">
      <c r="C1136" s="1164" t="s">
        <v>3549</v>
      </c>
      <c r="D1136" s="31"/>
      <c r="E1136" s="31"/>
      <c r="F1136" s="31"/>
    </row>
    <row r="1137" spans="3:6" x14ac:dyDescent="0.3">
      <c r="C1137" s="1164"/>
      <c r="D1137" s="31"/>
      <c r="E1137" s="31"/>
      <c r="F1137" s="31"/>
    </row>
    <row r="1138" spans="3:6" x14ac:dyDescent="0.3">
      <c r="C1138" s="2874" t="s">
        <v>20</v>
      </c>
      <c r="D1138" s="2875"/>
      <c r="E1138" s="859" t="str">
        <f>BSCY</f>
        <v>As At 31st March 2025</v>
      </c>
      <c r="F1138" s="314" t="str">
        <f>BSPY</f>
        <v>As At 31st March 2024</v>
      </c>
    </row>
    <row r="1139" spans="3:6" x14ac:dyDescent="0.3">
      <c r="C1139" s="2953" t="s">
        <v>1736</v>
      </c>
      <c r="D1139" s="2953"/>
      <c r="E1139" s="192"/>
      <c r="F1139" s="194"/>
    </row>
    <row r="1140" spans="3:6" x14ac:dyDescent="0.3">
      <c r="C1140" s="405"/>
      <c r="D1140" s="495"/>
      <c r="E1140" s="192"/>
      <c r="F1140" s="194"/>
    </row>
    <row r="1141" spans="3:6" x14ac:dyDescent="0.3">
      <c r="C1141" s="2948" t="s">
        <v>3357</v>
      </c>
      <c r="D1141" s="2948"/>
      <c r="F1141" s="194"/>
    </row>
    <row r="1142" spans="3:6" x14ac:dyDescent="0.3">
      <c r="C1142" s="1916" t="s">
        <v>3801</v>
      </c>
      <c r="D1142" s="1752"/>
      <c r="E1142" s="1">
        <v>13992</v>
      </c>
      <c r="F1142" s="194">
        <f>1399200/100</f>
        <v>13992</v>
      </c>
    </row>
    <row r="1143" spans="3:6" x14ac:dyDescent="0.3">
      <c r="C1143" s="1916" t="s">
        <v>3802</v>
      </c>
      <c r="D1143" s="1752"/>
      <c r="E1143" s="1">
        <f>5195/100</f>
        <v>51.95</v>
      </c>
      <c r="F1143" s="194">
        <v>52</v>
      </c>
    </row>
    <row r="1144" spans="3:6" x14ac:dyDescent="0.3">
      <c r="C1144" s="1916" t="s">
        <v>3795</v>
      </c>
      <c r="D1144" s="1752"/>
      <c r="E1144" s="1">
        <f>73272/100</f>
        <v>732.72</v>
      </c>
      <c r="F1144" s="194">
        <v>0</v>
      </c>
    </row>
    <row r="1145" spans="3:6" x14ac:dyDescent="0.3">
      <c r="C1145" s="1916" t="s">
        <v>3796</v>
      </c>
      <c r="D1145" s="1752"/>
      <c r="E1145" s="1">
        <f>16315/100</f>
        <v>163.15</v>
      </c>
      <c r="F1145" s="194">
        <v>0</v>
      </c>
    </row>
    <row r="1146" spans="3:6" x14ac:dyDescent="0.3">
      <c r="C1146" s="287" t="s">
        <v>3797</v>
      </c>
      <c r="D1146" s="1752"/>
      <c r="E1146" s="1">
        <v>0</v>
      </c>
      <c r="F1146" s="194">
        <v>0</v>
      </c>
    </row>
    <row r="1147" spans="3:6" x14ac:dyDescent="0.3">
      <c r="C1147" s="2601" t="s">
        <v>3798</v>
      </c>
      <c r="D1147" s="1752"/>
      <c r="E1147" s="1">
        <v>0</v>
      </c>
      <c r="F1147" s="194">
        <v>0</v>
      </c>
    </row>
    <row r="1148" spans="3:6" x14ac:dyDescent="0.3">
      <c r="C1148" s="1970" t="s">
        <v>3360</v>
      </c>
      <c r="D1148" s="1915"/>
      <c r="E1148" s="2602">
        <v>0</v>
      </c>
      <c r="F1148" s="202">
        <f>201130/100</f>
        <v>2011.3</v>
      </c>
    </row>
    <row r="1149" spans="3:6" x14ac:dyDescent="0.3">
      <c r="C1149" s="467"/>
      <c r="D1149" s="1752"/>
      <c r="F1149" s="194"/>
    </row>
    <row r="1150" spans="3:6" x14ac:dyDescent="0.3">
      <c r="C1150" s="2948" t="s">
        <v>242</v>
      </c>
      <c r="D1150" s="2948"/>
      <c r="E1150" s="192"/>
      <c r="F1150" s="194"/>
    </row>
    <row r="1151" spans="3:6" x14ac:dyDescent="0.3">
      <c r="C1151" s="2948" t="s">
        <v>458</v>
      </c>
      <c r="D1151" s="2948"/>
      <c r="E1151" s="192"/>
      <c r="F1151" s="194"/>
    </row>
    <row r="1152" spans="3:6" x14ac:dyDescent="0.3">
      <c r="C1152" s="3080" t="s">
        <v>719</v>
      </c>
      <c r="D1152" s="3081"/>
      <c r="E1152" s="192"/>
      <c r="F1152" s="194"/>
    </row>
    <row r="1153" spans="3:10" x14ac:dyDescent="0.3">
      <c r="C1153" s="3080" t="s">
        <v>841</v>
      </c>
      <c r="D1153" s="3081"/>
      <c r="E1153" s="192"/>
      <c r="F1153" s="194"/>
    </row>
    <row r="1154" spans="3:10" x14ac:dyDescent="0.3">
      <c r="C1154" s="3080" t="s">
        <v>720</v>
      </c>
      <c r="D1154" s="3081"/>
      <c r="E1154" s="192"/>
      <c r="F1154" s="194"/>
    </row>
    <row r="1155" spans="3:10" x14ac:dyDescent="0.3">
      <c r="C1155" s="3080" t="s">
        <v>618</v>
      </c>
      <c r="D1155" s="3081"/>
      <c r="E1155" s="192"/>
      <c r="F1155" s="194"/>
    </row>
    <row r="1156" spans="3:10" x14ac:dyDescent="0.3">
      <c r="C1156" s="2950" t="s">
        <v>1737</v>
      </c>
      <c r="D1156" s="2950"/>
      <c r="E1156" s="233"/>
      <c r="F1156" s="24"/>
    </row>
    <row r="1157" spans="3:10" x14ac:dyDescent="0.3">
      <c r="C1157" s="2948" t="s">
        <v>243</v>
      </c>
      <c r="D1157" s="2948"/>
      <c r="E1157" s="192"/>
      <c r="F1157" s="194"/>
    </row>
    <row r="1158" spans="3:10" x14ac:dyDescent="0.3">
      <c r="C1158" s="3082" t="s">
        <v>181</v>
      </c>
      <c r="D1158" s="3083"/>
      <c r="E1158" s="192"/>
      <c r="F1158" s="194"/>
    </row>
    <row r="1159" spans="3:10" x14ac:dyDescent="0.3">
      <c r="C1159" s="3082" t="s">
        <v>98</v>
      </c>
      <c r="D1159" s="3083"/>
      <c r="E1159" s="192"/>
      <c r="F1159" s="194"/>
    </row>
    <row r="1160" spans="3:10" x14ac:dyDescent="0.3">
      <c r="C1160" s="2948" t="s">
        <v>244</v>
      </c>
      <c r="D1160" s="2948"/>
      <c r="E1160" s="192"/>
      <c r="F1160" s="194"/>
    </row>
    <row r="1161" spans="3:10" x14ac:dyDescent="0.3">
      <c r="C1161" s="2948" t="s">
        <v>245</v>
      </c>
      <c r="D1161" s="2948"/>
      <c r="E1161" s="192"/>
      <c r="F1161" s="194"/>
    </row>
    <row r="1162" spans="3:10" x14ac:dyDescent="0.3">
      <c r="C1162" s="3084" t="s">
        <v>842</v>
      </c>
      <c r="D1162" s="3085"/>
      <c r="E1162" s="202"/>
      <c r="F1162" s="202"/>
    </row>
    <row r="1163" spans="3:10" x14ac:dyDescent="0.3">
      <c r="C1163" s="458"/>
      <c r="D1163" s="458"/>
      <c r="E1163" s="192"/>
      <c r="F1163" s="192"/>
    </row>
    <row r="1164" spans="3:10" x14ac:dyDescent="0.3">
      <c r="C1164" s="1152"/>
      <c r="D1164" s="1170"/>
      <c r="E1164" s="203"/>
      <c r="F1164" s="203"/>
      <c r="G1164" s="534"/>
      <c r="H1164" s="534"/>
      <c r="I1164" s="534"/>
      <c r="J1164" s="536"/>
    </row>
    <row r="1165" spans="3:10" x14ac:dyDescent="0.3">
      <c r="C1165" s="467"/>
      <c r="D1165" s="458"/>
      <c r="E1165" s="192"/>
      <c r="F1165" s="192"/>
      <c r="J1165" s="6"/>
    </row>
    <row r="1166" spans="3:10" x14ac:dyDescent="0.3">
      <c r="C1166" s="467"/>
      <c r="D1166" s="458"/>
      <c r="E1166" s="192"/>
      <c r="F1166" s="192"/>
      <c r="J1166" s="6"/>
    </row>
    <row r="1167" spans="3:10" x14ac:dyDescent="0.3">
      <c r="C1167" s="467"/>
      <c r="D1167" s="458"/>
      <c r="E1167" s="192"/>
      <c r="F1167" s="192"/>
      <c r="J1167" s="6"/>
    </row>
    <row r="1168" spans="3:10" x14ac:dyDescent="0.3">
      <c r="C1168" s="467"/>
      <c r="D1168" s="458"/>
      <c r="E1168" s="192"/>
      <c r="F1168" s="192"/>
      <c r="J1168" s="6"/>
    </row>
    <row r="1169" spans="3:10" x14ac:dyDescent="0.3">
      <c r="C1169" s="1153"/>
      <c r="D1169" s="1154"/>
      <c r="E1169" s="204"/>
      <c r="F1169" s="204"/>
      <c r="G1169" s="535"/>
      <c r="H1169" s="535"/>
      <c r="I1169" s="535"/>
      <c r="J1169" s="7"/>
    </row>
    <row r="1170" spans="3:10" x14ac:dyDescent="0.3">
      <c r="C1170" s="191"/>
      <c r="D1170" s="191"/>
      <c r="E1170" s="192"/>
      <c r="F1170" s="192"/>
    </row>
    <row r="1171" spans="3:10" x14ac:dyDescent="0.3">
      <c r="C1171" s="1164" t="s">
        <v>590</v>
      </c>
      <c r="D1171" s="191"/>
      <c r="E1171" s="192"/>
      <c r="F1171" s="192"/>
    </row>
    <row r="1172" spans="3:10" x14ac:dyDescent="0.3">
      <c r="C1172" s="2941" t="s">
        <v>822</v>
      </c>
      <c r="D1172" s="2941"/>
      <c r="E1172" s="2941"/>
      <c r="F1172" s="2941"/>
    </row>
    <row r="1173" spans="3:10" x14ac:dyDescent="0.3">
      <c r="C1173" s="56"/>
      <c r="D1173" s="56"/>
      <c r="E1173" s="56"/>
      <c r="F1173" s="56"/>
    </row>
    <row r="1174" spans="3:10" x14ac:dyDescent="0.3">
      <c r="C1174" s="2942" t="s">
        <v>862</v>
      </c>
      <c r="D1174" s="2942"/>
      <c r="E1174" s="2942"/>
      <c r="F1174" s="2942"/>
    </row>
    <row r="1175" spans="3:10" x14ac:dyDescent="0.3">
      <c r="C1175" s="191"/>
      <c r="D1175" s="191"/>
      <c r="E1175" s="192"/>
      <c r="F1175" s="192"/>
    </row>
    <row r="1176" spans="3:10" x14ac:dyDescent="0.3">
      <c r="C1176" s="195"/>
      <c r="D1176" s="206"/>
      <c r="E1176" s="203"/>
      <c r="F1176" s="203"/>
      <c r="G1176" s="534"/>
      <c r="H1176" s="534"/>
      <c r="I1176" s="534"/>
      <c r="J1176" s="536"/>
    </row>
    <row r="1177" spans="3:10" x14ac:dyDescent="0.3">
      <c r="C1177" s="257"/>
      <c r="D1177" s="191"/>
      <c r="E1177" s="192"/>
      <c r="F1177" s="192"/>
      <c r="J1177" s="6"/>
    </row>
    <row r="1178" spans="3:10" x14ac:dyDescent="0.3">
      <c r="C1178" s="257"/>
      <c r="D1178" s="191"/>
      <c r="E1178" s="192"/>
      <c r="F1178" s="192"/>
      <c r="J1178" s="6"/>
    </row>
    <row r="1179" spans="3:10" x14ac:dyDescent="0.3">
      <c r="C1179" s="257"/>
      <c r="D1179" s="191"/>
      <c r="E1179" s="192"/>
      <c r="F1179" s="192"/>
      <c r="J1179" s="6"/>
    </row>
    <row r="1180" spans="3:10" x14ac:dyDescent="0.3">
      <c r="C1180" s="257"/>
      <c r="D1180" s="191"/>
      <c r="E1180" s="192"/>
      <c r="F1180" s="192"/>
      <c r="J1180" s="6"/>
    </row>
    <row r="1181" spans="3:10" x14ac:dyDescent="0.3">
      <c r="C1181" s="812"/>
      <c r="D1181" s="809"/>
      <c r="E1181" s="204"/>
      <c r="F1181" s="204"/>
      <c r="G1181" s="535"/>
      <c r="H1181" s="535"/>
      <c r="I1181" s="535"/>
      <c r="J1181" s="7"/>
    </row>
    <row r="1182" spans="3:10" x14ac:dyDescent="0.3">
      <c r="C1182" s="191"/>
      <c r="D1182" s="191"/>
      <c r="E1182" s="192"/>
      <c r="F1182" s="192"/>
    </row>
    <row r="1183" spans="3:10" x14ac:dyDescent="0.3">
      <c r="C1183" s="17" t="s">
        <v>459</v>
      </c>
      <c r="D1183" s="81"/>
      <c r="E1183" s="81"/>
      <c r="F1183" s="81"/>
    </row>
    <row r="1184" spans="3:10" x14ac:dyDescent="0.3">
      <c r="C1184" s="17"/>
      <c r="D1184" s="81"/>
      <c r="E1184" s="81"/>
      <c r="F1184" s="81"/>
    </row>
    <row r="1185" spans="3:10" x14ac:dyDescent="0.3">
      <c r="C1185" s="2792" t="s">
        <v>20</v>
      </c>
      <c r="D1185" s="2793"/>
      <c r="E1185" s="314" t="str">
        <f>BSCY</f>
        <v>As At 31st March 2025</v>
      </c>
      <c r="F1185" s="314" t="str">
        <f>BSPY</f>
        <v>As At 31st March 2024</v>
      </c>
    </row>
    <row r="1186" spans="3:10" x14ac:dyDescent="0.3">
      <c r="C1186" s="2943" t="s">
        <v>460</v>
      </c>
      <c r="D1186" s="2943"/>
      <c r="E1186" s="1795">
        <v>0</v>
      </c>
      <c r="F1186" s="1795">
        <v>0</v>
      </c>
    </row>
    <row r="1187" spans="3:10" x14ac:dyDescent="0.3">
      <c r="C1187" s="2944" t="s">
        <v>461</v>
      </c>
      <c r="D1187" s="2944"/>
      <c r="E1187" s="1792">
        <v>0</v>
      </c>
      <c r="F1187" s="1792">
        <v>0</v>
      </c>
    </row>
    <row r="1188" spans="3:10" x14ac:dyDescent="0.3">
      <c r="C1188" s="2944" t="s">
        <v>490</v>
      </c>
      <c r="D1188" s="2944"/>
      <c r="E1188" s="1792">
        <v>0</v>
      </c>
      <c r="F1188" s="1792">
        <v>0</v>
      </c>
    </row>
    <row r="1189" spans="3:10" x14ac:dyDescent="0.3">
      <c r="C1189" s="2944" t="s">
        <v>462</v>
      </c>
      <c r="D1189" s="2944"/>
      <c r="E1189" s="1792">
        <v>0</v>
      </c>
      <c r="F1189" s="1792">
        <v>0</v>
      </c>
    </row>
    <row r="1190" spans="3:10" x14ac:dyDescent="0.3">
      <c r="C1190" s="2944" t="s">
        <v>463</v>
      </c>
      <c r="D1190" s="2944"/>
      <c r="E1190" s="1792">
        <v>0</v>
      </c>
      <c r="F1190" s="1792">
        <v>0</v>
      </c>
    </row>
    <row r="1191" spans="3:10" x14ac:dyDescent="0.3">
      <c r="C1191" s="2945" t="s">
        <v>247</v>
      </c>
      <c r="D1191" s="2945"/>
      <c r="E1191" s="1793">
        <v>0</v>
      </c>
      <c r="F1191" s="1793">
        <v>0</v>
      </c>
    </row>
    <row r="1192" spans="3:10" x14ac:dyDescent="0.3">
      <c r="C1192" s="31"/>
      <c r="D1192" s="31"/>
      <c r="E1192" s="1971"/>
      <c r="F1192" s="1971"/>
    </row>
    <row r="1193" spans="3:10" x14ac:dyDescent="0.3">
      <c r="C1193" s="2942" t="s">
        <v>246</v>
      </c>
      <c r="D1193" s="2942"/>
      <c r="E1193" s="2942"/>
      <c r="F1193" s="2942"/>
    </row>
    <row r="1194" spans="3:10" x14ac:dyDescent="0.3">
      <c r="C1194" s="56"/>
      <c r="D1194" s="56"/>
      <c r="E1194" s="56"/>
      <c r="F1194" s="56"/>
    </row>
    <row r="1195" spans="3:10" x14ac:dyDescent="0.3">
      <c r="C1195" s="1166"/>
      <c r="D1195" s="1167"/>
      <c r="E1195" s="1167"/>
      <c r="F1195" s="1167"/>
      <c r="G1195" s="534"/>
      <c r="H1195" s="534"/>
      <c r="I1195" s="534"/>
      <c r="J1195" s="536"/>
    </row>
    <row r="1196" spans="3:10" x14ac:dyDescent="0.3">
      <c r="C1196" s="193"/>
      <c r="D1196" s="56"/>
      <c r="E1196" s="56"/>
      <c r="F1196" s="56"/>
      <c r="J1196" s="6"/>
    </row>
    <row r="1197" spans="3:10" x14ac:dyDescent="0.3">
      <c r="C1197" s="193"/>
      <c r="D1197" s="56"/>
      <c r="E1197" s="56"/>
      <c r="F1197" s="56"/>
      <c r="J1197" s="6"/>
    </row>
    <row r="1198" spans="3:10" x14ac:dyDescent="0.3">
      <c r="C1198" s="193"/>
      <c r="D1198" s="56"/>
      <c r="E1198" s="56"/>
      <c r="F1198" s="56"/>
      <c r="J1198" s="6"/>
    </row>
    <row r="1199" spans="3:10" x14ac:dyDescent="0.3">
      <c r="C1199" s="193"/>
      <c r="D1199" s="56"/>
      <c r="E1199" s="56"/>
      <c r="F1199" s="56"/>
      <c r="J1199" s="6"/>
    </row>
    <row r="1200" spans="3:10" x14ac:dyDescent="0.3">
      <c r="C1200" s="1168"/>
      <c r="D1200" s="1169"/>
      <c r="E1200" s="1169"/>
      <c r="F1200" s="1169"/>
      <c r="G1200" s="535"/>
      <c r="H1200" s="535"/>
      <c r="I1200" s="535"/>
      <c r="J1200" s="7"/>
    </row>
    <row r="1201" spans="3:6" x14ac:dyDescent="0.3">
      <c r="C1201" s="56"/>
      <c r="D1201" s="56"/>
      <c r="E1201" s="56"/>
      <c r="F1201" s="56"/>
    </row>
    <row r="1202" spans="3:6" x14ac:dyDescent="0.3">
      <c r="C1202" s="2946" t="s">
        <v>3823</v>
      </c>
      <c r="D1202" s="2946"/>
      <c r="E1202" s="2946"/>
      <c r="F1202" s="2946"/>
    </row>
    <row r="1203" spans="3:6" hidden="1" x14ac:dyDescent="0.3">
      <c r="C1203" s="2938" t="s">
        <v>630</v>
      </c>
      <c r="D1203" s="2938"/>
      <c r="E1203" s="2938"/>
      <c r="F1203" s="2938"/>
    </row>
    <row r="1204" spans="3:6" hidden="1" x14ac:dyDescent="0.3">
      <c r="C1204" s="2938" t="s">
        <v>668</v>
      </c>
      <c r="D1204" s="2938"/>
      <c r="E1204" s="2938"/>
      <c r="F1204" s="2938"/>
    </row>
    <row r="1205" spans="3:6" hidden="1" x14ac:dyDescent="0.3">
      <c r="C1205" s="191" t="s">
        <v>248</v>
      </c>
      <c r="D1205" s="197"/>
      <c r="E1205" s="198"/>
      <c r="F1205" s="192"/>
    </row>
    <row r="1206" spans="3:6" hidden="1" x14ac:dyDescent="0.3">
      <c r="C1206" s="199" t="s">
        <v>249</v>
      </c>
      <c r="D1206" s="199" t="s">
        <v>183</v>
      </c>
      <c r="E1206" s="200" t="s">
        <v>250</v>
      </c>
      <c r="F1206" s="200" t="s">
        <v>251</v>
      </c>
    </row>
    <row r="1207" spans="3:6" hidden="1" x14ac:dyDescent="0.3">
      <c r="C1207" s="810" t="s">
        <v>252</v>
      </c>
      <c r="D1207" s="197" t="s">
        <v>17</v>
      </c>
      <c r="E1207" s="194" t="s">
        <v>253</v>
      </c>
      <c r="F1207" s="194" t="s">
        <v>254</v>
      </c>
    </row>
    <row r="1208" spans="3:6" hidden="1" x14ac:dyDescent="0.3">
      <c r="C1208" s="807" t="s">
        <v>252</v>
      </c>
      <c r="D1208" s="197" t="s">
        <v>255</v>
      </c>
      <c r="E1208" s="194" t="s">
        <v>253</v>
      </c>
      <c r="F1208" s="194" t="s">
        <v>254</v>
      </c>
    </row>
    <row r="1209" spans="3:6" hidden="1" x14ac:dyDescent="0.3">
      <c r="C1209" s="807" t="s">
        <v>256</v>
      </c>
      <c r="D1209" s="197" t="s">
        <v>257</v>
      </c>
      <c r="E1209" s="194" t="s">
        <v>258</v>
      </c>
      <c r="F1209" s="194" t="s">
        <v>254</v>
      </c>
    </row>
    <row r="1210" spans="3:6" hidden="1" x14ac:dyDescent="0.3">
      <c r="C1210" s="811" t="s">
        <v>256</v>
      </c>
      <c r="D1210" s="201" t="s">
        <v>259</v>
      </c>
      <c r="E1210" s="202" t="s">
        <v>258</v>
      </c>
      <c r="F1210" s="202" t="s">
        <v>254</v>
      </c>
    </row>
    <row r="1211" spans="3:6" hidden="1" x14ac:dyDescent="0.3">
      <c r="C1211" s="191" t="s">
        <v>260</v>
      </c>
      <c r="D1211" s="191"/>
      <c r="E1211" s="203"/>
      <c r="F1211" s="192"/>
    </row>
    <row r="1212" spans="3:6" hidden="1" x14ac:dyDescent="0.3">
      <c r="C1212" s="191"/>
      <c r="D1212" s="191"/>
      <c r="E1212" s="192"/>
      <c r="F1212" s="192"/>
    </row>
    <row r="1213" spans="3:6" hidden="1" x14ac:dyDescent="0.3">
      <c r="C1213" s="191" t="s">
        <v>261</v>
      </c>
      <c r="D1213" s="191"/>
      <c r="E1213" s="204"/>
      <c r="F1213" s="192"/>
    </row>
    <row r="1214" spans="3:6" hidden="1" x14ac:dyDescent="0.3">
      <c r="C1214" s="199" t="s">
        <v>249</v>
      </c>
      <c r="D1214" s="199" t="s">
        <v>183</v>
      </c>
      <c r="E1214" s="200" t="s">
        <v>250</v>
      </c>
      <c r="F1214" s="200" t="s">
        <v>251</v>
      </c>
    </row>
    <row r="1215" spans="3:6" hidden="1" x14ac:dyDescent="0.3">
      <c r="C1215" s="810" t="s">
        <v>252</v>
      </c>
      <c r="D1215" s="197" t="s">
        <v>17</v>
      </c>
      <c r="E1215" s="194" t="s">
        <v>253</v>
      </c>
      <c r="F1215" s="194" t="s">
        <v>254</v>
      </c>
    </row>
    <row r="1216" spans="3:6" hidden="1" x14ac:dyDescent="0.3">
      <c r="C1216" s="807" t="s">
        <v>252</v>
      </c>
      <c r="D1216" s="197" t="s">
        <v>255</v>
      </c>
      <c r="E1216" s="194" t="s">
        <v>253</v>
      </c>
      <c r="F1216" s="194" t="s">
        <v>254</v>
      </c>
    </row>
    <row r="1217" spans="3:7" hidden="1" x14ac:dyDescent="0.3">
      <c r="C1217" s="807" t="s">
        <v>256</v>
      </c>
      <c r="D1217" s="197" t="s">
        <v>257</v>
      </c>
      <c r="E1217" s="194" t="s">
        <v>258</v>
      </c>
      <c r="F1217" s="194" t="s">
        <v>254</v>
      </c>
    </row>
    <row r="1218" spans="3:7" hidden="1" x14ac:dyDescent="0.3">
      <c r="C1218" s="811" t="s">
        <v>256</v>
      </c>
      <c r="D1218" s="201" t="s">
        <v>259</v>
      </c>
      <c r="E1218" s="202" t="s">
        <v>258</v>
      </c>
      <c r="F1218" s="202" t="s">
        <v>254</v>
      </c>
    </row>
    <row r="1219" spans="3:7" hidden="1" x14ac:dyDescent="0.3">
      <c r="C1219" s="191" t="s">
        <v>260</v>
      </c>
      <c r="D1219" s="191"/>
      <c r="E1219" s="192"/>
      <c r="F1219" s="192"/>
    </row>
    <row r="1220" spans="3:7" hidden="1" x14ac:dyDescent="0.3">
      <c r="C1220" s="809"/>
      <c r="D1220" s="809"/>
      <c r="E1220" s="204"/>
      <c r="F1220" s="204"/>
    </row>
    <row r="1221" spans="3:7" hidden="1" x14ac:dyDescent="0.3">
      <c r="C1221" s="2939" t="s">
        <v>698</v>
      </c>
      <c r="D1221" s="2939"/>
      <c r="E1221" s="2939"/>
      <c r="F1221" s="2939"/>
    </row>
    <row r="1222" spans="3:7" hidden="1" x14ac:dyDescent="0.3">
      <c r="C1222" s="2938" t="s">
        <v>262</v>
      </c>
      <c r="D1222" s="2938"/>
      <c r="E1222" s="2938"/>
      <c r="F1222" s="2938"/>
    </row>
    <row r="1223" spans="3:7" x14ac:dyDescent="0.3">
      <c r="C1223" s="2939" t="s">
        <v>3824</v>
      </c>
      <c r="D1223" s="2939"/>
      <c r="E1223" s="2939"/>
      <c r="F1223" s="2939"/>
    </row>
    <row r="1224" spans="3:7" x14ac:dyDescent="0.3">
      <c r="C1224" s="458"/>
      <c r="D1224" s="458"/>
      <c r="E1224" s="458"/>
      <c r="F1224" s="458"/>
    </row>
    <row r="1225" spans="3:7" x14ac:dyDescent="0.3">
      <c r="C1225" s="2611"/>
      <c r="D1225" s="3017" t="s">
        <v>3820</v>
      </c>
      <c r="E1225" s="3017"/>
      <c r="F1225" s="2611"/>
    </row>
    <row r="1226" spans="3:7" x14ac:dyDescent="0.3">
      <c r="C1226" s="148" t="s">
        <v>3819</v>
      </c>
      <c r="D1226" s="148" t="s">
        <v>3821</v>
      </c>
      <c r="E1226" s="148" t="s">
        <v>3822</v>
      </c>
      <c r="F1226" s="148" t="s">
        <v>263</v>
      </c>
    </row>
    <row r="1227" spans="3:7" x14ac:dyDescent="0.3">
      <c r="C1227" s="149"/>
      <c r="D1227" s="149"/>
      <c r="E1227" s="149"/>
      <c r="F1227" s="149" t="s">
        <v>264</v>
      </c>
    </row>
    <row r="1228" spans="3:7" x14ac:dyDescent="0.3">
      <c r="C1228" s="21" t="s">
        <v>1</v>
      </c>
      <c r="D1228" s="205"/>
      <c r="E1228" s="21" t="s">
        <v>1</v>
      </c>
      <c r="F1228" s="808" t="s">
        <v>600</v>
      </c>
    </row>
    <row r="1229" spans="3:7" x14ac:dyDescent="0.3">
      <c r="C1229" s="24"/>
      <c r="D1229" s="1075"/>
      <c r="E1229" s="24"/>
      <c r="F1229" s="2648"/>
    </row>
    <row r="1230" spans="3:7" x14ac:dyDescent="0.3">
      <c r="C1230" s="2650" t="s">
        <v>799</v>
      </c>
      <c r="D1230" s="1075"/>
      <c r="E1230" s="24"/>
      <c r="F1230" s="2648"/>
    </row>
    <row r="1231" spans="3:7" x14ac:dyDescent="0.3">
      <c r="C1231" s="123" t="s">
        <v>256</v>
      </c>
      <c r="D1231" s="2652">
        <f>+E1231/G1231</f>
        <v>1191.6660345194473</v>
      </c>
      <c r="E1231" s="2651">
        <f>5968271.23/100+'AS 18 Disclosures'!F89</f>
        <v>101921.5276</v>
      </c>
      <c r="F1231" s="2648"/>
      <c r="G1231" s="1">
        <v>85.528599999999997</v>
      </c>
    </row>
    <row r="1232" spans="3:7" x14ac:dyDescent="0.3">
      <c r="C1232" s="2649"/>
      <c r="D1232" s="1075"/>
      <c r="E1232" s="24"/>
      <c r="F1232" s="2648"/>
    </row>
    <row r="1233" spans="3:10" x14ac:dyDescent="0.3">
      <c r="C1233" s="2649" t="s">
        <v>743</v>
      </c>
      <c r="D1233" s="1075"/>
      <c r="E1233" s="24"/>
      <c r="F1233" s="2648"/>
    </row>
    <row r="1234" spans="3:10" x14ac:dyDescent="0.3">
      <c r="C1234" s="123" t="s">
        <v>256</v>
      </c>
      <c r="D1234" s="2511">
        <f>+E1234/G1231</f>
        <v>4677.3132542798548</v>
      </c>
      <c r="E1234" s="2311">
        <f>40004405.44/100</f>
        <v>400044.05439999996</v>
      </c>
      <c r="F1234" s="105"/>
    </row>
    <row r="1235" spans="3:10" x14ac:dyDescent="0.3">
      <c r="C1235" s="109"/>
      <c r="D1235" s="144"/>
      <c r="E1235" s="109"/>
      <c r="F1235" s="109"/>
    </row>
    <row r="1236" spans="3:10" x14ac:dyDescent="0.3">
      <c r="C1236" s="113"/>
      <c r="D1236" s="113"/>
      <c r="E1236" s="113"/>
      <c r="F1236" s="113"/>
    </row>
    <row r="1237" spans="3:10" x14ac:dyDescent="0.3">
      <c r="C1237" s="958"/>
      <c r="D1237" s="1063"/>
      <c r="E1237" s="1063"/>
      <c r="F1237" s="1063"/>
      <c r="G1237" s="534"/>
      <c r="H1237" s="534"/>
      <c r="I1237" s="534"/>
      <c r="J1237" s="536"/>
    </row>
    <row r="1238" spans="3:10" x14ac:dyDescent="0.3">
      <c r="C1238" s="960"/>
      <c r="D1238" s="113"/>
      <c r="E1238" s="113"/>
      <c r="F1238" s="113"/>
      <c r="J1238" s="6"/>
    </row>
    <row r="1239" spans="3:10" x14ac:dyDescent="0.3">
      <c r="C1239" s="960"/>
      <c r="D1239" s="113"/>
      <c r="E1239" s="113"/>
      <c r="F1239" s="113"/>
      <c r="J1239" s="6"/>
    </row>
    <row r="1240" spans="3:10" x14ac:dyDescent="0.3">
      <c r="C1240" s="960"/>
      <c r="D1240" s="113"/>
      <c r="E1240" s="113"/>
      <c r="F1240" s="113"/>
      <c r="J1240" s="6"/>
    </row>
    <row r="1241" spans="3:10" x14ac:dyDescent="0.3">
      <c r="C1241" s="960"/>
      <c r="D1241" s="113"/>
      <c r="E1241" s="113"/>
      <c r="F1241" s="113"/>
      <c r="J1241" s="6"/>
    </row>
    <row r="1242" spans="3:10" x14ac:dyDescent="0.3">
      <c r="C1242" s="1064"/>
      <c r="D1242" s="1065"/>
      <c r="E1242" s="1065"/>
      <c r="F1242" s="1065"/>
      <c r="G1242" s="535"/>
      <c r="H1242" s="535"/>
      <c r="I1242" s="535"/>
      <c r="J1242" s="7"/>
    </row>
    <row r="1243" spans="3:10" x14ac:dyDescent="0.3">
      <c r="C1243" s="191"/>
      <c r="D1243" s="191"/>
      <c r="E1243" s="192"/>
      <c r="F1243" s="192"/>
    </row>
    <row r="1244" spans="3:10" x14ac:dyDescent="0.3">
      <c r="C1244" s="2931" t="s">
        <v>1732</v>
      </c>
      <c r="D1244" s="2931"/>
      <c r="E1244" s="192"/>
      <c r="F1244" s="192"/>
    </row>
    <row r="1245" spans="3:10" x14ac:dyDescent="0.3">
      <c r="C1245" s="2931"/>
      <c r="D1245" s="2931"/>
      <c r="E1245" s="192"/>
      <c r="F1245" s="192"/>
    </row>
    <row r="1246" spans="3:10" x14ac:dyDescent="0.3">
      <c r="C1246" s="2874" t="s">
        <v>20</v>
      </c>
      <c r="D1246" s="2875"/>
      <c r="E1246" s="314" t="str">
        <f>BSCY</f>
        <v>As At 31st March 2025</v>
      </c>
      <c r="F1246" s="314" t="str">
        <f>BSPY</f>
        <v>As At 31st March 2024</v>
      </c>
    </row>
    <row r="1247" spans="3:10" x14ac:dyDescent="0.3">
      <c r="C1247" s="141"/>
      <c r="D1247" s="50"/>
      <c r="E1247" s="157"/>
      <c r="F1247" s="157"/>
    </row>
    <row r="1248" spans="3:10" x14ac:dyDescent="0.3">
      <c r="C1248" s="127" t="s">
        <v>265</v>
      </c>
      <c r="D1248" s="50"/>
      <c r="E1248" s="169"/>
      <c r="F1248" s="169"/>
    </row>
    <row r="1249" spans="3:10" x14ac:dyDescent="0.3">
      <c r="C1249" s="127"/>
      <c r="D1249" s="50"/>
      <c r="E1249" s="134"/>
      <c r="F1249" s="134"/>
    </row>
    <row r="1250" spans="3:10" x14ac:dyDescent="0.3">
      <c r="C1250" s="127" t="s">
        <v>266</v>
      </c>
      <c r="D1250" s="50"/>
      <c r="E1250" s="134"/>
      <c r="F1250" s="134"/>
    </row>
    <row r="1251" spans="3:10" x14ac:dyDescent="0.3">
      <c r="C1251" s="141" t="s">
        <v>267</v>
      </c>
      <c r="D1251" s="50"/>
      <c r="E1251" s="134"/>
      <c r="F1251" s="134"/>
    </row>
    <row r="1252" spans="3:10" x14ac:dyDescent="0.3">
      <c r="C1252" s="207"/>
      <c r="D1252" s="208" t="s">
        <v>268</v>
      </c>
      <c r="E1252" s="36"/>
      <c r="F1252" s="36"/>
    </row>
    <row r="1253" spans="3:10" x14ac:dyDescent="0.3">
      <c r="C1253" s="141"/>
      <c r="D1253" s="50"/>
      <c r="E1253" s="134"/>
      <c r="F1253" s="134"/>
    </row>
    <row r="1254" spans="3:10" x14ac:dyDescent="0.3">
      <c r="C1254" s="142" t="s">
        <v>269</v>
      </c>
      <c r="D1254" s="98"/>
      <c r="E1254" s="169"/>
      <c r="F1254" s="169"/>
    </row>
    <row r="1255" spans="3:10" x14ac:dyDescent="0.3">
      <c r="C1255" s="41"/>
      <c r="D1255" s="41"/>
      <c r="E1255" s="41"/>
      <c r="F1255" s="41"/>
    </row>
    <row r="1256" spans="3:10" x14ac:dyDescent="0.3">
      <c r="C1256" s="604"/>
      <c r="D1256" s="529"/>
      <c r="E1256" s="529"/>
      <c r="F1256" s="529"/>
      <c r="G1256" s="534"/>
      <c r="H1256" s="534"/>
      <c r="I1256" s="534"/>
      <c r="J1256" s="536"/>
    </row>
    <row r="1257" spans="3:10" x14ac:dyDescent="0.3">
      <c r="C1257" s="141"/>
      <c r="D1257" s="41"/>
      <c r="E1257" s="41"/>
      <c r="F1257" s="41"/>
      <c r="J1257" s="6"/>
    </row>
    <row r="1258" spans="3:10" x14ac:dyDescent="0.3">
      <c r="C1258" s="141"/>
      <c r="D1258" s="41"/>
      <c r="E1258" s="41"/>
      <c r="F1258" s="41"/>
      <c r="J1258" s="6"/>
    </row>
    <row r="1259" spans="3:10" x14ac:dyDescent="0.3">
      <c r="C1259" s="141"/>
      <c r="D1259" s="41"/>
      <c r="E1259" s="41"/>
      <c r="F1259" s="41"/>
      <c r="J1259" s="6"/>
    </row>
    <row r="1260" spans="3:10" x14ac:dyDescent="0.3">
      <c r="C1260" s="141"/>
      <c r="D1260" s="41"/>
      <c r="E1260" s="41"/>
      <c r="F1260" s="41"/>
      <c r="J1260" s="6"/>
    </row>
    <row r="1261" spans="3:10" x14ac:dyDescent="0.3">
      <c r="C1261" s="142"/>
      <c r="D1261" s="97"/>
      <c r="E1261" s="97"/>
      <c r="F1261" s="97"/>
      <c r="G1261" s="535"/>
      <c r="H1261" s="535"/>
      <c r="I1261" s="535"/>
      <c r="J1261" s="7"/>
    </row>
    <row r="1262" spans="3:10" x14ac:dyDescent="0.3">
      <c r="C1262" s="41"/>
      <c r="D1262" s="41"/>
      <c r="E1262" s="41"/>
      <c r="F1262" s="41"/>
    </row>
    <row r="1263" spans="3:10" x14ac:dyDescent="0.3">
      <c r="C1263" s="42" t="s">
        <v>1731</v>
      </c>
      <c r="D1263" s="41"/>
      <c r="E1263" s="41"/>
      <c r="F1263" s="41"/>
    </row>
    <row r="1264" spans="3:10" x14ac:dyDescent="0.3">
      <c r="C1264" s="41"/>
      <c r="D1264" s="41"/>
      <c r="E1264" s="41"/>
      <c r="F1264" s="41"/>
    </row>
    <row r="1265" spans="3:10" x14ac:dyDescent="0.3">
      <c r="C1265" s="2874" t="s">
        <v>20</v>
      </c>
      <c r="D1265" s="2875"/>
      <c r="E1265" s="314" t="str">
        <f>BSCY</f>
        <v>As At 31st March 2025</v>
      </c>
      <c r="F1265" s="314" t="str">
        <f>BSPY</f>
        <v>As At 31st March 2024</v>
      </c>
    </row>
    <row r="1266" spans="3:10" x14ac:dyDescent="0.3">
      <c r="C1266" s="141" t="s">
        <v>270</v>
      </c>
      <c r="D1266" s="50"/>
      <c r="E1266" s="971">
        <v>0</v>
      </c>
      <c r="F1266" s="971">
        <v>0</v>
      </c>
    </row>
    <row r="1267" spans="3:10" x14ac:dyDescent="0.3">
      <c r="C1267" s="141" t="s">
        <v>271</v>
      </c>
      <c r="D1267" s="50"/>
      <c r="E1267" s="971">
        <v>0</v>
      </c>
      <c r="F1267" s="971">
        <v>0</v>
      </c>
    </row>
    <row r="1268" spans="3:10" x14ac:dyDescent="0.3">
      <c r="C1268" s="141" t="s">
        <v>272</v>
      </c>
      <c r="D1268" s="50"/>
      <c r="E1268" s="971">
        <v>0</v>
      </c>
      <c r="F1268" s="971">
        <v>0</v>
      </c>
    </row>
    <row r="1269" spans="3:10" x14ac:dyDescent="0.3">
      <c r="C1269" s="141" t="s">
        <v>179</v>
      </c>
      <c r="D1269" s="50"/>
      <c r="E1269" s="971">
        <v>0</v>
      </c>
      <c r="F1269" s="971">
        <v>0</v>
      </c>
    </row>
    <row r="1270" spans="3:10" x14ac:dyDescent="0.3">
      <c r="C1270" s="141" t="s">
        <v>3772</v>
      </c>
      <c r="D1270" s="50"/>
      <c r="E1270" s="846">
        <f>+'RPT Disclosure-Transactions'!K34</f>
        <v>484268.6936</v>
      </c>
      <c r="F1270" s="845">
        <f>+'RPT Disclosure-Transactions'!L34</f>
        <v>762986</v>
      </c>
    </row>
    <row r="1271" spans="3:10" x14ac:dyDescent="0.3">
      <c r="C1271" s="2934"/>
      <c r="D1271" s="2935"/>
      <c r="E1271" s="36"/>
      <c r="F1271" s="36"/>
    </row>
    <row r="1272" spans="3:10" x14ac:dyDescent="0.3">
      <c r="C1272" s="41"/>
      <c r="D1272" s="41"/>
      <c r="E1272" s="41"/>
      <c r="F1272" s="41"/>
    </row>
    <row r="1273" spans="3:10" x14ac:dyDescent="0.3">
      <c r="C1273" s="604"/>
      <c r="D1273" s="529"/>
      <c r="E1273" s="529"/>
      <c r="F1273" s="529"/>
      <c r="G1273" s="534"/>
      <c r="H1273" s="534"/>
      <c r="I1273" s="534"/>
      <c r="J1273" s="536"/>
    </row>
    <row r="1274" spans="3:10" x14ac:dyDescent="0.3">
      <c r="C1274" s="141"/>
      <c r="D1274" s="41"/>
      <c r="E1274" s="41"/>
      <c r="F1274" s="41"/>
      <c r="J1274" s="6"/>
    </row>
    <row r="1275" spans="3:10" x14ac:dyDescent="0.3">
      <c r="C1275" s="141"/>
      <c r="D1275" s="41"/>
      <c r="E1275" s="41"/>
      <c r="F1275" s="41"/>
      <c r="J1275" s="6"/>
    </row>
    <row r="1276" spans="3:10" x14ac:dyDescent="0.3">
      <c r="C1276" s="141"/>
      <c r="D1276" s="41"/>
      <c r="E1276" s="41"/>
      <c r="F1276" s="41"/>
      <c r="J1276" s="6"/>
    </row>
    <row r="1277" spans="3:10" x14ac:dyDescent="0.3">
      <c r="C1277" s="141"/>
      <c r="D1277" s="41"/>
      <c r="E1277" s="41"/>
      <c r="F1277" s="41"/>
      <c r="J1277" s="6"/>
    </row>
    <row r="1278" spans="3:10" x14ac:dyDescent="0.3">
      <c r="C1278" s="142"/>
      <c r="D1278" s="97"/>
      <c r="E1278" s="97"/>
      <c r="F1278" s="97"/>
      <c r="G1278" s="535"/>
      <c r="H1278" s="535"/>
      <c r="I1278" s="535"/>
      <c r="J1278" s="7"/>
    </row>
    <row r="1279" spans="3:10" x14ac:dyDescent="0.3">
      <c r="C1279" s="41"/>
      <c r="D1279" s="41"/>
      <c r="E1279" s="41"/>
      <c r="F1279" s="41"/>
    </row>
    <row r="1280" spans="3:10" x14ac:dyDescent="0.3">
      <c r="C1280" s="306" t="s">
        <v>1734</v>
      </c>
      <c r="D1280" s="41"/>
      <c r="E1280" s="41"/>
      <c r="F1280" s="41"/>
    </row>
    <row r="1281" spans="3:6" x14ac:dyDescent="0.3">
      <c r="C1281" s="2830" t="s">
        <v>20</v>
      </c>
      <c r="D1281" s="2831"/>
      <c r="E1281" s="2936" t="str">
        <f>BSCY</f>
        <v>As At 31st March 2025</v>
      </c>
      <c r="F1281" s="2937"/>
    </row>
    <row r="1282" spans="3:6" x14ac:dyDescent="0.3">
      <c r="C1282" s="2932"/>
      <c r="D1282" s="2933"/>
      <c r="E1282" s="157" t="s">
        <v>183</v>
      </c>
      <c r="F1282" s="157" t="s">
        <v>273</v>
      </c>
    </row>
    <row r="1283" spans="3:6" x14ac:dyDescent="0.3">
      <c r="C1283" s="211" t="s">
        <v>274</v>
      </c>
      <c r="D1283" s="209"/>
      <c r="E1283" s="168"/>
      <c r="F1283" s="168"/>
    </row>
    <row r="1284" spans="3:6" x14ac:dyDescent="0.3">
      <c r="C1284" s="141" t="s">
        <v>265</v>
      </c>
      <c r="D1284" s="50"/>
      <c r="E1284" s="48"/>
      <c r="F1284" s="48"/>
    </row>
    <row r="1285" spans="3:6" x14ac:dyDescent="0.3">
      <c r="C1285" s="141"/>
      <c r="D1285" s="50"/>
      <c r="E1285" s="48"/>
      <c r="F1285" s="48"/>
    </row>
    <row r="1286" spans="3:6" x14ac:dyDescent="0.3">
      <c r="C1286" s="127" t="s">
        <v>266</v>
      </c>
      <c r="D1286" s="50"/>
      <c r="E1286" s="48"/>
      <c r="F1286" s="48"/>
    </row>
    <row r="1287" spans="3:6" x14ac:dyDescent="0.3">
      <c r="C1287" s="127"/>
      <c r="D1287" s="50"/>
      <c r="E1287" s="48"/>
      <c r="F1287" s="48"/>
    </row>
    <row r="1288" spans="3:6" x14ac:dyDescent="0.3">
      <c r="C1288" s="141" t="s">
        <v>267</v>
      </c>
      <c r="D1288" s="50"/>
      <c r="E1288" s="48"/>
      <c r="F1288" s="48"/>
    </row>
    <row r="1289" spans="3:6" x14ac:dyDescent="0.3">
      <c r="C1289" s="141"/>
      <c r="D1289" s="50"/>
      <c r="E1289" s="48"/>
      <c r="F1289" s="48"/>
    </row>
    <row r="1290" spans="3:6" x14ac:dyDescent="0.3">
      <c r="C1290" s="141"/>
      <c r="D1290" s="208" t="s">
        <v>35</v>
      </c>
      <c r="E1290" s="196">
        <f>SUM(E1283:E1289)</f>
        <v>0</v>
      </c>
      <c r="F1290" s="196">
        <f>SUM(F1283:F1289)</f>
        <v>0</v>
      </c>
    </row>
    <row r="1291" spans="3:6" x14ac:dyDescent="0.3">
      <c r="C1291" s="141"/>
      <c r="D1291" s="50"/>
      <c r="E1291" s="96"/>
      <c r="F1291" s="96"/>
    </row>
    <row r="1292" spans="3:6" x14ac:dyDescent="0.3">
      <c r="C1292" s="212" t="s">
        <v>275</v>
      </c>
      <c r="D1292" s="50"/>
      <c r="E1292" s="213"/>
      <c r="F1292" s="89"/>
    </row>
    <row r="1293" spans="3:6" x14ac:dyDescent="0.3">
      <c r="C1293" s="141" t="s">
        <v>265</v>
      </c>
      <c r="D1293" s="50"/>
      <c r="E1293" s="48"/>
      <c r="F1293" s="48"/>
    </row>
    <row r="1294" spans="3:6" x14ac:dyDescent="0.3">
      <c r="C1294" s="141"/>
      <c r="D1294" s="50"/>
      <c r="E1294" s="48"/>
      <c r="F1294" s="48"/>
    </row>
    <row r="1295" spans="3:6" x14ac:dyDescent="0.3">
      <c r="C1295" s="127" t="s">
        <v>266</v>
      </c>
      <c r="D1295" s="50"/>
      <c r="E1295" s="48"/>
      <c r="F1295" s="48"/>
    </row>
    <row r="1296" spans="3:6" x14ac:dyDescent="0.3">
      <c r="C1296" s="127"/>
      <c r="D1296" s="50"/>
      <c r="E1296" s="48"/>
      <c r="F1296" s="48"/>
    </row>
    <row r="1297" spans="3:10" x14ac:dyDescent="0.3">
      <c r="C1297" s="141" t="s">
        <v>267</v>
      </c>
      <c r="D1297" s="50"/>
      <c r="E1297" s="48"/>
      <c r="F1297" s="48"/>
    </row>
    <row r="1298" spans="3:10" x14ac:dyDescent="0.3">
      <c r="C1298" s="141"/>
      <c r="D1298" s="50"/>
      <c r="E1298" s="48"/>
      <c r="F1298" s="48"/>
    </row>
    <row r="1299" spans="3:10" x14ac:dyDescent="0.3">
      <c r="C1299" s="141"/>
      <c r="D1299" s="214" t="s">
        <v>35</v>
      </c>
      <c r="E1299" s="196">
        <f>SUM(E1293:E1298)</f>
        <v>0</v>
      </c>
      <c r="F1299" s="196">
        <f>SUM(F1293:F1298)</f>
        <v>0</v>
      </c>
    </row>
    <row r="1300" spans="3:10" x14ac:dyDescent="0.3">
      <c r="C1300" s="142"/>
      <c r="D1300" s="98"/>
      <c r="E1300" s="96"/>
      <c r="F1300" s="96"/>
    </row>
    <row r="1301" spans="3:10" x14ac:dyDescent="0.3">
      <c r="C1301" s="307" t="s">
        <v>649</v>
      </c>
      <c r="D1301" s="41"/>
      <c r="E1301" s="81"/>
      <c r="F1301" s="81"/>
    </row>
    <row r="1302" spans="3:10" x14ac:dyDescent="0.3">
      <c r="C1302" s="307"/>
      <c r="D1302" s="41"/>
      <c r="E1302" s="81"/>
      <c r="F1302" s="81"/>
    </row>
    <row r="1303" spans="3:10" x14ac:dyDescent="0.3">
      <c r="C1303" s="566"/>
      <c r="D1303" s="529"/>
      <c r="E1303" s="459"/>
      <c r="F1303" s="459"/>
      <c r="G1303" s="534"/>
      <c r="H1303" s="534"/>
      <c r="I1303" s="534"/>
      <c r="J1303" s="536"/>
    </row>
    <row r="1304" spans="3:10" x14ac:dyDescent="0.3">
      <c r="C1304" s="315"/>
      <c r="D1304" s="41"/>
      <c r="E1304" s="81"/>
      <c r="F1304" s="81"/>
      <c r="J1304" s="6"/>
    </row>
    <row r="1305" spans="3:10" x14ac:dyDescent="0.3">
      <c r="C1305" s="315"/>
      <c r="D1305" s="41"/>
      <c r="E1305" s="81"/>
      <c r="F1305" s="81"/>
      <c r="J1305" s="6"/>
    </row>
    <row r="1306" spans="3:10" x14ac:dyDescent="0.3">
      <c r="C1306" s="315"/>
      <c r="D1306" s="41"/>
      <c r="E1306" s="81"/>
      <c r="F1306" s="81"/>
      <c r="J1306" s="6"/>
    </row>
    <row r="1307" spans="3:10" x14ac:dyDescent="0.3">
      <c r="C1307" s="315"/>
      <c r="D1307" s="41"/>
      <c r="E1307" s="81"/>
      <c r="F1307" s="81"/>
      <c r="J1307" s="6"/>
    </row>
    <row r="1308" spans="3:10" x14ac:dyDescent="0.3">
      <c r="C1308" s="1171"/>
      <c r="D1308" s="97"/>
      <c r="E1308" s="100"/>
      <c r="F1308" s="100"/>
      <c r="G1308" s="535"/>
      <c r="H1308" s="535"/>
      <c r="I1308" s="535"/>
      <c r="J1308" s="7"/>
    </row>
    <row r="1309" spans="3:10" x14ac:dyDescent="0.3">
      <c r="C1309" s="41"/>
      <c r="D1309" s="41"/>
      <c r="E1309" s="81"/>
      <c r="F1309" s="81"/>
    </row>
    <row r="1310" spans="3:10" x14ac:dyDescent="0.3">
      <c r="C1310" s="131" t="s">
        <v>1735</v>
      </c>
      <c r="D1310" s="41"/>
      <c r="E1310" s="81"/>
      <c r="F1310" s="81"/>
    </row>
    <row r="1311" spans="3:10" x14ac:dyDescent="0.3">
      <c r="C1311" s="41"/>
      <c r="D1311" s="41"/>
      <c r="E1311" s="81"/>
      <c r="F1311" s="81"/>
    </row>
    <row r="1312" spans="3:10" x14ac:dyDescent="0.3">
      <c r="C1312" s="2874" t="s">
        <v>20</v>
      </c>
      <c r="D1312" s="2875"/>
      <c r="E1312" s="314" t="str">
        <f>BSCY</f>
        <v>As At 31st March 2025</v>
      </c>
      <c r="F1312" s="314" t="str">
        <f>BSPY</f>
        <v>As At 31st March 2024</v>
      </c>
    </row>
    <row r="1313" spans="3:10" x14ac:dyDescent="0.3">
      <c r="C1313" s="116" t="s">
        <v>498</v>
      </c>
      <c r="D1313" s="50"/>
      <c r="E1313" s="134"/>
      <c r="F1313" s="134"/>
    </row>
    <row r="1314" spans="3:10" x14ac:dyDescent="0.3">
      <c r="C1314" s="2929" t="s">
        <v>276</v>
      </c>
      <c r="D1314" s="2930"/>
      <c r="E1314" s="970">
        <v>0</v>
      </c>
      <c r="F1314" s="970">
        <v>0</v>
      </c>
    </row>
    <row r="1315" spans="3:10" x14ac:dyDescent="0.3">
      <c r="C1315" s="116" t="s">
        <v>277</v>
      </c>
      <c r="D1315" s="50"/>
      <c r="E1315" s="970">
        <v>0</v>
      </c>
      <c r="F1315" s="970">
        <v>0</v>
      </c>
    </row>
    <row r="1316" spans="3:10" x14ac:dyDescent="0.3">
      <c r="C1316" s="116" t="s">
        <v>3377</v>
      </c>
      <c r="D1316" s="50"/>
      <c r="E1316" s="970">
        <f>+'RPT Disclosure-Transactions'!K41</f>
        <v>466002.33549999999</v>
      </c>
      <c r="F1316" s="970">
        <f>+'RPT Disclosure-Transactions'!L41</f>
        <v>476919</v>
      </c>
    </row>
    <row r="1317" spans="3:10" x14ac:dyDescent="0.3">
      <c r="C1317" s="142" t="s">
        <v>3809</v>
      </c>
      <c r="D1317" s="98"/>
      <c r="E1317" s="942">
        <f>+'RPT Disclosure-Transactions'!K42</f>
        <v>2061088.2929</v>
      </c>
      <c r="F1317" s="942">
        <f>+'RPT Disclosure-Transactions'!L42</f>
        <v>1761685</v>
      </c>
    </row>
    <row r="1318" spans="3:10" x14ac:dyDescent="0.3">
      <c r="C1318" s="41"/>
      <c r="D1318" s="41"/>
      <c r="E1318" s="41"/>
      <c r="F1318" s="41"/>
    </row>
    <row r="1319" spans="3:10" x14ac:dyDescent="0.3">
      <c r="C1319" s="41"/>
      <c r="D1319" s="41"/>
      <c r="E1319" s="41"/>
      <c r="F1319" s="41"/>
    </row>
    <row r="1320" spans="3:10" x14ac:dyDescent="0.3">
      <c r="C1320" s="604"/>
      <c r="D1320" s="529"/>
      <c r="E1320" s="529"/>
      <c r="F1320" s="529"/>
      <c r="G1320" s="534"/>
      <c r="H1320" s="534"/>
      <c r="I1320" s="534"/>
      <c r="J1320" s="536"/>
    </row>
    <row r="1321" spans="3:10" x14ac:dyDescent="0.3">
      <c r="C1321" s="141"/>
      <c r="D1321" s="41"/>
      <c r="E1321" s="41"/>
      <c r="F1321" s="41"/>
      <c r="J1321" s="6"/>
    </row>
    <row r="1322" spans="3:10" x14ac:dyDescent="0.3">
      <c r="C1322" s="141"/>
      <c r="D1322" s="41"/>
      <c r="E1322" s="41"/>
      <c r="F1322" s="41"/>
      <c r="J1322" s="6"/>
    </row>
    <row r="1323" spans="3:10" x14ac:dyDescent="0.3">
      <c r="C1323" s="141"/>
      <c r="D1323" s="41"/>
      <c r="E1323" s="41"/>
      <c r="F1323" s="41"/>
      <c r="J1323" s="6"/>
    </row>
    <row r="1324" spans="3:10" x14ac:dyDescent="0.3">
      <c r="C1324" s="141"/>
      <c r="D1324" s="41"/>
      <c r="E1324" s="41"/>
      <c r="F1324" s="41"/>
      <c r="J1324" s="6"/>
    </row>
    <row r="1325" spans="3:10" x14ac:dyDescent="0.3">
      <c r="C1325" s="142"/>
      <c r="D1325" s="97"/>
      <c r="E1325" s="97"/>
      <c r="F1325" s="97"/>
      <c r="G1325" s="535"/>
      <c r="H1325" s="535"/>
      <c r="I1325" s="535"/>
      <c r="J1325" s="7"/>
    </row>
    <row r="1326" spans="3:10" x14ac:dyDescent="0.3">
      <c r="C1326" s="41"/>
      <c r="D1326" s="41"/>
      <c r="E1326" s="41"/>
      <c r="F1326" s="41"/>
    </row>
    <row r="1327" spans="3:10" x14ac:dyDescent="0.3">
      <c r="C1327" s="17" t="s">
        <v>1733</v>
      </c>
      <c r="D1327" s="32"/>
      <c r="E1327"/>
      <c r="F1327"/>
    </row>
    <row r="1328" spans="3:10" x14ac:dyDescent="0.3">
      <c r="C1328" s="41"/>
      <c r="D1328" s="41"/>
      <c r="E1328" s="41"/>
      <c r="F1328" s="41"/>
    </row>
    <row r="1329" spans="3:10" x14ac:dyDescent="0.3">
      <c r="C1329" s="2874" t="s">
        <v>20</v>
      </c>
      <c r="D1329" s="2875"/>
      <c r="E1329" s="314" t="str">
        <f>BSCY</f>
        <v>As At 31st March 2025</v>
      </c>
      <c r="F1329" s="314" t="str">
        <f>BSPY</f>
        <v>As At 31st March 2024</v>
      </c>
    </row>
    <row r="1330" spans="3:10" x14ac:dyDescent="0.3">
      <c r="C1330" s="116" t="s">
        <v>278</v>
      </c>
      <c r="D1330" s="50"/>
      <c r="E1330" s="134"/>
      <c r="F1330" s="134"/>
    </row>
    <row r="1331" spans="3:10" x14ac:dyDescent="0.3">
      <c r="C1331" s="2929" t="s">
        <v>279</v>
      </c>
      <c r="D1331" s="2930"/>
      <c r="E1331" s="134"/>
      <c r="F1331" s="134"/>
    </row>
    <row r="1332" spans="3:10" x14ac:dyDescent="0.3">
      <c r="C1332" s="141" t="s">
        <v>280</v>
      </c>
      <c r="D1332" s="50"/>
      <c r="E1332" s="134"/>
      <c r="F1332" s="134"/>
    </row>
    <row r="1333" spans="3:10" x14ac:dyDescent="0.3">
      <c r="C1333" s="216" t="s">
        <v>281</v>
      </c>
      <c r="D1333" s="98"/>
      <c r="E1333" s="169"/>
      <c r="F1333" s="169"/>
    </row>
    <row r="1335" spans="3:10" x14ac:dyDescent="0.3">
      <c r="C1335" s="403"/>
      <c r="D1335" s="534"/>
      <c r="E1335" s="534"/>
      <c r="F1335" s="534"/>
      <c r="G1335" s="534"/>
      <c r="H1335" s="534"/>
      <c r="I1335" s="534"/>
      <c r="J1335" s="536"/>
    </row>
    <row r="1336" spans="3:10" x14ac:dyDescent="0.3">
      <c r="C1336" s="186"/>
      <c r="J1336" s="6"/>
    </row>
    <row r="1337" spans="3:10" x14ac:dyDescent="0.3">
      <c r="C1337" s="186"/>
      <c r="J1337" s="6"/>
    </row>
    <row r="1338" spans="3:10" x14ac:dyDescent="0.3">
      <c r="C1338" s="186"/>
      <c r="J1338" s="6"/>
    </row>
    <row r="1339" spans="3:10" x14ac:dyDescent="0.3">
      <c r="C1339" s="186"/>
      <c r="J1339" s="6"/>
    </row>
    <row r="1340" spans="3:10" x14ac:dyDescent="0.3">
      <c r="C1340" s="964"/>
      <c r="D1340" s="535"/>
      <c r="E1340" s="535"/>
      <c r="F1340" s="535"/>
      <c r="G1340" s="535"/>
      <c r="H1340" s="535"/>
      <c r="I1340" s="535"/>
      <c r="J1340" s="7"/>
    </row>
  </sheetData>
  <mergeCells count="168">
    <mergeCell ref="D1225:E1225"/>
    <mergeCell ref="J882:J883"/>
    <mergeCell ref="K882:N882"/>
    <mergeCell ref="O882:O883"/>
    <mergeCell ref="J916:J917"/>
    <mergeCell ref="K916:N916"/>
    <mergeCell ref="O916:O917"/>
    <mergeCell ref="C1314:D1314"/>
    <mergeCell ref="C1329:D1329"/>
    <mergeCell ref="C1190:D1190"/>
    <mergeCell ref="C1191:D1191"/>
    <mergeCell ref="C1193:F1193"/>
    <mergeCell ref="C1202:F1202"/>
    <mergeCell ref="C1203:F1203"/>
    <mergeCell ref="C1204:F1204"/>
    <mergeCell ref="C1221:F1221"/>
    <mergeCell ref="C1222:F1222"/>
    <mergeCell ref="C1223:F1223"/>
    <mergeCell ref="C1161:D1161"/>
    <mergeCell ref="C1162:D1162"/>
    <mergeCell ref="C1172:F1172"/>
    <mergeCell ref="C1174:F1174"/>
    <mergeCell ref="C1185:D1185"/>
    <mergeCell ref="C1186:D1186"/>
    <mergeCell ref="C1331:D1331"/>
    <mergeCell ref="C1244:D1244"/>
    <mergeCell ref="C1245:D1245"/>
    <mergeCell ref="C1246:D1246"/>
    <mergeCell ref="C1265:D1265"/>
    <mergeCell ref="C1281:D1282"/>
    <mergeCell ref="E1281:F1281"/>
    <mergeCell ref="C1312:D1312"/>
    <mergeCell ref="C1271:D1271"/>
    <mergeCell ref="C1188:D1188"/>
    <mergeCell ref="C1189:D1189"/>
    <mergeCell ref="C1152:D1152"/>
    <mergeCell ref="C1153:D1153"/>
    <mergeCell ref="C1154:D1154"/>
    <mergeCell ref="C1155:D1155"/>
    <mergeCell ref="C1156:D1156"/>
    <mergeCell ref="C1157:D1157"/>
    <mergeCell ref="C1158:D1158"/>
    <mergeCell ref="C1159:D1159"/>
    <mergeCell ref="C1160:D1160"/>
    <mergeCell ref="C1187:D1187"/>
    <mergeCell ref="C1117:F1117"/>
    <mergeCell ref="C1127:F1127"/>
    <mergeCell ref="C1138:D1138"/>
    <mergeCell ref="C1139:D1139"/>
    <mergeCell ref="C1141:D1141"/>
    <mergeCell ref="C1150:D1150"/>
    <mergeCell ref="C1151:D1151"/>
    <mergeCell ref="C311:C312"/>
    <mergeCell ref="D311:D312"/>
    <mergeCell ref="E311:E312"/>
    <mergeCell ref="F311:F312"/>
    <mergeCell ref="C586:E586"/>
    <mergeCell ref="C339:G339"/>
    <mergeCell ref="C340:G340"/>
    <mergeCell ref="D370:E370"/>
    <mergeCell ref="F370:G370"/>
    <mergeCell ref="E683:F683"/>
    <mergeCell ref="G683:H683"/>
    <mergeCell ref="E684:F684"/>
    <mergeCell ref="G684:H684"/>
    <mergeCell ref="E685:F685"/>
    <mergeCell ref="G685:H685"/>
    <mergeCell ref="C675:K676"/>
    <mergeCell ref="C678:J678"/>
    <mergeCell ref="C56:E56"/>
    <mergeCell ref="C57:E57"/>
    <mergeCell ref="C58:E58"/>
    <mergeCell ref="D59:E59"/>
    <mergeCell ref="C591:E591"/>
    <mergeCell ref="C91:I91"/>
    <mergeCell ref="C92:I92"/>
    <mergeCell ref="C99:I99"/>
    <mergeCell ref="C101:C102"/>
    <mergeCell ref="D101:F101"/>
    <mergeCell ref="G101:I101"/>
    <mergeCell ref="C345:M346"/>
    <mergeCell ref="D349:G349"/>
    <mergeCell ref="C370:C371"/>
    <mergeCell ref="C208:I208"/>
    <mergeCell ref="C209:I209"/>
    <mergeCell ref="C211:I211"/>
    <mergeCell ref="C170:I170"/>
    <mergeCell ref="C171:I171"/>
    <mergeCell ref="C172:I172"/>
    <mergeCell ref="C174:C175"/>
    <mergeCell ref="D174:E174"/>
    <mergeCell ref="F174:G174"/>
    <mergeCell ref="C307:G308"/>
    <mergeCell ref="J370:J371"/>
    <mergeCell ref="K370:L370"/>
    <mergeCell ref="C125:C126"/>
    <mergeCell ref="D125:F125"/>
    <mergeCell ref="G125:I125"/>
    <mergeCell ref="C251:G252"/>
    <mergeCell ref="C254:G254"/>
    <mergeCell ref="C255:C258"/>
    <mergeCell ref="D255:G255"/>
    <mergeCell ref="D256:E256"/>
    <mergeCell ref="F256:F258"/>
    <mergeCell ref="G256:G258"/>
    <mergeCell ref="D257:D258"/>
    <mergeCell ref="E257:E258"/>
    <mergeCell ref="C681:C682"/>
    <mergeCell ref="D681:D682"/>
    <mergeCell ref="E681:H681"/>
    <mergeCell ref="E682:F682"/>
    <mergeCell ref="G682:H682"/>
    <mergeCell ref="C702:J703"/>
    <mergeCell ref="C705:I705"/>
    <mergeCell ref="C707:C708"/>
    <mergeCell ref="C710:C711"/>
    <mergeCell ref="C716:C717"/>
    <mergeCell ref="E686:F686"/>
    <mergeCell ref="G686:H686"/>
    <mergeCell ref="C691:C692"/>
    <mergeCell ref="D691:D692"/>
    <mergeCell ref="E691:J691"/>
    <mergeCell ref="D738:H738"/>
    <mergeCell ref="D739:H739"/>
    <mergeCell ref="D740:H740"/>
    <mergeCell ref="D741:H741"/>
    <mergeCell ref="D742:H742"/>
    <mergeCell ref="C722:C723"/>
    <mergeCell ref="C724:C725"/>
    <mergeCell ref="D733:H733"/>
    <mergeCell ref="D736:H736"/>
    <mergeCell ref="D737:H737"/>
    <mergeCell ref="D801:H801"/>
    <mergeCell ref="C850:I850"/>
    <mergeCell ref="C851:I851"/>
    <mergeCell ref="D751:D752"/>
    <mergeCell ref="E751:F751"/>
    <mergeCell ref="G751:H751"/>
    <mergeCell ref="D788:H788"/>
    <mergeCell ref="D789:H789"/>
    <mergeCell ref="D743:H743"/>
    <mergeCell ref="D744:H744"/>
    <mergeCell ref="D745:H745"/>
    <mergeCell ref="D746:H746"/>
    <mergeCell ref="D747:H747"/>
    <mergeCell ref="C1091:I1091"/>
    <mergeCell ref="C962:I962"/>
    <mergeCell ref="C989:I989"/>
    <mergeCell ref="C1046:I1046"/>
    <mergeCell ref="C1079:I1079"/>
    <mergeCell ref="C1080:I1080"/>
    <mergeCell ref="C923:I923"/>
    <mergeCell ref="C925:C926"/>
    <mergeCell ref="D925:G925"/>
    <mergeCell ref="C959:I959"/>
    <mergeCell ref="C961:I961"/>
    <mergeCell ref="C890:I890"/>
    <mergeCell ref="C892:C893"/>
    <mergeCell ref="D892:G892"/>
    <mergeCell ref="C911:I911"/>
    <mergeCell ref="C916:C917"/>
    <mergeCell ref="D916:G916"/>
    <mergeCell ref="H916:H917"/>
    <mergeCell ref="D855:E855"/>
    <mergeCell ref="F855:G855"/>
    <mergeCell ref="C882:C883"/>
    <mergeCell ref="D882:G882"/>
    <mergeCell ref="H882:H883"/>
  </mergeCells>
  <pageMargins left="0.7" right="0.7" top="0.75" bottom="0.75" header="0.3" footer="0.3"/>
  <pageSetup scale="21" orientation="portrait" r:id="rId1"/>
  <rowBreaks count="2" manualBreakCount="2">
    <brk id="168" min="2" max="22" man="1"/>
    <brk id="536" min="2" max="22" man="1"/>
  </rowBreaks>
  <ignoredErrors>
    <ignoredError sqref="D558:E558 E546 F1035:H1035 F1043:H1043" evalError="1"/>
  </ignoredError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W318"/>
  <sheetViews>
    <sheetView showGridLines="0" topLeftCell="D1" zoomScale="80" zoomScaleNormal="80" workbookViewId="0">
      <selection activeCell="I11" sqref="I11"/>
    </sheetView>
  </sheetViews>
  <sheetFormatPr defaultColWidth="8.85546875" defaultRowHeight="16.5" x14ac:dyDescent="0.3"/>
  <cols>
    <col min="1" max="1" width="3.7109375" style="1" customWidth="1"/>
    <col min="2" max="2" width="9" customWidth="1"/>
    <col min="3" max="3" width="50.140625" style="325" bestFit="1" customWidth="1"/>
    <col min="4" max="4" width="156.7109375" style="325" bestFit="1" customWidth="1"/>
    <col min="5" max="5" width="20.5703125" style="325" customWidth="1"/>
    <col min="6" max="6" width="20.42578125" style="325" customWidth="1"/>
    <col min="7" max="7" width="20.7109375" style="1777" customWidth="1"/>
    <col min="8" max="8" width="22.28515625" style="1777" customWidth="1"/>
    <col min="9" max="9" width="16.7109375" style="325" customWidth="1"/>
    <col min="10" max="10" width="24.42578125" style="325" customWidth="1"/>
    <col min="11" max="11" width="20.140625" style="325" bestFit="1" customWidth="1"/>
    <col min="12" max="12" width="5" style="1" customWidth="1"/>
    <col min="13" max="13" width="4.85546875" style="1" customWidth="1"/>
    <col min="14" max="14" width="9" style="1" customWidth="1"/>
    <col min="15" max="15" width="46.28515625" style="1" bestFit="1" customWidth="1"/>
    <col min="16" max="16" width="92.7109375" style="1" bestFit="1" customWidth="1"/>
    <col min="17" max="17" width="18.28515625" style="1" customWidth="1"/>
    <col min="18" max="18" width="21.5703125" style="302" customWidth="1"/>
    <col min="19" max="19" width="21.7109375" style="302" customWidth="1"/>
    <col min="20" max="20" width="23.28515625" style="302" customWidth="1"/>
    <col min="21" max="21" width="17.7109375" style="1" customWidth="1"/>
    <col min="22" max="22" width="24.42578125" style="1" customWidth="1"/>
    <col min="23" max="23" width="20.140625" style="1" bestFit="1" customWidth="1"/>
    <col min="24" max="16384" width="8.85546875" style="1"/>
  </cols>
  <sheetData>
    <row r="1" spans="1:23" s="344" customFormat="1" x14ac:dyDescent="0.3">
      <c r="A1" s="344" t="s">
        <v>3562</v>
      </c>
      <c r="B1" s="343"/>
      <c r="G1" s="2559"/>
      <c r="H1" s="2559"/>
    </row>
    <row r="2" spans="1:23" s="344" customFormat="1" x14ac:dyDescent="0.3">
      <c r="B2" s="343"/>
      <c r="C2" s="345"/>
      <c r="D2" s="345"/>
      <c r="G2" s="2559"/>
      <c r="H2" s="2559"/>
    </row>
    <row r="3" spans="1:23" s="344" customFormat="1" x14ac:dyDescent="0.3">
      <c r="B3" s="343"/>
      <c r="G3" s="2559"/>
      <c r="H3" s="2559"/>
    </row>
    <row r="4" spans="1:23" s="344" customFormat="1" x14ac:dyDescent="0.3">
      <c r="B4" s="343"/>
      <c r="G4" s="2559"/>
      <c r="H4" s="2559"/>
    </row>
    <row r="5" spans="1:23" s="344" customFormat="1" x14ac:dyDescent="0.3">
      <c r="B5" s="346"/>
      <c r="G5" s="2559"/>
      <c r="H5" s="2559"/>
    </row>
    <row r="6" spans="1:23" s="344" customFormat="1" x14ac:dyDescent="0.3">
      <c r="B6" s="346"/>
      <c r="G6" s="2559"/>
      <c r="H6" s="2559"/>
    </row>
    <row r="7" spans="1:23" x14ac:dyDescent="0.3">
      <c r="B7" s="352" t="s">
        <v>1069</v>
      </c>
      <c r="C7" s="352"/>
      <c r="D7" s="352"/>
      <c r="E7" s="352"/>
      <c r="F7" s="352"/>
      <c r="G7" s="2560"/>
      <c r="H7" s="2560"/>
      <c r="I7" s="352"/>
      <c r="J7" s="352"/>
      <c r="K7" s="352"/>
      <c r="N7" s="353" t="s">
        <v>1068</v>
      </c>
      <c r="O7" s="353"/>
      <c r="P7" s="353"/>
      <c r="Q7" s="353"/>
      <c r="R7" s="353"/>
      <c r="S7" s="353"/>
      <c r="T7" s="353"/>
      <c r="U7" s="353"/>
      <c r="V7" s="353"/>
      <c r="W7" s="353"/>
    </row>
    <row r="8" spans="1:23" x14ac:dyDescent="0.3">
      <c r="B8" s="333"/>
      <c r="C8" s="1"/>
      <c r="D8" s="1"/>
      <c r="E8" s="1"/>
      <c r="F8" s="302">
        <f>SUM(F11:F1048576)</f>
        <v>-78423411.1199999</v>
      </c>
      <c r="G8" s="179">
        <f ca="1">SUM(G11:G1048576)</f>
        <v>1266134.7349291071</v>
      </c>
      <c r="H8" s="179">
        <f>SUM(H11:H1048576)</f>
        <v>0</v>
      </c>
      <c r="I8" s="302">
        <f>SUM(I11:I1048576)</f>
        <v>-78423411.119999945</v>
      </c>
      <c r="J8" s="302">
        <f>SUM(J11:J1048576)</f>
        <v>-784234.11119999946</v>
      </c>
      <c r="K8" s="1"/>
      <c r="R8" s="302">
        <f>SUM(R11:R1048576)</f>
        <v>-75545138.159999892</v>
      </c>
      <c r="S8" s="302">
        <f>SUM(S11:S1048576)</f>
        <v>0</v>
      </c>
      <c r="T8" s="302">
        <f>SUM(T11:T1048576)</f>
        <v>0</v>
      </c>
      <c r="U8" s="302">
        <f>SUM(U11:U1048576)</f>
        <v>-75545138.159999892</v>
      </c>
      <c r="V8" s="302">
        <f>SUM(V11:V1048576)</f>
        <v>-755451.3815999995</v>
      </c>
    </row>
    <row r="9" spans="1:23" x14ac:dyDescent="0.3">
      <c r="B9" s="334"/>
      <c r="C9" s="1"/>
      <c r="D9" s="1"/>
      <c r="E9" s="1"/>
      <c r="F9" s="302">
        <f>SUBTOTAL(9,F11:F1048576)</f>
        <v>-78423411.1199999</v>
      </c>
      <c r="G9" s="179">
        <f ca="1">SUBTOTAL(9,G11:G1048576)</f>
        <v>1266134.7349291071</v>
      </c>
      <c r="H9" s="179">
        <f>SUBTOTAL(9,H11:H1048576)</f>
        <v>0</v>
      </c>
      <c r="I9" s="302">
        <f>SUBTOTAL(9,I11:I1048576)</f>
        <v>-78423411.119999945</v>
      </c>
      <c r="J9" s="302">
        <f>SUBTOTAL(9,J11:J1048576)</f>
        <v>-784234.11119999946</v>
      </c>
      <c r="K9" s="1"/>
      <c r="R9" s="302">
        <f>SUBTOTAL(9,R11:R1048576)</f>
        <v>-75545138.159999892</v>
      </c>
      <c r="S9" s="302">
        <f>SUBTOTAL(9,S11:S1048576)</f>
        <v>0</v>
      </c>
      <c r="T9" s="302">
        <f>SUBTOTAL(9,T11:T1048576)</f>
        <v>0</v>
      </c>
      <c r="U9" s="302">
        <f>SUBTOTAL(9,U11:U1048576)</f>
        <v>-75545138.159999892</v>
      </c>
      <c r="V9" s="302">
        <f>SUBTOTAL(9,V11:V1048576)</f>
        <v>-755451.3815999995</v>
      </c>
    </row>
    <row r="10" spans="1:23" s="35" customFormat="1" x14ac:dyDescent="0.3">
      <c r="B10" s="393" t="s">
        <v>968</v>
      </c>
      <c r="C10" s="394" t="s">
        <v>1001</v>
      </c>
      <c r="D10" s="394" t="s">
        <v>729</v>
      </c>
      <c r="E10" s="394" t="s">
        <v>996</v>
      </c>
      <c r="F10" s="394" t="s">
        <v>796</v>
      </c>
      <c r="G10" s="2561" t="s">
        <v>797</v>
      </c>
      <c r="H10" s="2561" t="s">
        <v>1755</v>
      </c>
      <c r="I10" s="394" t="s">
        <v>183</v>
      </c>
      <c r="J10" s="394" t="s">
        <v>1011</v>
      </c>
      <c r="K10" s="395" t="s">
        <v>728</v>
      </c>
      <c r="N10" s="393" t="s">
        <v>968</v>
      </c>
      <c r="O10" s="394" t="s">
        <v>1001</v>
      </c>
      <c r="P10" s="394" t="s">
        <v>729</v>
      </c>
      <c r="Q10" s="394" t="s">
        <v>996</v>
      </c>
      <c r="R10" s="401" t="s">
        <v>796</v>
      </c>
      <c r="S10" s="401" t="s">
        <v>797</v>
      </c>
      <c r="T10" s="401" t="s">
        <v>798</v>
      </c>
      <c r="U10" s="394" t="s">
        <v>183</v>
      </c>
      <c r="V10" s="394" t="s">
        <v>1011</v>
      </c>
      <c r="W10" s="402" t="s">
        <v>728</v>
      </c>
    </row>
    <row r="11" spans="1:23" x14ac:dyDescent="0.3">
      <c r="B11" s="678">
        <v>1</v>
      </c>
      <c r="C11" s="319" t="s">
        <v>748</v>
      </c>
      <c r="D11" s="319" t="s">
        <v>1003</v>
      </c>
      <c r="E11" s="319" t="s">
        <v>1021</v>
      </c>
      <c r="F11" s="320">
        <f>+SUMIFS('TB Grouping'!F:F,'TB Grouping'!H:H,masterTBCY[[#This Row],[Note Line]])</f>
        <v>-187705624.83999997</v>
      </c>
      <c r="G11" s="2562">
        <f ca="1">SUMIF('Additional &amp; Presentation Entry'!E:E,masterTBCY[[#This Row],[Note Line]],'Additional &amp; Presentation Entry'!G:G)</f>
        <v>-5872674.1799999997</v>
      </c>
      <c r="H11" s="2562">
        <f>SUMIF('Additional &amp; Presentation Entry'!L:L,masterTBCY[[#This Row],[Note Line]],'Additional &amp; Presentation Entry'!N:N)</f>
        <v>0</v>
      </c>
      <c r="I11" s="320">
        <f>+masterTBCY[[#This Row],[Amount as per TB]]+masterTBCY[[#This Row],[Presentation Entry]]</f>
        <v>-187705624.83999997</v>
      </c>
      <c r="J11" s="320">
        <f>I11/'Master Data'!$C$25</f>
        <v>-1877056.2483999997</v>
      </c>
      <c r="K11" s="392" t="s">
        <v>998</v>
      </c>
      <c r="N11" s="391">
        <v>1</v>
      </c>
      <c r="O11" s="319" t="s">
        <v>748</v>
      </c>
      <c r="P11" s="319" t="s">
        <v>1003</v>
      </c>
      <c r="Q11" s="319" t="s">
        <v>1021</v>
      </c>
      <c r="R11" s="320">
        <f>SUMIF('TB Grouping'!$Q:$Q,'Master TB'!P11,'TB Grouping'!$O:$O)</f>
        <v>-151646203.66999999</v>
      </c>
      <c r="S11" s="320">
        <f>SUMIF('Additional &amp; Presentation Entry'!Q:Q,masterTBCY[[#This Row],[Note Line]],'Additional &amp; Presentation Entry'!S:S)</f>
        <v>0</v>
      </c>
      <c r="T11" s="320">
        <f>SUMIF('Additional &amp; Presentation Entry'!X:X,masterTBCY[[#This Row],[Note Line]],'Additional &amp; Presentation Entry'!Z:Z)</f>
        <v>0</v>
      </c>
      <c r="U11" s="320">
        <f>SUM(R11:T11)</f>
        <v>-151646203.66999999</v>
      </c>
      <c r="V11" s="320">
        <f>U11/'Master Data'!$C$25</f>
        <v>-1516462.0366999998</v>
      </c>
      <c r="W11" s="400" t="str">
        <f>K11</f>
        <v>Profit and Loss A/C</v>
      </c>
    </row>
    <row r="12" spans="1:23" x14ac:dyDescent="0.3">
      <c r="B12" s="678">
        <f t="shared" ref="B12:B75" si="0">+B11+1</f>
        <v>2</v>
      </c>
      <c r="C12" s="322" t="s">
        <v>748</v>
      </c>
      <c r="D12" s="319" t="s">
        <v>1002</v>
      </c>
      <c r="E12" s="319" t="s">
        <v>1020</v>
      </c>
      <c r="F12" s="320">
        <f>+SUMIFS('TB Grouping'!F:F,'TB Grouping'!H:H,masterTBCY[[#This Row],[Note Line]])</f>
        <v>-1600</v>
      </c>
      <c r="G12" s="2562">
        <f ca="1">SUMIF('Additional &amp; Presentation Entry'!E:E,masterTBCY[[#This Row],[Note Line]],'Additional &amp; Presentation Entry'!G:G)</f>
        <v>0</v>
      </c>
      <c r="H12" s="2562">
        <f>SUMIF('Additional &amp; Presentation Entry'!L:L,masterTBCY[[#This Row],[Note Line]],'Additional &amp; Presentation Entry'!N:N)</f>
        <v>0</v>
      </c>
      <c r="I12" s="320">
        <f>+masterTBCY[[#This Row],[Amount as per TB]]+masterTBCY[[#This Row],[Presentation Entry]]</f>
        <v>-1600</v>
      </c>
      <c r="J12" s="320">
        <f>I12/'Master Data'!$C$25</f>
        <v>-16</v>
      </c>
      <c r="K12" s="392" t="s">
        <v>998</v>
      </c>
      <c r="N12" s="399">
        <v>2</v>
      </c>
      <c r="O12" s="322" t="s">
        <v>748</v>
      </c>
      <c r="P12" s="319" t="s">
        <v>1002</v>
      </c>
      <c r="Q12" s="319" t="s">
        <v>1020</v>
      </c>
      <c r="R12" s="320">
        <f>SUMIF('TB Grouping'!$Q:$Q,'Master TB'!P12,'TB Grouping'!$O:$O)</f>
        <v>-1357569.9</v>
      </c>
      <c r="S12" s="320">
        <f>SUMIF('Additional &amp; Presentation Entry'!Q:Q,masterTBCY[[#This Row],[Note Line]],'Additional &amp; Presentation Entry'!S:S)</f>
        <v>0</v>
      </c>
      <c r="T12" s="320">
        <f>SUMIF('Additional &amp; Presentation Entry'!X:X,masterTBCY[[#This Row],[Note Line]],'Additional &amp; Presentation Entry'!Z:Z)</f>
        <v>0</v>
      </c>
      <c r="U12" s="320">
        <f t="shared" ref="U12:U85" si="1">SUM(R12:T12)</f>
        <v>-1357569.9</v>
      </c>
      <c r="V12" s="320">
        <f>U12/'Master Data'!$C$25</f>
        <v>-13575.698999999999</v>
      </c>
      <c r="W12" s="400" t="str">
        <f t="shared" ref="W12:W65" si="2">K12</f>
        <v>Profit and Loss A/C</v>
      </c>
    </row>
    <row r="13" spans="1:23" x14ac:dyDescent="0.3">
      <c r="B13" s="678">
        <f t="shared" si="0"/>
        <v>3</v>
      </c>
      <c r="C13" s="319" t="s">
        <v>748</v>
      </c>
      <c r="D13" s="319" t="s">
        <v>749</v>
      </c>
      <c r="E13" s="319" t="s">
        <v>1019</v>
      </c>
      <c r="F13" s="320">
        <f>+SUMIFS('TB Grouping'!F:F,'TB Grouping'!H:H,masterTBCY[[#This Row],[Note Line]])</f>
        <v>-123446618.41000001</v>
      </c>
      <c r="G13" s="2562">
        <f ca="1">SUMIF('Additional &amp; Presentation Entry'!E:E,masterTBCY[[#This Row],[Note Line]],'Additional &amp; Presentation Entry'!G:G)</f>
        <v>0</v>
      </c>
      <c r="H13" s="2562">
        <f>SUMIF('Additional &amp; Presentation Entry'!L:L,masterTBCY[[#This Row],[Note Line]],'Additional &amp; Presentation Entry'!N:N)</f>
        <v>0</v>
      </c>
      <c r="I13" s="320">
        <f>+masterTBCY[[#This Row],[Amount as per TB]]+masterTBCY[[#This Row],[Presentation Entry]]</f>
        <v>-123446618.41000001</v>
      </c>
      <c r="J13" s="320">
        <f>I13/'Master Data'!$C$25</f>
        <v>-1234466.1841000002</v>
      </c>
      <c r="K13" s="392" t="s">
        <v>998</v>
      </c>
      <c r="N13" s="399">
        <v>3</v>
      </c>
      <c r="O13" s="319" t="s">
        <v>748</v>
      </c>
      <c r="P13" s="319" t="s">
        <v>749</v>
      </c>
      <c r="Q13" s="319" t="s">
        <v>1019</v>
      </c>
      <c r="R13" s="320">
        <f>SUMIF('TB Grouping'!$Q:$Q,'Master TB'!P13,'TB Grouping'!$O:$O)</f>
        <v>-149139970.89999998</v>
      </c>
      <c r="S13" s="320">
        <f>SUMIF('Additional &amp; Presentation Entry'!Q:Q,masterTBCY[[#This Row],[Note Line]],'Additional &amp; Presentation Entry'!S:S)</f>
        <v>0</v>
      </c>
      <c r="T13" s="320">
        <f>SUMIF('Additional &amp; Presentation Entry'!X:X,masterTBCY[[#This Row],[Note Line]],'Additional &amp; Presentation Entry'!Z:Z)</f>
        <v>0</v>
      </c>
      <c r="U13" s="320">
        <f t="shared" si="1"/>
        <v>-149139970.89999998</v>
      </c>
      <c r="V13" s="320">
        <f>U13/'Master Data'!$C$25</f>
        <v>-1491399.7089999998</v>
      </c>
      <c r="W13" s="400" t="str">
        <f t="shared" si="2"/>
        <v>Profit and Loss A/C</v>
      </c>
    </row>
    <row r="14" spans="1:23" x14ac:dyDescent="0.3">
      <c r="B14" s="678">
        <f t="shared" si="0"/>
        <v>4</v>
      </c>
      <c r="C14" s="319" t="s">
        <v>748</v>
      </c>
      <c r="D14" s="319" t="s">
        <v>1004</v>
      </c>
      <c r="E14" s="319" t="s">
        <v>1018</v>
      </c>
      <c r="F14" s="320">
        <f>+SUMIFS('TB Grouping'!F:F,'TB Grouping'!H:H,masterTBCY[[#This Row],[Note Line]])</f>
        <v>-207345141.00999999</v>
      </c>
      <c r="G14" s="2562">
        <f ca="1">SUMIF('Additional &amp; Presentation Entry'!E:E,masterTBCY[[#This Row],[Note Line]],'Additional &amp; Presentation Entry'!G:G)</f>
        <v>3522185.4320455571</v>
      </c>
      <c r="H14" s="2562">
        <f>SUMIF('Additional &amp; Presentation Entry'!L:L,masterTBCY[[#This Row],[Note Line]],'Additional &amp; Presentation Entry'!N:N)</f>
        <v>0</v>
      </c>
      <c r="I14" s="320">
        <f>+masterTBCY[[#This Row],[Amount as per TB]]+masterTBCY[[#This Row],[Presentation Entry]]</f>
        <v>-207345141.00999999</v>
      </c>
      <c r="J14" s="320">
        <f>I14/'Master Data'!$C$25</f>
        <v>-2073451.4101</v>
      </c>
      <c r="K14" s="392" t="s">
        <v>998</v>
      </c>
      <c r="N14" s="399">
        <v>4</v>
      </c>
      <c r="O14" s="319" t="s">
        <v>748</v>
      </c>
      <c r="P14" s="319" t="s">
        <v>1004</v>
      </c>
      <c r="Q14" s="319" t="s">
        <v>1018</v>
      </c>
      <c r="R14" s="320">
        <f>SUMIF('TB Grouping'!$Q:$Q,'Master TB'!P14,'TB Grouping'!$O:$O)</f>
        <v>-175655055.73000002</v>
      </c>
      <c r="S14" s="320">
        <f>SUMIF('Additional &amp; Presentation Entry'!Q:Q,masterTBCY[[#This Row],[Note Line]],'Additional &amp; Presentation Entry'!S:S)</f>
        <v>0</v>
      </c>
      <c r="T14" s="320">
        <f>SUMIF('Additional &amp; Presentation Entry'!X:X,masterTBCY[[#This Row],[Note Line]],'Additional &amp; Presentation Entry'!Z:Z)</f>
        <v>0</v>
      </c>
      <c r="U14" s="320">
        <f t="shared" si="1"/>
        <v>-175655055.73000002</v>
      </c>
      <c r="V14" s="320">
        <f>U14/'Master Data'!$C$25</f>
        <v>-1756550.5573000002</v>
      </c>
      <c r="W14" s="400" t="str">
        <f t="shared" si="2"/>
        <v>Profit and Loss A/C</v>
      </c>
    </row>
    <row r="15" spans="1:23" x14ac:dyDescent="0.3">
      <c r="B15" s="678">
        <f t="shared" si="0"/>
        <v>5</v>
      </c>
      <c r="C15" s="319" t="s">
        <v>748</v>
      </c>
      <c r="D15" s="319" t="s">
        <v>1015</v>
      </c>
      <c r="E15" s="319" t="s">
        <v>1017</v>
      </c>
      <c r="F15" s="320">
        <f>+SUMIFS('TB Grouping'!F:F,'TB Grouping'!H:H,masterTBCY[[#This Row],[Note Line]])</f>
        <v>0</v>
      </c>
      <c r="G15" s="2562">
        <f ca="1">SUMIF('Additional &amp; Presentation Entry'!E:E,masterTBCY[[#This Row],[Note Line]],'Additional &amp; Presentation Entry'!G:G)</f>
        <v>0</v>
      </c>
      <c r="H15" s="2562">
        <f>SUMIF('Additional &amp; Presentation Entry'!L:L,masterTBCY[[#This Row],[Note Line]],'Additional &amp; Presentation Entry'!N:N)</f>
        <v>0</v>
      </c>
      <c r="I15" s="320">
        <f>+masterTBCY[[#This Row],[Amount as per TB]]+masterTBCY[[#This Row],[Presentation Entry]]</f>
        <v>0</v>
      </c>
      <c r="J15" s="320">
        <f>I15/'Master Data'!$C$25</f>
        <v>0</v>
      </c>
      <c r="K15" s="392" t="s">
        <v>998</v>
      </c>
      <c r="N15" s="399">
        <v>5</v>
      </c>
      <c r="O15" s="319" t="s">
        <v>748</v>
      </c>
      <c r="P15" s="319" t="s">
        <v>1015</v>
      </c>
      <c r="Q15" s="319" t="s">
        <v>1017</v>
      </c>
      <c r="R15" s="320">
        <f>SUMIF('TB Grouping'!$Q:$Q,'Master TB'!P15,'TB Grouping'!$O:$O)</f>
        <v>0</v>
      </c>
      <c r="S15" s="320">
        <f>SUMIF('Additional &amp; Presentation Entry'!Q:Q,masterTBCY[[#This Row],[Note Line]],'Additional &amp; Presentation Entry'!S:S)</f>
        <v>0</v>
      </c>
      <c r="T15" s="320">
        <f>SUMIF('Additional &amp; Presentation Entry'!X:X,masterTBCY[[#This Row],[Note Line]],'Additional &amp; Presentation Entry'!Z:Z)</f>
        <v>0</v>
      </c>
      <c r="U15" s="320">
        <f t="shared" si="1"/>
        <v>0</v>
      </c>
      <c r="V15" s="320">
        <f>U15/'Master Data'!$C$25</f>
        <v>0</v>
      </c>
      <c r="W15" s="400" t="str">
        <f t="shared" si="2"/>
        <v>Profit and Loss A/C</v>
      </c>
    </row>
    <row r="16" spans="1:23" x14ac:dyDescent="0.3">
      <c r="B16" s="678">
        <f t="shared" si="0"/>
        <v>6</v>
      </c>
      <c r="C16" s="319" t="s">
        <v>748</v>
      </c>
      <c r="D16" s="319" t="s">
        <v>750</v>
      </c>
      <c r="E16" s="319" t="s">
        <v>1016</v>
      </c>
      <c r="F16" s="320">
        <f>+SUMIFS('TB Grouping'!F:F,'TB Grouping'!H:H,masterTBCY[[#This Row],[Note Line]])</f>
        <v>-140951.04000000001</v>
      </c>
      <c r="G16" s="2562">
        <f ca="1">SUMIF('Additional &amp; Presentation Entry'!E:E,masterTBCY[[#This Row],[Note Line]],'Additional &amp; Presentation Entry'!G:G)</f>
        <v>0</v>
      </c>
      <c r="H16" s="2562">
        <f>SUMIF('Additional &amp; Presentation Entry'!L:L,masterTBCY[[#This Row],[Note Line]],'Additional &amp; Presentation Entry'!N:N)</f>
        <v>0</v>
      </c>
      <c r="I16" s="320">
        <f>+masterTBCY[[#This Row],[Amount as per TB]]+masterTBCY[[#This Row],[Presentation Entry]]</f>
        <v>-140951.04000000001</v>
      </c>
      <c r="J16" s="320">
        <f>I16/'Master Data'!$C$25</f>
        <v>-1409.5104000000001</v>
      </c>
      <c r="K16" s="392" t="s">
        <v>998</v>
      </c>
      <c r="N16" s="399">
        <v>6</v>
      </c>
      <c r="O16" s="319" t="s">
        <v>748</v>
      </c>
      <c r="P16" s="319" t="s">
        <v>750</v>
      </c>
      <c r="Q16" s="319" t="s">
        <v>1016</v>
      </c>
      <c r="R16" s="320">
        <f>SUMIF('TB Grouping'!$Q:$Q,'Master TB'!P16,'TB Grouping'!$O:$O)</f>
        <v>-141283</v>
      </c>
      <c r="S16" s="320">
        <f>SUMIF('Additional &amp; Presentation Entry'!Q:Q,masterTBCY[[#This Row],[Note Line]],'Additional &amp; Presentation Entry'!S:S)</f>
        <v>0</v>
      </c>
      <c r="T16" s="320">
        <f>SUMIF('Additional &amp; Presentation Entry'!X:X,masterTBCY[[#This Row],[Note Line]],'Additional &amp; Presentation Entry'!Z:Z)</f>
        <v>0</v>
      </c>
      <c r="U16" s="320">
        <f t="shared" si="1"/>
        <v>-141283</v>
      </c>
      <c r="V16" s="320">
        <f>U16/'Master Data'!$C$25</f>
        <v>-1412.83</v>
      </c>
      <c r="W16" s="400" t="str">
        <f t="shared" si="2"/>
        <v>Profit and Loss A/C</v>
      </c>
    </row>
    <row r="17" spans="2:23" x14ac:dyDescent="0.3">
      <c r="B17" s="678">
        <f t="shared" si="0"/>
        <v>7</v>
      </c>
      <c r="C17" s="319" t="s">
        <v>1047</v>
      </c>
      <c r="D17" s="319" t="s">
        <v>179</v>
      </c>
      <c r="E17" s="319" t="s">
        <v>1042</v>
      </c>
      <c r="F17" s="320">
        <f>+SUMIFS('TB Grouping'!F:F,'TB Grouping'!H:H,masterTBCY[[#This Row],[Note Line]])</f>
        <v>0</v>
      </c>
      <c r="G17" s="2562">
        <f ca="1">SUMIF('Additional &amp; Presentation Entry'!E:E,masterTBCY[[#This Row],[Note Line]],'Additional &amp; Presentation Entry'!G:G)</f>
        <v>0</v>
      </c>
      <c r="H17" s="2562">
        <f>SUMIF('Additional &amp; Presentation Entry'!L:L,masterTBCY[[#This Row],[Note Line]],'Additional &amp; Presentation Entry'!N:N)</f>
        <v>0</v>
      </c>
      <c r="I17" s="320">
        <f>+masterTBCY[[#This Row],[Amount as per TB]]+masterTBCY[[#This Row],[Presentation Entry]]</f>
        <v>0</v>
      </c>
      <c r="J17" s="320">
        <f>I17/'Master Data'!$C$25</f>
        <v>0</v>
      </c>
      <c r="K17" s="392" t="s">
        <v>998</v>
      </c>
      <c r="N17" s="399">
        <v>7</v>
      </c>
      <c r="O17" s="319" t="s">
        <v>1047</v>
      </c>
      <c r="P17" s="319" t="s">
        <v>179</v>
      </c>
      <c r="Q17" s="319" t="s">
        <v>1042</v>
      </c>
      <c r="R17" s="320">
        <f>SUMIF('TB Grouping'!$Q:$Q,'Master TB'!P17,'TB Grouping'!$O:$O)</f>
        <v>0</v>
      </c>
      <c r="S17" s="320">
        <f>SUMIF('Additional &amp; Presentation Entry'!Q:Q,masterTBCY[[#This Row],[Note Line]],'Additional &amp; Presentation Entry'!S:S)</f>
        <v>0</v>
      </c>
      <c r="T17" s="320">
        <f>SUMIF('Additional &amp; Presentation Entry'!X:X,masterTBCY[[#This Row],[Note Line]],'Additional &amp; Presentation Entry'!Z:Z)</f>
        <v>0</v>
      </c>
      <c r="U17" s="320">
        <f t="shared" si="1"/>
        <v>0</v>
      </c>
      <c r="V17" s="320">
        <f>U17/'Master Data'!$C$25</f>
        <v>0</v>
      </c>
      <c r="W17" s="400" t="str">
        <f t="shared" si="2"/>
        <v>Profit and Loss A/C</v>
      </c>
    </row>
    <row r="18" spans="2:23" x14ac:dyDescent="0.3">
      <c r="B18" s="678">
        <f t="shared" si="0"/>
        <v>8</v>
      </c>
      <c r="C18" s="319" t="s">
        <v>1047</v>
      </c>
      <c r="D18" s="336" t="s">
        <v>1662</v>
      </c>
      <c r="E18" s="319" t="s">
        <v>1043</v>
      </c>
      <c r="F18" s="320">
        <f>+SUMIFS('TB Grouping'!F:F,'TB Grouping'!H:H,masterTBCY[[#This Row],[Note Line]])</f>
        <v>0</v>
      </c>
      <c r="G18" s="2562">
        <f ca="1">SUMIF('Additional &amp; Presentation Entry'!E:E,masterTBCY[[#This Row],[Note Line]],'Additional &amp; Presentation Entry'!G:G)</f>
        <v>0</v>
      </c>
      <c r="H18" s="2562">
        <f>SUMIF('Additional &amp; Presentation Entry'!L:L,masterTBCY[[#This Row],[Note Line]],'Additional &amp; Presentation Entry'!N:N)</f>
        <v>0</v>
      </c>
      <c r="I18" s="320">
        <f>+masterTBCY[[#This Row],[Amount as per TB]]+masterTBCY[[#This Row],[Presentation Entry]]</f>
        <v>0</v>
      </c>
      <c r="J18" s="320">
        <f>I18/'Master Data'!$C$25</f>
        <v>0</v>
      </c>
      <c r="K18" s="392" t="s">
        <v>998</v>
      </c>
      <c r="N18" s="399">
        <v>8</v>
      </c>
      <c r="O18" s="319" t="s">
        <v>1047</v>
      </c>
      <c r="P18" s="336" t="s">
        <v>1662</v>
      </c>
      <c r="Q18" s="319" t="s">
        <v>1043</v>
      </c>
      <c r="R18" s="320">
        <f>SUMIF('TB Grouping'!$Q:$Q,'Master TB'!P18,'TB Grouping'!$O:$O)</f>
        <v>0</v>
      </c>
      <c r="S18" s="320">
        <f>SUMIF('Additional &amp; Presentation Entry'!Q:Q,masterTBCY[[#This Row],[Note Line]],'Additional &amp; Presentation Entry'!S:S)</f>
        <v>0</v>
      </c>
      <c r="T18" s="320">
        <f>SUMIF('Additional &amp; Presentation Entry'!X:X,masterTBCY[[#This Row],[Note Line]],'Additional &amp; Presentation Entry'!Z:Z)</f>
        <v>0</v>
      </c>
      <c r="U18" s="320">
        <f t="shared" si="1"/>
        <v>0</v>
      </c>
      <c r="V18" s="320">
        <f>U18/'Master Data'!$C$25</f>
        <v>0</v>
      </c>
      <c r="W18" s="400" t="str">
        <f t="shared" si="2"/>
        <v>Profit and Loss A/C</v>
      </c>
    </row>
    <row r="19" spans="2:23" x14ac:dyDescent="0.3">
      <c r="B19" s="678">
        <f t="shared" si="0"/>
        <v>9</v>
      </c>
      <c r="C19" s="319" t="s">
        <v>1047</v>
      </c>
      <c r="D19" s="319" t="s">
        <v>1035</v>
      </c>
      <c r="E19" s="319" t="s">
        <v>1044</v>
      </c>
      <c r="F19" s="320">
        <f>+SUMIFS('TB Grouping'!F:F,'TB Grouping'!H:H,masterTBCY[[#This Row],[Note Line]])</f>
        <v>0</v>
      </c>
      <c r="G19" s="2562">
        <f ca="1">SUMIF('Additional &amp; Presentation Entry'!E:E,masterTBCY[[#This Row],[Note Line]],'Additional &amp; Presentation Entry'!G:G)</f>
        <v>0</v>
      </c>
      <c r="H19" s="2562">
        <f>SUMIF('Additional &amp; Presentation Entry'!L:L,masterTBCY[[#This Row],[Note Line]],'Additional &amp; Presentation Entry'!N:N)</f>
        <v>0</v>
      </c>
      <c r="I19" s="320">
        <f>+masterTBCY[[#This Row],[Amount as per TB]]+masterTBCY[[#This Row],[Presentation Entry]]</f>
        <v>0</v>
      </c>
      <c r="J19" s="320">
        <f>I19/'Master Data'!$C$25</f>
        <v>0</v>
      </c>
      <c r="K19" s="392" t="s">
        <v>998</v>
      </c>
      <c r="N19" s="399">
        <v>9</v>
      </c>
      <c r="O19" s="319" t="s">
        <v>1047</v>
      </c>
      <c r="P19" s="319" t="s">
        <v>1035</v>
      </c>
      <c r="Q19" s="319" t="s">
        <v>1044</v>
      </c>
      <c r="R19" s="320">
        <f>SUMIF('TB Grouping'!$Q:$Q,'Master TB'!P19,'TB Grouping'!$O:$O)</f>
        <v>0</v>
      </c>
      <c r="S19" s="320">
        <f>SUMIF('Additional &amp; Presentation Entry'!Q:Q,masterTBCY[[#This Row],[Note Line]],'Additional &amp; Presentation Entry'!S:S)</f>
        <v>0</v>
      </c>
      <c r="T19" s="320">
        <f>SUMIF('Additional &amp; Presentation Entry'!X:X,masterTBCY[[#This Row],[Note Line]],'Additional &amp; Presentation Entry'!Z:Z)</f>
        <v>0</v>
      </c>
      <c r="U19" s="320">
        <f t="shared" si="1"/>
        <v>0</v>
      </c>
      <c r="V19" s="320">
        <f>U19/'Master Data'!$C$25</f>
        <v>0</v>
      </c>
      <c r="W19" s="400" t="str">
        <f t="shared" si="2"/>
        <v>Profit and Loss A/C</v>
      </c>
    </row>
    <row r="20" spans="2:23" x14ac:dyDescent="0.3">
      <c r="B20" s="678">
        <f t="shared" si="0"/>
        <v>10</v>
      </c>
      <c r="C20" s="319" t="s">
        <v>1047</v>
      </c>
      <c r="D20" s="319" t="s">
        <v>1036</v>
      </c>
      <c r="E20" s="319" t="s">
        <v>1045</v>
      </c>
      <c r="F20" s="320">
        <f>+SUMIFS('TB Grouping'!F:F,'TB Grouping'!H:H,masterTBCY[[#This Row],[Note Line]])</f>
        <v>0</v>
      </c>
      <c r="G20" s="2562">
        <f ca="1">SUMIF('Additional &amp; Presentation Entry'!E:E,masterTBCY[[#This Row],[Note Line]],'Additional &amp; Presentation Entry'!G:G)</f>
        <v>0</v>
      </c>
      <c r="H20" s="2562">
        <f>SUMIF('Additional &amp; Presentation Entry'!L:L,masterTBCY[[#This Row],[Note Line]],'Additional &amp; Presentation Entry'!N:N)</f>
        <v>0</v>
      </c>
      <c r="I20" s="320">
        <f>+masterTBCY[[#This Row],[Amount as per TB]]+masterTBCY[[#This Row],[Presentation Entry]]</f>
        <v>0</v>
      </c>
      <c r="J20" s="320">
        <f>I20/'Master Data'!$C$25</f>
        <v>0</v>
      </c>
      <c r="K20" s="392" t="s">
        <v>998</v>
      </c>
      <c r="N20" s="399">
        <v>10</v>
      </c>
      <c r="O20" s="319" t="s">
        <v>1047</v>
      </c>
      <c r="P20" s="319" t="s">
        <v>1036</v>
      </c>
      <c r="Q20" s="319" t="s">
        <v>1045</v>
      </c>
      <c r="R20" s="320">
        <f>SUMIF('TB Grouping'!$Q:$Q,'Master TB'!P20,'TB Grouping'!$O:$O)</f>
        <v>0</v>
      </c>
      <c r="S20" s="320">
        <f>SUMIF('Additional &amp; Presentation Entry'!Q:Q,masterTBCY[[#This Row],[Note Line]],'Additional &amp; Presentation Entry'!S:S)</f>
        <v>0</v>
      </c>
      <c r="T20" s="320">
        <f>SUMIF('Additional &amp; Presentation Entry'!X:X,masterTBCY[[#This Row],[Note Line]],'Additional &amp; Presentation Entry'!Z:Z)</f>
        <v>0</v>
      </c>
      <c r="U20" s="320">
        <f t="shared" si="1"/>
        <v>0</v>
      </c>
      <c r="V20" s="320">
        <f>U20/'Master Data'!$C$25</f>
        <v>0</v>
      </c>
      <c r="W20" s="400" t="str">
        <f t="shared" si="2"/>
        <v>Profit and Loss A/C</v>
      </c>
    </row>
    <row r="21" spans="2:23" x14ac:dyDescent="0.3">
      <c r="B21" s="678">
        <f t="shared" si="0"/>
        <v>11</v>
      </c>
      <c r="C21" s="319" t="s">
        <v>1047</v>
      </c>
      <c r="D21" s="319" t="s">
        <v>1041</v>
      </c>
      <c r="E21" s="319" t="s">
        <v>1046</v>
      </c>
      <c r="F21" s="320">
        <f>+SUMIFS('TB Grouping'!F:F,'TB Grouping'!H:H,masterTBCY[[#This Row],[Note Line]])</f>
        <v>0</v>
      </c>
      <c r="G21" s="2562">
        <f ca="1">SUMIF('Additional &amp; Presentation Entry'!E:E,masterTBCY[[#This Row],[Note Line]],'Additional &amp; Presentation Entry'!G:G)</f>
        <v>0</v>
      </c>
      <c r="H21" s="2562">
        <f>SUMIF('Additional &amp; Presentation Entry'!L:L,masterTBCY[[#This Row],[Note Line]],'Additional &amp; Presentation Entry'!N:N)</f>
        <v>0</v>
      </c>
      <c r="I21" s="320">
        <f>+masterTBCY[[#This Row],[Amount as per TB]]+masterTBCY[[#This Row],[Presentation Entry]]</f>
        <v>0</v>
      </c>
      <c r="J21" s="320">
        <f>I21/'Master Data'!$C$25</f>
        <v>0</v>
      </c>
      <c r="K21" s="392" t="s">
        <v>998</v>
      </c>
      <c r="N21" s="399">
        <v>11</v>
      </c>
      <c r="O21" s="319" t="s">
        <v>1047</v>
      </c>
      <c r="P21" s="319" t="s">
        <v>1041</v>
      </c>
      <c r="Q21" s="319" t="s">
        <v>1046</v>
      </c>
      <c r="R21" s="320">
        <f>SUMIF('TB Grouping'!$Q:$Q,'Master TB'!P21,'TB Grouping'!$O:$O)</f>
        <v>0</v>
      </c>
      <c r="S21" s="320">
        <f>SUMIF('Additional &amp; Presentation Entry'!Q:Q,masterTBCY[[#This Row],[Note Line]],'Additional &amp; Presentation Entry'!S:S)</f>
        <v>0</v>
      </c>
      <c r="T21" s="320">
        <f>SUMIF('Additional &amp; Presentation Entry'!X:X,masterTBCY[[#This Row],[Note Line]],'Additional &amp; Presentation Entry'!Z:Z)</f>
        <v>0</v>
      </c>
      <c r="U21" s="320">
        <f t="shared" si="1"/>
        <v>0</v>
      </c>
      <c r="V21" s="320">
        <f>U21/'Master Data'!$C$25</f>
        <v>0</v>
      </c>
      <c r="W21" s="400" t="str">
        <f t="shared" si="2"/>
        <v>Profit and Loss A/C</v>
      </c>
    </row>
    <row r="22" spans="2:23" x14ac:dyDescent="0.3">
      <c r="B22" s="678">
        <f t="shared" si="0"/>
        <v>12</v>
      </c>
      <c r="C22" s="319" t="s">
        <v>752</v>
      </c>
      <c r="D22" s="319" t="s">
        <v>42</v>
      </c>
      <c r="E22" s="319" t="s">
        <v>1023</v>
      </c>
      <c r="F22" s="320">
        <f>+SUMIFS('TB Grouping'!F:F,'TB Grouping'!H:H,masterTBCY[[#This Row],[Note Line]])</f>
        <v>-5452119</v>
      </c>
      <c r="G22" s="2562">
        <f ca="1">SUMIF('Additional &amp; Presentation Entry'!E:E,masterTBCY[[#This Row],[Note Line]],'Additional &amp; Presentation Entry'!G:G)</f>
        <v>-4600138</v>
      </c>
      <c r="H22" s="2562">
        <f>SUMIF('Additional &amp; Presentation Entry'!L:L,masterTBCY[[#This Row],[Note Line]],'Additional &amp; Presentation Entry'!N:N)</f>
        <v>0</v>
      </c>
      <c r="I22" s="320">
        <f>+masterTBCY[[#This Row],[Amount as per TB]]+masterTBCY[[#This Row],[Presentation Entry]]</f>
        <v>-5452119</v>
      </c>
      <c r="J22" s="320">
        <f>I22/'Master Data'!$C$25</f>
        <v>-54521.19</v>
      </c>
      <c r="K22" s="392" t="s">
        <v>998</v>
      </c>
      <c r="N22" s="399">
        <v>12</v>
      </c>
      <c r="O22" s="319" t="s">
        <v>752</v>
      </c>
      <c r="P22" s="319" t="s">
        <v>42</v>
      </c>
      <c r="Q22" s="319" t="s">
        <v>1023</v>
      </c>
      <c r="R22" s="320">
        <f>SUMIF('TB Grouping'!$Q:$Q,'Master TB'!P22,'TB Grouping'!$O:$O)</f>
        <v>-3461327</v>
      </c>
      <c r="S22" s="320">
        <f>SUMIF('Additional &amp; Presentation Entry'!Q:Q,masterTBCY[[#This Row],[Note Line]],'Additional &amp; Presentation Entry'!S:S)</f>
        <v>0</v>
      </c>
      <c r="T22" s="320">
        <f>SUMIF('Additional &amp; Presentation Entry'!X:X,masterTBCY[[#This Row],[Note Line]],'Additional &amp; Presentation Entry'!Z:Z)</f>
        <v>0</v>
      </c>
      <c r="U22" s="320">
        <f t="shared" si="1"/>
        <v>-3461327</v>
      </c>
      <c r="V22" s="320">
        <f>U22/'Master Data'!$C$25</f>
        <v>-34613.269999999997</v>
      </c>
      <c r="W22" s="400" t="str">
        <f t="shared" si="2"/>
        <v>Profit and Loss A/C</v>
      </c>
    </row>
    <row r="23" spans="2:23" x14ac:dyDescent="0.3">
      <c r="B23" s="678">
        <f t="shared" si="0"/>
        <v>13</v>
      </c>
      <c r="C23" s="319" t="s">
        <v>752</v>
      </c>
      <c r="D23" s="319" t="s">
        <v>751</v>
      </c>
      <c r="E23" s="319" t="s">
        <v>1024</v>
      </c>
      <c r="F23" s="320">
        <f>+SUMIFS('TB Grouping'!F:F,'TB Grouping'!H:H,masterTBCY[[#This Row],[Note Line]])</f>
        <v>0</v>
      </c>
      <c r="G23" s="2562">
        <f ca="1">SUMIF('Additional &amp; Presentation Entry'!E:E,masterTBCY[[#This Row],[Note Line]],'Additional &amp; Presentation Entry'!G:G)</f>
        <v>0</v>
      </c>
      <c r="H23" s="2562">
        <f>SUMIF('Additional &amp; Presentation Entry'!L:L,masterTBCY[[#This Row],[Note Line]],'Additional &amp; Presentation Entry'!N:N)</f>
        <v>0</v>
      </c>
      <c r="I23" s="320">
        <f>+masterTBCY[[#This Row],[Amount as per TB]]+masterTBCY[[#This Row],[Presentation Entry]]</f>
        <v>0</v>
      </c>
      <c r="J23" s="320">
        <f>I23/'Master Data'!$C$25</f>
        <v>0</v>
      </c>
      <c r="K23" s="392" t="s">
        <v>998</v>
      </c>
      <c r="N23" s="399">
        <v>13</v>
      </c>
      <c r="O23" s="319" t="s">
        <v>752</v>
      </c>
      <c r="P23" s="319" t="s">
        <v>751</v>
      </c>
      <c r="Q23" s="319" t="s">
        <v>1024</v>
      </c>
      <c r="R23" s="320">
        <f>SUMIF('TB Grouping'!$Q:$Q,'Master TB'!P23,'TB Grouping'!$O:$O)</f>
        <v>0</v>
      </c>
      <c r="S23" s="320">
        <f>SUMIF('Additional &amp; Presentation Entry'!Q:Q,masterTBCY[[#This Row],[Note Line]],'Additional &amp; Presentation Entry'!S:S)</f>
        <v>0</v>
      </c>
      <c r="T23" s="320">
        <f>SUMIF('Additional &amp; Presentation Entry'!X:X,masterTBCY[[#This Row],[Note Line]],'Additional &amp; Presentation Entry'!Z:Z)</f>
        <v>0</v>
      </c>
      <c r="U23" s="320">
        <f t="shared" si="1"/>
        <v>0</v>
      </c>
      <c r="V23" s="320">
        <f>U23/'Master Data'!$C$25</f>
        <v>0</v>
      </c>
      <c r="W23" s="400" t="str">
        <f t="shared" si="2"/>
        <v>Profit and Loss A/C</v>
      </c>
    </row>
    <row r="24" spans="2:23" x14ac:dyDescent="0.3">
      <c r="B24" s="678">
        <f t="shared" si="0"/>
        <v>14</v>
      </c>
      <c r="C24" s="319" t="s">
        <v>752</v>
      </c>
      <c r="D24" s="319" t="s">
        <v>753</v>
      </c>
      <c r="E24" s="319" t="s">
        <v>1025</v>
      </c>
      <c r="F24" s="320">
        <f>+SUMIFS('TB Grouping'!F:F,'TB Grouping'!H:H,masterTBCY[[#This Row],[Note Line]])</f>
        <v>0</v>
      </c>
      <c r="G24" s="2562">
        <f ca="1">SUMIF('Additional &amp; Presentation Entry'!E:E,masterTBCY[[#This Row],[Note Line]],'Additional &amp; Presentation Entry'!G:G)</f>
        <v>0</v>
      </c>
      <c r="H24" s="2562">
        <f>SUMIF('Additional &amp; Presentation Entry'!L:L,masterTBCY[[#This Row],[Note Line]],'Additional &amp; Presentation Entry'!N:N)</f>
        <v>0</v>
      </c>
      <c r="I24" s="320">
        <f>+masterTBCY[[#This Row],[Amount as per TB]]+masterTBCY[[#This Row],[Presentation Entry]]</f>
        <v>0</v>
      </c>
      <c r="J24" s="320">
        <f>I24/'Master Data'!$C$25</f>
        <v>0</v>
      </c>
      <c r="K24" s="392" t="s">
        <v>998</v>
      </c>
      <c r="N24" s="399">
        <v>14</v>
      </c>
      <c r="O24" s="319" t="s">
        <v>752</v>
      </c>
      <c r="P24" s="319" t="s">
        <v>753</v>
      </c>
      <c r="Q24" s="319" t="s">
        <v>1025</v>
      </c>
      <c r="R24" s="320">
        <f>SUMIF('TB Grouping'!$Q:$Q,'Master TB'!P24,'TB Grouping'!$O:$O)</f>
        <v>0</v>
      </c>
      <c r="S24" s="320">
        <f>SUMIF('Additional &amp; Presentation Entry'!Q:Q,masterTBCY[[#This Row],[Note Line]],'Additional &amp; Presentation Entry'!S:S)</f>
        <v>0</v>
      </c>
      <c r="T24" s="320">
        <f>SUMIF('Additional &amp; Presentation Entry'!X:X,masterTBCY[[#This Row],[Note Line]],'Additional &amp; Presentation Entry'!Z:Z)</f>
        <v>0</v>
      </c>
      <c r="U24" s="320">
        <f t="shared" si="1"/>
        <v>0</v>
      </c>
      <c r="V24" s="320">
        <f>U24/'Master Data'!$C$25</f>
        <v>0</v>
      </c>
      <c r="W24" s="400" t="str">
        <f t="shared" si="2"/>
        <v>Profit and Loss A/C</v>
      </c>
    </row>
    <row r="25" spans="2:23" x14ac:dyDescent="0.3">
      <c r="B25" s="678">
        <f t="shared" si="0"/>
        <v>15</v>
      </c>
      <c r="C25" s="319" t="s">
        <v>752</v>
      </c>
      <c r="D25" s="319" t="s">
        <v>755</v>
      </c>
      <c r="E25" s="319" t="s">
        <v>1026</v>
      </c>
      <c r="F25" s="320">
        <f>+SUMIFS('TB Grouping'!F:F,'TB Grouping'!H:H,masterTBCY[[#This Row],[Note Line]])</f>
        <v>0</v>
      </c>
      <c r="G25" s="2562">
        <f ca="1">SUMIF('Additional &amp; Presentation Entry'!E:E,masterTBCY[[#This Row],[Note Line]],'Additional &amp; Presentation Entry'!G:G)</f>
        <v>0</v>
      </c>
      <c r="H25" s="2562">
        <f>SUMIF('Additional &amp; Presentation Entry'!L:L,masterTBCY[[#This Row],[Note Line]],'Additional &amp; Presentation Entry'!N:N)</f>
        <v>0</v>
      </c>
      <c r="I25" s="320">
        <f>+masterTBCY[[#This Row],[Amount as per TB]]+masterTBCY[[#This Row],[Presentation Entry]]</f>
        <v>0</v>
      </c>
      <c r="J25" s="320">
        <f>I25/'Master Data'!$C$25</f>
        <v>0</v>
      </c>
      <c r="K25" s="392" t="s">
        <v>998</v>
      </c>
      <c r="N25" s="399">
        <v>15</v>
      </c>
      <c r="O25" s="319" t="s">
        <v>752</v>
      </c>
      <c r="P25" s="319" t="s">
        <v>755</v>
      </c>
      <c r="Q25" s="319" t="s">
        <v>1026</v>
      </c>
      <c r="R25" s="320">
        <f>SUMIF('TB Grouping'!$Q:$Q,'Master TB'!P25,'TB Grouping'!$O:$O)</f>
        <v>0</v>
      </c>
      <c r="S25" s="320">
        <f>SUMIF('Additional &amp; Presentation Entry'!Q:Q,masterTBCY[[#This Row],[Note Line]],'Additional &amp; Presentation Entry'!S:S)</f>
        <v>0</v>
      </c>
      <c r="T25" s="320">
        <f>SUMIF('Additional &amp; Presentation Entry'!X:X,masterTBCY[[#This Row],[Note Line]],'Additional &amp; Presentation Entry'!Z:Z)</f>
        <v>0</v>
      </c>
      <c r="U25" s="320">
        <f t="shared" si="1"/>
        <v>0</v>
      </c>
      <c r="V25" s="320">
        <f>U25/'Master Data'!$C$25</f>
        <v>0</v>
      </c>
      <c r="W25" s="400" t="str">
        <f t="shared" si="2"/>
        <v>Profit and Loss A/C</v>
      </c>
    </row>
    <row r="26" spans="2:23" x14ac:dyDescent="0.3">
      <c r="B26" s="678">
        <f t="shared" si="0"/>
        <v>16</v>
      </c>
      <c r="C26" s="319" t="s">
        <v>752</v>
      </c>
      <c r="D26" s="319" t="s">
        <v>756</v>
      </c>
      <c r="E26" s="319" t="s">
        <v>1027</v>
      </c>
      <c r="F26" s="320">
        <f>+SUMIFS('TB Grouping'!F:F,'TB Grouping'!H:H,masterTBCY[[#This Row],[Note Line]])</f>
        <v>0</v>
      </c>
      <c r="G26" s="2562">
        <f ca="1">SUMIF('Additional &amp; Presentation Entry'!E:E,masterTBCY[[#This Row],[Note Line]],'Additional &amp; Presentation Entry'!G:G)</f>
        <v>0</v>
      </c>
      <c r="H26" s="2562">
        <f>SUMIF('Additional &amp; Presentation Entry'!L:L,masterTBCY[[#This Row],[Note Line]],'Additional &amp; Presentation Entry'!N:N)</f>
        <v>0</v>
      </c>
      <c r="I26" s="320">
        <f>+masterTBCY[[#This Row],[Amount as per TB]]+masterTBCY[[#This Row],[Presentation Entry]]</f>
        <v>0</v>
      </c>
      <c r="J26" s="320">
        <f>I26/'Master Data'!$C$25</f>
        <v>0</v>
      </c>
      <c r="K26" s="392" t="s">
        <v>998</v>
      </c>
      <c r="N26" s="399">
        <v>16</v>
      </c>
      <c r="O26" s="319" t="s">
        <v>752</v>
      </c>
      <c r="P26" s="319" t="s">
        <v>756</v>
      </c>
      <c r="Q26" s="319" t="s">
        <v>1027</v>
      </c>
      <c r="R26" s="320">
        <f>SUMIF('TB Grouping'!$Q:$Q,'Master TB'!P26,'TB Grouping'!$O:$O)</f>
        <v>0</v>
      </c>
      <c r="S26" s="320">
        <f>SUMIF('Additional &amp; Presentation Entry'!Q:Q,masterTBCY[[#This Row],[Note Line]],'Additional &amp; Presentation Entry'!S:S)</f>
        <v>0</v>
      </c>
      <c r="T26" s="320">
        <f>SUMIF('Additional &amp; Presentation Entry'!X:X,masterTBCY[[#This Row],[Note Line]],'Additional &amp; Presentation Entry'!Z:Z)</f>
        <v>0</v>
      </c>
      <c r="U26" s="320">
        <f t="shared" si="1"/>
        <v>0</v>
      </c>
      <c r="V26" s="320">
        <f>U26/'Master Data'!$C$25</f>
        <v>0</v>
      </c>
      <c r="W26" s="400" t="str">
        <f t="shared" si="2"/>
        <v>Profit and Loss A/C</v>
      </c>
    </row>
    <row r="27" spans="2:23" x14ac:dyDescent="0.3">
      <c r="B27" s="678">
        <f t="shared" si="0"/>
        <v>17</v>
      </c>
      <c r="C27" s="319" t="s">
        <v>752</v>
      </c>
      <c r="D27" s="319" t="s">
        <v>980</v>
      </c>
      <c r="E27" s="319" t="s">
        <v>1028</v>
      </c>
      <c r="F27" s="320">
        <f>+SUMIFS('TB Grouping'!F:F,'TB Grouping'!H:H,masterTBCY[[#This Row],[Note Line]])</f>
        <v>0</v>
      </c>
      <c r="G27" s="2562">
        <f ca="1">SUMIF('Additional &amp; Presentation Entry'!E:E,masterTBCY[[#This Row],[Note Line]],'Additional &amp; Presentation Entry'!G:G)</f>
        <v>0</v>
      </c>
      <c r="H27" s="2562">
        <f>SUMIF('Additional &amp; Presentation Entry'!L:L,masterTBCY[[#This Row],[Note Line]],'Additional &amp; Presentation Entry'!N:N)</f>
        <v>0</v>
      </c>
      <c r="I27" s="320">
        <f>+masterTBCY[[#This Row],[Amount as per TB]]+masterTBCY[[#This Row],[Presentation Entry]]</f>
        <v>0</v>
      </c>
      <c r="J27" s="320">
        <f>I27/'Master Data'!$C$25</f>
        <v>0</v>
      </c>
      <c r="K27" s="392" t="s">
        <v>998</v>
      </c>
      <c r="N27" s="399">
        <v>17</v>
      </c>
      <c r="O27" s="319" t="s">
        <v>752</v>
      </c>
      <c r="P27" s="319" t="s">
        <v>980</v>
      </c>
      <c r="Q27" s="319" t="s">
        <v>1028</v>
      </c>
      <c r="R27" s="320">
        <f>SUMIF('TB Grouping'!$Q:$Q,'Master TB'!P27,'TB Grouping'!$O:$O)</f>
        <v>0</v>
      </c>
      <c r="S27" s="320">
        <f>SUMIF('Additional &amp; Presentation Entry'!Q:Q,masterTBCY[[#This Row],[Note Line]],'Additional &amp; Presentation Entry'!S:S)</f>
        <v>0</v>
      </c>
      <c r="T27" s="320">
        <f>SUMIF('Additional &amp; Presentation Entry'!X:X,masterTBCY[[#This Row],[Note Line]],'Additional &amp; Presentation Entry'!Z:Z)</f>
        <v>0</v>
      </c>
      <c r="U27" s="320">
        <f t="shared" si="1"/>
        <v>0</v>
      </c>
      <c r="V27" s="320">
        <f>U27/'Master Data'!$C$25</f>
        <v>0</v>
      </c>
      <c r="W27" s="400" t="str">
        <f t="shared" si="2"/>
        <v>Profit and Loss A/C</v>
      </c>
    </row>
    <row r="28" spans="2:23" x14ac:dyDescent="0.3">
      <c r="B28" s="678">
        <f t="shared" si="0"/>
        <v>18</v>
      </c>
      <c r="C28" s="319" t="s">
        <v>752</v>
      </c>
      <c r="D28" s="319" t="s">
        <v>981</v>
      </c>
      <c r="E28" s="319" t="s">
        <v>1029</v>
      </c>
      <c r="F28" s="320">
        <f>+SUMIFS('TB Grouping'!F:F,'TB Grouping'!H:H,masterTBCY[[#This Row],[Note Line]])</f>
        <v>0</v>
      </c>
      <c r="G28" s="2562">
        <f ca="1">SUMIF('Additional &amp; Presentation Entry'!E:E,masterTBCY[[#This Row],[Note Line]],'Additional &amp; Presentation Entry'!G:G)</f>
        <v>0</v>
      </c>
      <c r="H28" s="2562">
        <f>SUMIF('Additional &amp; Presentation Entry'!L:L,masterTBCY[[#This Row],[Note Line]],'Additional &amp; Presentation Entry'!N:N)</f>
        <v>0</v>
      </c>
      <c r="I28" s="320">
        <f>+masterTBCY[[#This Row],[Amount as per TB]]+masterTBCY[[#This Row],[Presentation Entry]]</f>
        <v>0</v>
      </c>
      <c r="J28" s="320">
        <f>I28/'Master Data'!$C$25</f>
        <v>0</v>
      </c>
      <c r="K28" s="392" t="s">
        <v>998</v>
      </c>
      <c r="N28" s="399">
        <v>18</v>
      </c>
      <c r="O28" s="319" t="s">
        <v>752</v>
      </c>
      <c r="P28" s="319" t="s">
        <v>981</v>
      </c>
      <c r="Q28" s="319" t="s">
        <v>1029</v>
      </c>
      <c r="R28" s="320">
        <f>SUMIF('TB Grouping'!$Q:$Q,'Master TB'!P28,'TB Grouping'!$O:$O)</f>
        <v>0</v>
      </c>
      <c r="S28" s="320">
        <f>SUMIF('Additional &amp; Presentation Entry'!Q:Q,masterTBCY[[#This Row],[Note Line]],'Additional &amp; Presentation Entry'!S:S)</f>
        <v>0</v>
      </c>
      <c r="T28" s="320">
        <f>SUMIF('Additional &amp; Presentation Entry'!X:X,masterTBCY[[#This Row],[Note Line]],'Additional &amp; Presentation Entry'!Z:Z)</f>
        <v>0</v>
      </c>
      <c r="U28" s="320">
        <f t="shared" si="1"/>
        <v>0</v>
      </c>
      <c r="V28" s="320">
        <f>U28/'Master Data'!$C$25</f>
        <v>0</v>
      </c>
      <c r="W28" s="400" t="str">
        <f t="shared" si="2"/>
        <v>Profit and Loss A/C</v>
      </c>
    </row>
    <row r="29" spans="2:23" x14ac:dyDescent="0.3">
      <c r="B29" s="678">
        <f t="shared" si="0"/>
        <v>19</v>
      </c>
      <c r="C29" s="319" t="s">
        <v>752</v>
      </c>
      <c r="D29" s="319" t="s">
        <v>982</v>
      </c>
      <c r="E29" s="319" t="s">
        <v>1030</v>
      </c>
      <c r="F29" s="320">
        <f>+SUMIFS('TB Grouping'!F:F,'TB Grouping'!H:H,masterTBCY[[#This Row],[Note Line]])</f>
        <v>0</v>
      </c>
      <c r="G29" s="2562">
        <f ca="1">SUMIF('Additional &amp; Presentation Entry'!E:E,masterTBCY[[#This Row],[Note Line]],'Additional &amp; Presentation Entry'!G:G)</f>
        <v>0</v>
      </c>
      <c r="H29" s="2562">
        <f>SUMIF('Additional &amp; Presentation Entry'!L:L,masterTBCY[[#This Row],[Note Line]],'Additional &amp; Presentation Entry'!N:N)</f>
        <v>0</v>
      </c>
      <c r="I29" s="320">
        <f>+masterTBCY[[#This Row],[Amount as per TB]]+masterTBCY[[#This Row],[Presentation Entry]]</f>
        <v>0</v>
      </c>
      <c r="J29" s="320">
        <f>I29/'Master Data'!$C$25</f>
        <v>0</v>
      </c>
      <c r="K29" s="392" t="s">
        <v>998</v>
      </c>
      <c r="N29" s="399">
        <v>19</v>
      </c>
      <c r="O29" s="319" t="s">
        <v>752</v>
      </c>
      <c r="P29" s="319" t="s">
        <v>982</v>
      </c>
      <c r="Q29" s="319" t="s">
        <v>1030</v>
      </c>
      <c r="R29" s="320">
        <f>SUMIF('TB Grouping'!$Q:$Q,'Master TB'!P29,'TB Grouping'!$O:$O)</f>
        <v>0</v>
      </c>
      <c r="S29" s="320">
        <f>SUMIF('Additional &amp; Presentation Entry'!Q:Q,masterTBCY[[#This Row],[Note Line]],'Additional &amp; Presentation Entry'!S:S)</f>
        <v>0</v>
      </c>
      <c r="T29" s="320">
        <f>SUMIF('Additional &amp; Presentation Entry'!X:X,masterTBCY[[#This Row],[Note Line]],'Additional &amp; Presentation Entry'!Z:Z)</f>
        <v>0</v>
      </c>
      <c r="U29" s="320">
        <f t="shared" si="1"/>
        <v>0</v>
      </c>
      <c r="V29" s="320">
        <f>U29/'Master Data'!$C$25</f>
        <v>0</v>
      </c>
      <c r="W29" s="400" t="str">
        <f t="shared" si="2"/>
        <v>Profit and Loss A/C</v>
      </c>
    </row>
    <row r="30" spans="2:23" x14ac:dyDescent="0.3">
      <c r="B30" s="678">
        <f t="shared" si="0"/>
        <v>20</v>
      </c>
      <c r="C30" s="319" t="s">
        <v>752</v>
      </c>
      <c r="D30" s="319" t="s">
        <v>757</v>
      </c>
      <c r="E30" s="319" t="s">
        <v>1031</v>
      </c>
      <c r="F30" s="320">
        <f>+SUMIFS('TB Grouping'!F:F,'TB Grouping'!H:H,masterTBCY[[#This Row],[Note Line]])</f>
        <v>0</v>
      </c>
      <c r="G30" s="2562">
        <f ca="1">SUMIF('Additional &amp; Presentation Entry'!E:E,masterTBCY[[#This Row],[Note Line]],'Additional &amp; Presentation Entry'!G:G)</f>
        <v>0</v>
      </c>
      <c r="H30" s="2562">
        <f>SUMIF('Additional &amp; Presentation Entry'!L:L,masterTBCY[[#This Row],[Note Line]],'Additional &amp; Presentation Entry'!N:N)</f>
        <v>0</v>
      </c>
      <c r="I30" s="320">
        <f>+masterTBCY[[#This Row],[Amount as per TB]]+masterTBCY[[#This Row],[Presentation Entry]]</f>
        <v>0</v>
      </c>
      <c r="J30" s="320">
        <f>I30/'Master Data'!$C$25</f>
        <v>0</v>
      </c>
      <c r="K30" s="392" t="s">
        <v>998</v>
      </c>
      <c r="N30" s="399">
        <v>20</v>
      </c>
      <c r="O30" s="319" t="s">
        <v>752</v>
      </c>
      <c r="P30" s="319" t="s">
        <v>757</v>
      </c>
      <c r="Q30" s="319" t="s">
        <v>1031</v>
      </c>
      <c r="R30" s="320">
        <f>SUMIF('TB Grouping'!$Q:$Q,'Master TB'!P30,'TB Grouping'!$O:$O)</f>
        <v>0</v>
      </c>
      <c r="S30" s="320">
        <f>SUMIF('Additional &amp; Presentation Entry'!Q:Q,masterTBCY[[#This Row],[Note Line]],'Additional &amp; Presentation Entry'!S:S)</f>
        <v>0</v>
      </c>
      <c r="T30" s="320">
        <f>SUMIF('Additional &amp; Presentation Entry'!X:X,masterTBCY[[#This Row],[Note Line]],'Additional &amp; Presentation Entry'!Z:Z)</f>
        <v>0</v>
      </c>
      <c r="U30" s="320">
        <f t="shared" si="1"/>
        <v>0</v>
      </c>
      <c r="V30" s="320">
        <f>U30/'Master Data'!$C$25</f>
        <v>0</v>
      </c>
      <c r="W30" s="400" t="str">
        <f t="shared" si="2"/>
        <v>Profit and Loss A/C</v>
      </c>
    </row>
    <row r="31" spans="2:23" x14ac:dyDescent="0.3">
      <c r="B31" s="678">
        <f t="shared" si="0"/>
        <v>21</v>
      </c>
      <c r="C31" s="319" t="s">
        <v>752</v>
      </c>
      <c r="D31" s="319" t="s">
        <v>3806</v>
      </c>
      <c r="E31" s="319" t="s">
        <v>1032</v>
      </c>
      <c r="F31" s="320">
        <f>+SUMIFS('TB Grouping'!F:F,'TB Grouping'!H:H,masterTBCY[[#This Row],[Note Line]])</f>
        <v>-251599.04</v>
      </c>
      <c r="G31" s="2562">
        <f ca="1">SUMIF('Additional &amp; Presentation Entry'!E:E,masterTBCY[[#This Row],[Note Line]],'Additional &amp; Presentation Entry'!G:G)</f>
        <v>0</v>
      </c>
      <c r="H31" s="2562">
        <f>SUMIF('Additional &amp; Presentation Entry'!L:L,masterTBCY[[#This Row],[Note Line]],'Additional &amp; Presentation Entry'!N:N)</f>
        <v>0</v>
      </c>
      <c r="I31" s="320">
        <f>+masterTBCY[[#This Row],[Amount as per TB]]+masterTBCY[[#This Row],[Presentation Entry]]</f>
        <v>-251599.04</v>
      </c>
      <c r="J31" s="320">
        <f>I31/'Master Data'!$C$25</f>
        <v>-2515.9904000000001</v>
      </c>
      <c r="K31" s="392" t="s">
        <v>998</v>
      </c>
      <c r="N31" s="399">
        <v>21</v>
      </c>
      <c r="O31" s="319" t="s">
        <v>752</v>
      </c>
      <c r="P31" s="319" t="s">
        <v>3806</v>
      </c>
      <c r="Q31" s="319" t="s">
        <v>1032</v>
      </c>
      <c r="R31" s="320">
        <f>SUMIF('TB Grouping'!$Q:$Q,'Master TB'!P31,'TB Grouping'!$O:$O)</f>
        <v>0</v>
      </c>
      <c r="S31" s="320">
        <f>SUMIF('Additional &amp; Presentation Entry'!Q:Q,masterTBCY[[#This Row],[Note Line]],'Additional &amp; Presentation Entry'!S:S)</f>
        <v>0</v>
      </c>
      <c r="T31" s="320">
        <f>SUMIF('Additional &amp; Presentation Entry'!X:X,masterTBCY[[#This Row],[Note Line]],'Additional &amp; Presentation Entry'!Z:Z)</f>
        <v>0</v>
      </c>
      <c r="U31" s="320">
        <f t="shared" si="1"/>
        <v>0</v>
      </c>
      <c r="V31" s="320">
        <f>U31/'Master Data'!$C$25</f>
        <v>0</v>
      </c>
      <c r="W31" s="400" t="str">
        <f t="shared" si="2"/>
        <v>Profit and Loss A/C</v>
      </c>
    </row>
    <row r="32" spans="2:23" x14ac:dyDescent="0.3">
      <c r="B32" s="678">
        <f t="shared" si="0"/>
        <v>22</v>
      </c>
      <c r="C32" s="319" t="s">
        <v>397</v>
      </c>
      <c r="D32" s="319" t="s">
        <v>1056</v>
      </c>
      <c r="E32" s="319" t="s">
        <v>1058</v>
      </c>
      <c r="F32" s="320">
        <f>+SUMIFS('TB Grouping'!F:F,'TB Grouping'!H:H,masterTBCY[[#This Row],[Note Line]])</f>
        <v>0</v>
      </c>
      <c r="G32" s="2562">
        <f ca="1">SUMIF('Additional &amp; Presentation Entry'!E:E,masterTBCY[[#This Row],[Note Line]],'Additional &amp; Presentation Entry'!G:G)</f>
        <v>0</v>
      </c>
      <c r="H32" s="2562">
        <f>SUMIF('Additional &amp; Presentation Entry'!L:L,masterTBCY[[#This Row],[Note Line]],'Additional &amp; Presentation Entry'!N:N)</f>
        <v>0</v>
      </c>
      <c r="I32" s="320">
        <f>+masterTBCY[[#This Row],[Amount as per TB]]+masterTBCY[[#This Row],[Presentation Entry]]</f>
        <v>0</v>
      </c>
      <c r="J32" s="320">
        <f>I32/'Master Data'!$C$25</f>
        <v>0</v>
      </c>
      <c r="K32" s="392" t="s">
        <v>998</v>
      </c>
      <c r="N32" s="399">
        <v>22</v>
      </c>
      <c r="O32" s="319" t="s">
        <v>397</v>
      </c>
      <c r="P32" s="319" t="s">
        <v>1056</v>
      </c>
      <c r="Q32" s="319" t="s">
        <v>1058</v>
      </c>
      <c r="R32" s="320">
        <f>SUMIF('TB Grouping'!$Q:$Q,'Master TB'!P32,'TB Grouping'!$O:$O)</f>
        <v>0</v>
      </c>
      <c r="S32" s="320">
        <f>SUMIF('Additional &amp; Presentation Entry'!Q:Q,masterTBCY[[#This Row],[Note Line]],'Additional &amp; Presentation Entry'!S:S)</f>
        <v>0</v>
      </c>
      <c r="T32" s="320">
        <f>SUMIF('Additional &amp; Presentation Entry'!X:X,masterTBCY[[#This Row],[Note Line]],'Additional &amp; Presentation Entry'!Z:Z)</f>
        <v>0</v>
      </c>
      <c r="U32" s="320">
        <f t="shared" si="1"/>
        <v>0</v>
      </c>
      <c r="V32" s="320">
        <f>U32/'Master Data'!$C$25</f>
        <v>0</v>
      </c>
      <c r="W32" s="400" t="str">
        <f t="shared" si="2"/>
        <v>Profit and Loss A/C</v>
      </c>
    </row>
    <row r="33" spans="2:23" x14ac:dyDescent="0.3">
      <c r="B33" s="678">
        <f t="shared" si="0"/>
        <v>23</v>
      </c>
      <c r="C33" s="319" t="s">
        <v>397</v>
      </c>
      <c r="D33" s="319" t="s">
        <v>759</v>
      </c>
      <c r="E33" s="319" t="s">
        <v>1059</v>
      </c>
      <c r="F33" s="320">
        <f>+SUMIFS('TB Grouping'!F:F,'TB Grouping'!H:H,masterTBCY[[#This Row],[Note Line]])</f>
        <v>0</v>
      </c>
      <c r="G33" s="2562">
        <f ca="1">SUMIF('Additional &amp; Presentation Entry'!E:E,masterTBCY[[#This Row],[Note Line]],'Additional &amp; Presentation Entry'!G:G)</f>
        <v>0</v>
      </c>
      <c r="H33" s="2562">
        <f>SUMIF('Additional &amp; Presentation Entry'!L:L,masterTBCY[[#This Row],[Note Line]],'Additional &amp; Presentation Entry'!N:N)</f>
        <v>0</v>
      </c>
      <c r="I33" s="320">
        <f>+masterTBCY[[#This Row],[Amount as per TB]]+masterTBCY[[#This Row],[Presentation Entry]]</f>
        <v>0</v>
      </c>
      <c r="J33" s="320">
        <f>I33/'Master Data'!$C$25</f>
        <v>0</v>
      </c>
      <c r="K33" s="392" t="s">
        <v>998</v>
      </c>
      <c r="N33" s="399">
        <v>23</v>
      </c>
      <c r="O33" s="319" t="s">
        <v>397</v>
      </c>
      <c r="P33" s="319" t="s">
        <v>759</v>
      </c>
      <c r="Q33" s="319" t="s">
        <v>1059</v>
      </c>
      <c r="R33" s="320">
        <f>SUMIF('TB Grouping'!$Q:$Q,'Master TB'!P33,'TB Grouping'!$O:$O)</f>
        <v>0</v>
      </c>
      <c r="S33" s="320">
        <f>SUMIF('Additional &amp; Presentation Entry'!Q:Q,masterTBCY[[#This Row],[Note Line]],'Additional &amp; Presentation Entry'!S:S)</f>
        <v>0</v>
      </c>
      <c r="T33" s="320">
        <f>SUMIF('Additional &amp; Presentation Entry'!X:X,masterTBCY[[#This Row],[Note Line]],'Additional &amp; Presentation Entry'!Z:Z)</f>
        <v>0</v>
      </c>
      <c r="U33" s="320">
        <f t="shared" si="1"/>
        <v>0</v>
      </c>
      <c r="V33" s="320">
        <f>U33/'Master Data'!$C$25</f>
        <v>0</v>
      </c>
      <c r="W33" s="400" t="str">
        <f t="shared" si="2"/>
        <v>Profit and Loss A/C</v>
      </c>
    </row>
    <row r="34" spans="2:23" x14ac:dyDescent="0.3">
      <c r="B34" s="678">
        <f t="shared" si="0"/>
        <v>24</v>
      </c>
      <c r="C34" s="319" t="s">
        <v>397</v>
      </c>
      <c r="D34" s="319" t="s">
        <v>1057</v>
      </c>
      <c r="E34" s="319" t="s">
        <v>1060</v>
      </c>
      <c r="F34" s="320">
        <f>+SUMIFS('TB Grouping'!F:F,'TB Grouping'!H:H,masterTBCY[[#This Row],[Note Line]])</f>
        <v>0</v>
      </c>
      <c r="G34" s="2562">
        <f ca="1">SUMIF('Additional &amp; Presentation Entry'!E:E,masterTBCY[[#This Row],[Note Line]],'Additional &amp; Presentation Entry'!G:G)</f>
        <v>0</v>
      </c>
      <c r="H34" s="2562">
        <f>SUMIF('Additional &amp; Presentation Entry'!L:L,masterTBCY[[#This Row],[Note Line]],'Additional &amp; Presentation Entry'!N:N)</f>
        <v>0</v>
      </c>
      <c r="I34" s="320">
        <f>+masterTBCY[[#This Row],[Amount as per TB]]+masterTBCY[[#This Row],[Presentation Entry]]</f>
        <v>0</v>
      </c>
      <c r="J34" s="320">
        <f>I34/'Master Data'!$C$25</f>
        <v>0</v>
      </c>
      <c r="K34" s="392" t="s">
        <v>998</v>
      </c>
      <c r="N34" s="399">
        <v>24</v>
      </c>
      <c r="O34" s="319" t="s">
        <v>397</v>
      </c>
      <c r="P34" s="319" t="s">
        <v>1057</v>
      </c>
      <c r="Q34" s="319" t="s">
        <v>1060</v>
      </c>
      <c r="R34" s="320">
        <f>SUMIF('TB Grouping'!$Q:$Q,'Master TB'!P34,'TB Grouping'!$O:$O)</f>
        <v>0</v>
      </c>
      <c r="S34" s="320">
        <f>SUMIF('Additional &amp; Presentation Entry'!Q:Q,masterTBCY[[#This Row],[Note Line]],'Additional &amp; Presentation Entry'!S:S)</f>
        <v>0</v>
      </c>
      <c r="T34" s="320">
        <f>SUMIF('Additional &amp; Presentation Entry'!X:X,masterTBCY[[#This Row],[Note Line]],'Additional &amp; Presentation Entry'!Z:Z)</f>
        <v>0</v>
      </c>
      <c r="U34" s="320">
        <f t="shared" si="1"/>
        <v>0</v>
      </c>
      <c r="V34" s="320">
        <f>U34/'Master Data'!$C$25</f>
        <v>0</v>
      </c>
      <c r="W34" s="400" t="str">
        <f t="shared" si="2"/>
        <v>Profit and Loss A/C</v>
      </c>
    </row>
    <row r="35" spans="2:23" x14ac:dyDescent="0.3">
      <c r="B35" s="678">
        <f t="shared" si="0"/>
        <v>25</v>
      </c>
      <c r="C35" s="319" t="s">
        <v>997</v>
      </c>
      <c r="D35" s="319" t="s">
        <v>761</v>
      </c>
      <c r="E35" s="319" t="s">
        <v>1072</v>
      </c>
      <c r="F35" s="320">
        <f>+SUMIFS('TB Grouping'!F:F,'TB Grouping'!H:H,masterTBCY[[#This Row],[Note Line]])</f>
        <v>164252069.33000001</v>
      </c>
      <c r="G35" s="2562">
        <f ca="1">SUMIF('Additional &amp; Presentation Entry'!E:E,masterTBCY[[#This Row],[Note Line]],'Additional &amp; Presentation Entry'!G:G)</f>
        <v>-798674.22</v>
      </c>
      <c r="H35" s="2562">
        <f>SUMIF('Additional &amp; Presentation Entry'!L:L,masterTBCY[[#This Row],[Note Line]],'Additional &amp; Presentation Entry'!N:N)</f>
        <v>0</v>
      </c>
      <c r="I35" s="320">
        <f>+masterTBCY[[#This Row],[Amount as per TB]]+masterTBCY[[#This Row],[Presentation Entry]]</f>
        <v>164252069.33000001</v>
      </c>
      <c r="J35" s="320">
        <f>I35/'Master Data'!$C$25</f>
        <v>1642520.6933000002</v>
      </c>
      <c r="K35" s="392" t="s">
        <v>998</v>
      </c>
      <c r="N35" s="399">
        <v>25</v>
      </c>
      <c r="O35" s="319" t="s">
        <v>997</v>
      </c>
      <c r="P35" s="319" t="s">
        <v>761</v>
      </c>
      <c r="Q35" s="319" t="s">
        <v>1072</v>
      </c>
      <c r="R35" s="320">
        <f>SUMIF('TB Grouping'!$Q:$Q,'Master TB'!P35,'TB Grouping'!$O:$O)</f>
        <v>149183706.42000002</v>
      </c>
      <c r="S35" s="320">
        <f>SUMIF('Additional &amp; Presentation Entry'!Q:Q,masterTBCY[[#This Row],[Note Line]],'Additional &amp; Presentation Entry'!S:S)</f>
        <v>0</v>
      </c>
      <c r="T35" s="320">
        <f>SUMIF('Additional &amp; Presentation Entry'!X:X,masterTBCY[[#This Row],[Note Line]],'Additional &amp; Presentation Entry'!Z:Z)</f>
        <v>0</v>
      </c>
      <c r="U35" s="320">
        <f t="shared" si="1"/>
        <v>149183706.42000002</v>
      </c>
      <c r="V35" s="320">
        <f>U35/'Master Data'!$C$25</f>
        <v>1491837.0642000001</v>
      </c>
      <c r="W35" s="400" t="str">
        <f t="shared" si="2"/>
        <v>Profit and Loss A/C</v>
      </c>
    </row>
    <row r="36" spans="2:23" x14ac:dyDescent="0.3">
      <c r="B36" s="678">
        <f t="shared" si="0"/>
        <v>26</v>
      </c>
      <c r="C36" s="319" t="s">
        <v>997</v>
      </c>
      <c r="D36" s="319" t="s">
        <v>986</v>
      </c>
      <c r="E36" s="319" t="s">
        <v>1073</v>
      </c>
      <c r="F36" s="320">
        <f>+SUMIFS('TB Grouping'!F:F,'TB Grouping'!H:H,masterTBCY[[#This Row],[Note Line]])</f>
        <v>8449577.5600000005</v>
      </c>
      <c r="G36" s="2562">
        <f ca="1">SUMIF('Additional &amp; Presentation Entry'!E:E,masterTBCY[[#This Row],[Note Line]],'Additional &amp; Presentation Entry'!G:G)</f>
        <v>4157.8800000001211</v>
      </c>
      <c r="H36" s="2562">
        <f>SUMIF('Additional &amp; Presentation Entry'!L:L,masterTBCY[[#This Row],[Note Line]],'Additional &amp; Presentation Entry'!N:N)</f>
        <v>0</v>
      </c>
      <c r="I36" s="320">
        <f>+masterTBCY[[#This Row],[Amount as per TB]]+masterTBCY[[#This Row],[Presentation Entry]]</f>
        <v>8449577.5600000005</v>
      </c>
      <c r="J36" s="320">
        <f>I36/'Master Data'!$C$25</f>
        <v>84495.775600000008</v>
      </c>
      <c r="K36" s="392" t="s">
        <v>998</v>
      </c>
      <c r="N36" s="399">
        <v>26</v>
      </c>
      <c r="O36" s="319" t="s">
        <v>997</v>
      </c>
      <c r="P36" s="319" t="s">
        <v>986</v>
      </c>
      <c r="Q36" s="319" t="s">
        <v>1073</v>
      </c>
      <c r="R36" s="320">
        <f>SUMIF('TB Grouping'!$Q:$Q,'Master TB'!P36,'TB Grouping'!$O:$O)</f>
        <v>7452159</v>
      </c>
      <c r="S36" s="320">
        <f>SUMIF('Additional &amp; Presentation Entry'!Q:Q,masterTBCY[[#This Row],[Note Line]],'Additional &amp; Presentation Entry'!S:S)</f>
        <v>0</v>
      </c>
      <c r="T36" s="320">
        <f>SUMIF('Additional &amp; Presentation Entry'!X:X,masterTBCY[[#This Row],[Note Line]],'Additional &amp; Presentation Entry'!Z:Z)</f>
        <v>0</v>
      </c>
      <c r="U36" s="320">
        <f t="shared" si="1"/>
        <v>7452159</v>
      </c>
      <c r="V36" s="320">
        <f>U36/'Master Data'!$C$25</f>
        <v>74521.59</v>
      </c>
      <c r="W36" s="400" t="str">
        <f t="shared" si="2"/>
        <v>Profit and Loss A/C</v>
      </c>
    </row>
    <row r="37" spans="2:23" x14ac:dyDescent="0.3">
      <c r="B37" s="678">
        <f t="shared" si="0"/>
        <v>27</v>
      </c>
      <c r="C37" s="319" t="s">
        <v>997</v>
      </c>
      <c r="D37" s="319" t="s">
        <v>1033</v>
      </c>
      <c r="E37" s="319" t="s">
        <v>1074</v>
      </c>
      <c r="F37" s="320">
        <f>+SUMIFS('TB Grouping'!F:F,'TB Grouping'!H:H,masterTBCY[[#This Row],[Note Line]])</f>
        <v>316630</v>
      </c>
      <c r="G37" s="2562">
        <f ca="1">SUMIF('Additional &amp; Presentation Entry'!E:E,masterTBCY[[#This Row],[Note Line]],'Additional &amp; Presentation Entry'!G:G)</f>
        <v>316630</v>
      </c>
      <c r="H37" s="2562">
        <f>SUMIF('Additional &amp; Presentation Entry'!L:L,masterTBCY[[#This Row],[Note Line]],'Additional &amp; Presentation Entry'!N:N)</f>
        <v>1083484</v>
      </c>
      <c r="I37" s="320">
        <f>+masterTBCY[[#This Row],[Amount as per TB]]+masterTBCY[[#This Row],[Presentation Entry]]</f>
        <v>1400114</v>
      </c>
      <c r="J37" s="320">
        <f>I37/'Master Data'!$C$25</f>
        <v>14001.14</v>
      </c>
      <c r="K37" s="392" t="s">
        <v>998</v>
      </c>
      <c r="N37" s="399">
        <v>27</v>
      </c>
      <c r="O37" s="319" t="s">
        <v>997</v>
      </c>
      <c r="P37" s="319" t="s">
        <v>1033</v>
      </c>
      <c r="Q37" s="319" t="s">
        <v>1074</v>
      </c>
      <c r="R37" s="1820">
        <f>SUMIF('TB Grouping'!$Q:$Q,'Master TB'!P37,'TB Grouping'!$O:$O)</f>
        <v>1826111</v>
      </c>
      <c r="S37" s="320">
        <f>SUMIF('Additional &amp; Presentation Entry'!Q:Q,masterTBCY[[#This Row],[Note Line]],'Additional &amp; Presentation Entry'!S:S)</f>
        <v>0</v>
      </c>
      <c r="T37" s="320">
        <f>SUMIF('Additional &amp; Presentation Entry'!X:X,masterTBCY[[#This Row],[Note Line]],'Additional &amp; Presentation Entry'!Z:Z)</f>
        <v>0</v>
      </c>
      <c r="U37" s="320">
        <f t="shared" si="1"/>
        <v>1826111</v>
      </c>
      <c r="V37" s="320">
        <f>U37/'Master Data'!$C$25</f>
        <v>18261.11</v>
      </c>
      <c r="W37" s="400" t="str">
        <f t="shared" si="2"/>
        <v>Profit and Loss A/C</v>
      </c>
    </row>
    <row r="38" spans="2:23" x14ac:dyDescent="0.3">
      <c r="B38" s="678">
        <f t="shared" si="0"/>
        <v>28</v>
      </c>
      <c r="C38" s="319" t="s">
        <v>997</v>
      </c>
      <c r="D38" s="319" t="s">
        <v>1034</v>
      </c>
      <c r="E38" s="319" t="s">
        <v>1075</v>
      </c>
      <c r="F38" s="320">
        <f>+SUMIFS('TB Grouping'!F:F,'TB Grouping'!H:H,masterTBCY[[#This Row],[Note Line]])</f>
        <v>0</v>
      </c>
      <c r="G38" s="2562">
        <f ca="1">SUMIF('Additional &amp; Presentation Entry'!E:E,masterTBCY[[#This Row],[Note Line]],'Additional &amp; Presentation Entry'!G:G)</f>
        <v>0</v>
      </c>
      <c r="H38" s="2562">
        <f>SUMIF('Additional &amp; Presentation Entry'!L:L,masterTBCY[[#This Row],[Note Line]],'Additional &amp; Presentation Entry'!N:N)</f>
        <v>0</v>
      </c>
      <c r="I38" s="320">
        <f>+masterTBCY[[#This Row],[Amount as per TB]]+masterTBCY[[#This Row],[Presentation Entry]]</f>
        <v>0</v>
      </c>
      <c r="J38" s="320">
        <f>I38/'Master Data'!$C$25</f>
        <v>0</v>
      </c>
      <c r="K38" s="392" t="s">
        <v>998</v>
      </c>
      <c r="N38" s="399">
        <v>28</v>
      </c>
      <c r="O38" s="319" t="s">
        <v>997</v>
      </c>
      <c r="P38" s="319" t="s">
        <v>1034</v>
      </c>
      <c r="Q38" s="319" t="s">
        <v>1075</v>
      </c>
      <c r="R38" s="320">
        <f>SUMIF('TB Grouping'!$Q:$Q,'Master TB'!P38,'TB Grouping'!$O:$O)</f>
        <v>0</v>
      </c>
      <c r="S38" s="320">
        <f>SUMIF('Additional &amp; Presentation Entry'!Q:Q,masterTBCY[[#This Row],[Note Line]],'Additional &amp; Presentation Entry'!S:S)</f>
        <v>0</v>
      </c>
      <c r="T38" s="320">
        <f>SUMIF('Additional &amp; Presentation Entry'!X:X,masterTBCY[[#This Row],[Note Line]],'Additional &amp; Presentation Entry'!Z:Z)</f>
        <v>0</v>
      </c>
      <c r="U38" s="320">
        <f t="shared" si="1"/>
        <v>0</v>
      </c>
      <c r="V38" s="320">
        <f>U38/'Master Data'!$C$25</f>
        <v>0</v>
      </c>
      <c r="W38" s="400" t="str">
        <f t="shared" si="2"/>
        <v>Profit and Loss A/C</v>
      </c>
    </row>
    <row r="39" spans="2:23" x14ac:dyDescent="0.3">
      <c r="B39" s="678">
        <f t="shared" si="0"/>
        <v>29</v>
      </c>
      <c r="C39" s="319" t="s">
        <v>997</v>
      </c>
      <c r="D39" s="319" t="s">
        <v>762</v>
      </c>
      <c r="E39" s="319" t="s">
        <v>1076</v>
      </c>
      <c r="F39" s="320">
        <f>+SUMIFS('TB Grouping'!F:F,'TB Grouping'!H:H,masterTBCY[[#This Row],[Note Line]])</f>
        <v>6336334.0500000007</v>
      </c>
      <c r="G39" s="2562">
        <f ca="1">SUMIF('Additional &amp; Presentation Entry'!E:E,masterTBCY[[#This Row],[Note Line]],'Additional &amp; Presentation Entry'!G:G)</f>
        <v>-1427950.1863013699</v>
      </c>
      <c r="H39" s="2562">
        <f>SUMIF('Additional &amp; Presentation Entry'!L:L,masterTBCY[[#This Row],[Note Line]],'Additional &amp; Presentation Entry'!N:N)</f>
        <v>11377</v>
      </c>
      <c r="I39" s="320">
        <f>+masterTBCY[[#This Row],[Amount as per TB]]+masterTBCY[[#This Row],[Presentation Entry]]</f>
        <v>6347711.0500000007</v>
      </c>
      <c r="J39" s="320">
        <f>I39/'Master Data'!$C$25</f>
        <v>63477.11050000001</v>
      </c>
      <c r="K39" s="392" t="s">
        <v>998</v>
      </c>
      <c r="N39" s="399">
        <v>29</v>
      </c>
      <c r="O39" s="319" t="s">
        <v>997</v>
      </c>
      <c r="P39" s="319" t="s">
        <v>762</v>
      </c>
      <c r="Q39" s="319" t="s">
        <v>1076</v>
      </c>
      <c r="R39" s="320">
        <f>SUMIF('TB Grouping'!$Q:$Q,'Master TB'!P39,'TB Grouping'!$O:$O)</f>
        <v>5142382.7300000004</v>
      </c>
      <c r="S39" s="320">
        <f>SUMIF('Additional &amp; Presentation Entry'!Q:Q,masterTBCY[[#This Row],[Note Line]],'Additional &amp; Presentation Entry'!S:S)</f>
        <v>0</v>
      </c>
      <c r="T39" s="320">
        <f>SUMIF('Additional &amp; Presentation Entry'!X:X,masterTBCY[[#This Row],[Note Line]],'Additional &amp; Presentation Entry'!Z:Z)</f>
        <v>0</v>
      </c>
      <c r="U39" s="320">
        <f t="shared" si="1"/>
        <v>5142382.7300000004</v>
      </c>
      <c r="V39" s="320">
        <f>U39/'Master Data'!$C$25</f>
        <v>51423.827300000004</v>
      </c>
      <c r="W39" s="400" t="str">
        <f t="shared" si="2"/>
        <v>Profit and Loss A/C</v>
      </c>
    </row>
    <row r="40" spans="2:23" x14ac:dyDescent="0.3">
      <c r="B40" s="678">
        <f t="shared" si="0"/>
        <v>30</v>
      </c>
      <c r="C40" s="319" t="s">
        <v>36</v>
      </c>
      <c r="D40" s="319" t="s">
        <v>1005</v>
      </c>
      <c r="E40" s="319" t="s">
        <v>1106</v>
      </c>
      <c r="F40" s="320">
        <f>+SUMIFS('TB Grouping'!F:F,'TB Grouping'!H:H,masterTBCY[[#This Row],[Note Line]])</f>
        <v>0</v>
      </c>
      <c r="G40" s="2562">
        <f ca="1">SUMIF('Additional &amp; Presentation Entry'!E:E,masterTBCY[[#This Row],[Note Line]],'Additional &amp; Presentation Entry'!G:G)</f>
        <v>0</v>
      </c>
      <c r="H40" s="2562">
        <f>SUMIF('Additional &amp; Presentation Entry'!L:L,masterTBCY[[#This Row],[Note Line]],'Additional &amp; Presentation Entry'!N:N)</f>
        <v>0</v>
      </c>
      <c r="I40" s="320">
        <f>+masterTBCY[[#This Row],[Amount as per TB]]+masterTBCY[[#This Row],[Presentation Entry]]</f>
        <v>0</v>
      </c>
      <c r="J40" s="320">
        <f>I40/'Master Data'!$C$25</f>
        <v>0</v>
      </c>
      <c r="K40" s="392" t="s">
        <v>998</v>
      </c>
      <c r="N40" s="399">
        <v>30</v>
      </c>
      <c r="O40" s="319" t="s">
        <v>36</v>
      </c>
      <c r="P40" s="319" t="s">
        <v>1005</v>
      </c>
      <c r="Q40" s="319" t="s">
        <v>1106</v>
      </c>
      <c r="R40" s="320">
        <f>SUMIF('TB Grouping'!$Q:$Q,'Master TB'!P40,'TB Grouping'!$O:$O)</f>
        <v>0</v>
      </c>
      <c r="S40" s="320">
        <f>SUMIF('Additional &amp; Presentation Entry'!Q:Q,masterTBCY[[#This Row],[Note Line]],'Additional &amp; Presentation Entry'!S:S)</f>
        <v>0</v>
      </c>
      <c r="T40" s="320">
        <f>SUMIF('Additional &amp; Presentation Entry'!X:X,masterTBCY[[#This Row],[Note Line]],'Additional &amp; Presentation Entry'!Z:Z)</f>
        <v>0</v>
      </c>
      <c r="U40" s="320">
        <f t="shared" si="1"/>
        <v>0</v>
      </c>
      <c r="V40" s="320">
        <f>U40/'Master Data'!$C$25</f>
        <v>0</v>
      </c>
      <c r="W40" s="400" t="str">
        <f t="shared" si="2"/>
        <v>Profit and Loss A/C</v>
      </c>
    </row>
    <row r="41" spans="2:23" x14ac:dyDescent="0.3">
      <c r="B41" s="678">
        <f t="shared" si="0"/>
        <v>31</v>
      </c>
      <c r="C41" s="319" t="s">
        <v>36</v>
      </c>
      <c r="D41" s="319" t="s">
        <v>1006</v>
      </c>
      <c r="E41" s="319" t="s">
        <v>1107</v>
      </c>
      <c r="F41" s="320">
        <f>+SUMIFS('TB Grouping'!F:F,'TB Grouping'!H:H,masterTBCY[[#This Row],[Note Line]])</f>
        <v>0</v>
      </c>
      <c r="G41" s="2562">
        <f ca="1">SUMIF('Additional &amp; Presentation Entry'!E:E,masterTBCY[[#This Row],[Note Line]],'Additional &amp; Presentation Entry'!G:G)</f>
        <v>0</v>
      </c>
      <c r="H41" s="2562">
        <f>SUMIF('Additional &amp; Presentation Entry'!L:L,masterTBCY[[#This Row],[Note Line]],'Additional &amp; Presentation Entry'!N:N)</f>
        <v>0</v>
      </c>
      <c r="I41" s="320">
        <f>+masterTBCY[[#This Row],[Amount as per TB]]+masterTBCY[[#This Row],[Presentation Entry]]</f>
        <v>0</v>
      </c>
      <c r="J41" s="320">
        <f>I41/'Master Data'!$C$25</f>
        <v>0</v>
      </c>
      <c r="K41" s="392" t="s">
        <v>998</v>
      </c>
      <c r="N41" s="399">
        <v>31</v>
      </c>
      <c r="O41" s="319" t="s">
        <v>36</v>
      </c>
      <c r="P41" s="319" t="s">
        <v>1006</v>
      </c>
      <c r="Q41" s="319" t="s">
        <v>1107</v>
      </c>
      <c r="R41" s="320">
        <f>SUMIF('TB Grouping'!$Q:$Q,'Master TB'!P41,'TB Grouping'!$O:$O)</f>
        <v>0</v>
      </c>
      <c r="S41" s="320">
        <f>SUMIF('Additional &amp; Presentation Entry'!Q:Q,masterTBCY[[#This Row],[Note Line]],'Additional &amp; Presentation Entry'!S:S)</f>
        <v>0</v>
      </c>
      <c r="T41" s="320">
        <f>SUMIF('Additional &amp; Presentation Entry'!X:X,masterTBCY[[#This Row],[Note Line]],'Additional &amp; Presentation Entry'!Z:Z)</f>
        <v>0</v>
      </c>
      <c r="U41" s="320">
        <f t="shared" si="1"/>
        <v>0</v>
      </c>
      <c r="V41" s="320">
        <f>U41/'Master Data'!$C$25</f>
        <v>0</v>
      </c>
      <c r="W41" s="400" t="str">
        <f t="shared" si="2"/>
        <v>Profit and Loss A/C</v>
      </c>
    </row>
    <row r="42" spans="2:23" x14ac:dyDescent="0.3">
      <c r="B42" s="678">
        <f t="shared" si="0"/>
        <v>32</v>
      </c>
      <c r="C42" s="319" t="s">
        <v>36</v>
      </c>
      <c r="D42" s="323" t="s">
        <v>1007</v>
      </c>
      <c r="E42" s="323" t="s">
        <v>1108</v>
      </c>
      <c r="F42" s="320">
        <f>+SUMIFS('TB Grouping'!F:F,'TB Grouping'!H:H,masterTBCY[[#This Row],[Note Line]])</f>
        <v>0</v>
      </c>
      <c r="G42" s="2562">
        <f ca="1">SUMIF('Additional &amp; Presentation Entry'!E:E,masterTBCY[[#This Row],[Note Line]],'Additional &amp; Presentation Entry'!G:G)</f>
        <v>0</v>
      </c>
      <c r="H42" s="2562">
        <f>SUMIF('Additional &amp; Presentation Entry'!L:L,masterTBCY[[#This Row],[Note Line]],'Additional &amp; Presentation Entry'!N:N)</f>
        <v>0</v>
      </c>
      <c r="I42" s="320">
        <f>+masterTBCY[[#This Row],[Amount as per TB]]+masterTBCY[[#This Row],[Presentation Entry]]</f>
        <v>0</v>
      </c>
      <c r="J42" s="320">
        <f>I42/'Master Data'!$C$25</f>
        <v>0</v>
      </c>
      <c r="K42" s="392" t="s">
        <v>998</v>
      </c>
      <c r="N42" s="399">
        <v>32</v>
      </c>
      <c r="O42" s="319" t="s">
        <v>36</v>
      </c>
      <c r="P42" s="323" t="s">
        <v>1007</v>
      </c>
      <c r="Q42" s="323" t="s">
        <v>1108</v>
      </c>
      <c r="R42" s="320">
        <f>SUMIF('TB Grouping'!$Q:$Q,'Master TB'!P42,'TB Grouping'!$O:$O)</f>
        <v>0</v>
      </c>
      <c r="S42" s="320">
        <f>SUMIF('Additional &amp; Presentation Entry'!Q:Q,masterTBCY[[#This Row],[Note Line]],'Additional &amp; Presentation Entry'!S:S)</f>
        <v>0</v>
      </c>
      <c r="T42" s="320">
        <f>SUMIF('Additional &amp; Presentation Entry'!X:X,masterTBCY[[#This Row],[Note Line]],'Additional &amp; Presentation Entry'!Z:Z)</f>
        <v>0</v>
      </c>
      <c r="U42" s="320">
        <f t="shared" si="1"/>
        <v>0</v>
      </c>
      <c r="V42" s="320">
        <f>U42/'Master Data'!$C$25</f>
        <v>0</v>
      </c>
      <c r="W42" s="400" t="str">
        <f t="shared" si="2"/>
        <v>Profit and Loss A/C</v>
      </c>
    </row>
    <row r="43" spans="2:23" ht="33" x14ac:dyDescent="0.3">
      <c r="B43" s="678">
        <f t="shared" si="0"/>
        <v>33</v>
      </c>
      <c r="C43" s="319" t="s">
        <v>36</v>
      </c>
      <c r="D43" s="323" t="s">
        <v>646</v>
      </c>
      <c r="E43" s="323" t="s">
        <v>1109</v>
      </c>
      <c r="F43" s="320">
        <f>+SUMIFS('TB Grouping'!F:F,'TB Grouping'!H:H,masterTBCY[[#This Row],[Note Line]])</f>
        <v>0</v>
      </c>
      <c r="G43" s="2562">
        <f ca="1">SUMIF('Additional &amp; Presentation Entry'!E:E,masterTBCY[[#This Row],[Note Line]],'Additional &amp; Presentation Entry'!G:G)</f>
        <v>0</v>
      </c>
      <c r="H43" s="2562">
        <f>SUMIF('Additional &amp; Presentation Entry'!L:L,masterTBCY[[#This Row],[Note Line]],'Additional &amp; Presentation Entry'!N:N)</f>
        <v>0</v>
      </c>
      <c r="I43" s="320">
        <f>+masterTBCY[[#This Row],[Amount as per TB]]+masterTBCY[[#This Row],[Presentation Entry]]</f>
        <v>0</v>
      </c>
      <c r="J43" s="320">
        <f>I43/'Master Data'!$C$25</f>
        <v>0</v>
      </c>
      <c r="K43" s="392" t="s">
        <v>998</v>
      </c>
      <c r="N43" s="399">
        <v>33</v>
      </c>
      <c r="O43" s="319" t="s">
        <v>36</v>
      </c>
      <c r="P43" s="323" t="s">
        <v>646</v>
      </c>
      <c r="Q43" s="323" t="s">
        <v>1109</v>
      </c>
      <c r="R43" s="320">
        <f>SUMIF('TB Grouping'!$Q:$Q,'Master TB'!P43,'TB Grouping'!$O:$O)</f>
        <v>0</v>
      </c>
      <c r="S43" s="320">
        <f>SUMIF('Additional &amp; Presentation Entry'!Q:Q,masterTBCY[[#This Row],[Note Line]],'Additional &amp; Presentation Entry'!S:S)</f>
        <v>0</v>
      </c>
      <c r="T43" s="320">
        <f>SUMIF('Additional &amp; Presentation Entry'!X:X,masterTBCY[[#This Row],[Note Line]],'Additional &amp; Presentation Entry'!Z:Z)</f>
        <v>0</v>
      </c>
      <c r="U43" s="320">
        <f t="shared" si="1"/>
        <v>0</v>
      </c>
      <c r="V43" s="320">
        <f>U43/'Master Data'!$C$25</f>
        <v>0</v>
      </c>
      <c r="W43" s="400" t="str">
        <f t="shared" si="2"/>
        <v>Profit and Loss A/C</v>
      </c>
    </row>
    <row r="44" spans="2:23" x14ac:dyDescent="0.3">
      <c r="B44" s="678">
        <f t="shared" si="0"/>
        <v>34</v>
      </c>
      <c r="C44" s="319" t="s">
        <v>763</v>
      </c>
      <c r="D44" s="323" t="s">
        <v>230</v>
      </c>
      <c r="E44" s="323" t="s">
        <v>1079</v>
      </c>
      <c r="F44" s="320">
        <f>+SUMIFS('TB Grouping'!F:F,'TB Grouping'!H:H,masterTBCY[[#This Row],[Note Line]])</f>
        <v>0</v>
      </c>
      <c r="G44" s="2562">
        <f ca="1">SUMIF('Additional &amp; Presentation Entry'!E:E,masterTBCY[[#This Row],[Note Line]],'Additional &amp; Presentation Entry'!G:G)</f>
        <v>0</v>
      </c>
      <c r="H44" s="2562">
        <f>SUMIF('Additional &amp; Presentation Entry'!L:L,masterTBCY[[#This Row],[Note Line]],'Additional &amp; Presentation Entry'!N:N)</f>
        <v>0</v>
      </c>
      <c r="I44" s="320">
        <f>+masterTBCY[[#This Row],[Amount as per TB]]+masterTBCY[[#This Row],[Presentation Entry]]</f>
        <v>0</v>
      </c>
      <c r="J44" s="320">
        <f>I44/'Master Data'!$C$25</f>
        <v>0</v>
      </c>
      <c r="K44" s="392" t="s">
        <v>998</v>
      </c>
      <c r="N44" s="399">
        <v>34</v>
      </c>
      <c r="O44" s="319" t="s">
        <v>763</v>
      </c>
      <c r="P44" s="323" t="s">
        <v>230</v>
      </c>
      <c r="Q44" s="323" t="s">
        <v>1079</v>
      </c>
      <c r="R44" s="320">
        <f>SUMIF('TB Grouping'!$Q:$Q,'Master TB'!P44,'TB Grouping'!$O:$O)</f>
        <v>0</v>
      </c>
      <c r="S44" s="320">
        <f>SUMIF('Additional &amp; Presentation Entry'!Q:Q,masterTBCY[[#This Row],[Note Line]],'Additional &amp; Presentation Entry'!S:S)</f>
        <v>0</v>
      </c>
      <c r="T44" s="320">
        <f>SUMIF('Additional &amp; Presentation Entry'!X:X,masterTBCY[[#This Row],[Note Line]],'Additional &amp; Presentation Entry'!Z:Z)</f>
        <v>0</v>
      </c>
      <c r="U44" s="320">
        <f t="shared" si="1"/>
        <v>0</v>
      </c>
      <c r="V44" s="320">
        <f>U44/'Master Data'!$C$25</f>
        <v>0</v>
      </c>
      <c r="W44" s="400" t="str">
        <f t="shared" si="2"/>
        <v>Profit and Loss A/C</v>
      </c>
    </row>
    <row r="45" spans="2:23" x14ac:dyDescent="0.3">
      <c r="B45" s="678">
        <f t="shared" si="0"/>
        <v>35</v>
      </c>
      <c r="C45" s="319" t="s">
        <v>763</v>
      </c>
      <c r="D45" s="323" t="s">
        <v>988</v>
      </c>
      <c r="E45" s="323" t="s">
        <v>1080</v>
      </c>
      <c r="F45" s="320">
        <f>+SUMIFS('TB Grouping'!F:F,'TB Grouping'!H:H,masterTBCY[[#This Row],[Note Line]])</f>
        <v>0</v>
      </c>
      <c r="G45" s="2562">
        <f ca="1">SUMIF('Additional &amp; Presentation Entry'!E:E,masterTBCY[[#This Row],[Note Line]],'Additional &amp; Presentation Entry'!G:G)</f>
        <v>0</v>
      </c>
      <c r="H45" s="2562">
        <f>SUMIF('Additional &amp; Presentation Entry'!L:L,masterTBCY[[#This Row],[Note Line]],'Additional &amp; Presentation Entry'!N:N)</f>
        <v>0</v>
      </c>
      <c r="I45" s="320">
        <f>+masterTBCY[[#This Row],[Amount as per TB]]+masterTBCY[[#This Row],[Presentation Entry]]</f>
        <v>0</v>
      </c>
      <c r="J45" s="320">
        <f>I45/'Master Data'!$C$25</f>
        <v>0</v>
      </c>
      <c r="K45" s="392" t="s">
        <v>998</v>
      </c>
      <c r="N45" s="399">
        <v>35</v>
      </c>
      <c r="O45" s="319" t="s">
        <v>763</v>
      </c>
      <c r="P45" s="323" t="s">
        <v>988</v>
      </c>
      <c r="Q45" s="323" t="s">
        <v>1080</v>
      </c>
      <c r="R45" s="320">
        <f>SUMIF('TB Grouping'!$Q:$Q,'Master TB'!P45,'TB Grouping'!$O:$O)</f>
        <v>0</v>
      </c>
      <c r="S45" s="320">
        <f>SUMIF('Additional &amp; Presentation Entry'!Q:Q,masterTBCY[[#This Row],[Note Line]],'Additional &amp; Presentation Entry'!S:S)</f>
        <v>0</v>
      </c>
      <c r="T45" s="320">
        <f>SUMIF('Additional &amp; Presentation Entry'!X:X,masterTBCY[[#This Row],[Note Line]],'Additional &amp; Presentation Entry'!Z:Z)</f>
        <v>0</v>
      </c>
      <c r="U45" s="320">
        <f t="shared" si="1"/>
        <v>0</v>
      </c>
      <c r="V45" s="320">
        <f>U45/'Master Data'!$C$25</f>
        <v>0</v>
      </c>
      <c r="W45" s="400" t="str">
        <f t="shared" si="2"/>
        <v>Profit and Loss A/C</v>
      </c>
    </row>
    <row r="46" spans="2:23" x14ac:dyDescent="0.3">
      <c r="B46" s="678">
        <f t="shared" si="0"/>
        <v>36</v>
      </c>
      <c r="C46" s="319" t="s">
        <v>763</v>
      </c>
      <c r="D46" s="323" t="s">
        <v>764</v>
      </c>
      <c r="E46" s="323" t="s">
        <v>1081</v>
      </c>
      <c r="F46" s="320">
        <f>+SUMIFS('TB Grouping'!F:F,'TB Grouping'!H:H,masterTBCY[[#This Row],[Note Line]])</f>
        <v>0</v>
      </c>
      <c r="G46" s="2562">
        <f ca="1">SUMIF('Additional &amp; Presentation Entry'!E:E,masterTBCY[[#This Row],[Note Line]],'Additional &amp; Presentation Entry'!G:G)</f>
        <v>0</v>
      </c>
      <c r="H46" s="2562">
        <f>SUMIF('Additional &amp; Presentation Entry'!L:L,masterTBCY[[#This Row],[Note Line]],'Additional &amp; Presentation Entry'!N:N)</f>
        <v>0</v>
      </c>
      <c r="I46" s="320">
        <f>+masterTBCY[[#This Row],[Amount as per TB]]+masterTBCY[[#This Row],[Presentation Entry]]</f>
        <v>0</v>
      </c>
      <c r="J46" s="320">
        <f>I46/'Master Data'!$C$25</f>
        <v>0</v>
      </c>
      <c r="K46" s="392" t="s">
        <v>998</v>
      </c>
      <c r="N46" s="399">
        <v>36</v>
      </c>
      <c r="O46" s="319" t="s">
        <v>763</v>
      </c>
      <c r="P46" s="323" t="s">
        <v>764</v>
      </c>
      <c r="Q46" s="323" t="s">
        <v>1081</v>
      </c>
      <c r="R46" s="320">
        <f>SUMIF('TB Grouping'!$Q:$Q,'Master TB'!P46,'TB Grouping'!$O:$O)</f>
        <v>0</v>
      </c>
      <c r="S46" s="320">
        <f>SUMIF('Additional &amp; Presentation Entry'!Q:Q,masterTBCY[[#This Row],[Note Line]],'Additional &amp; Presentation Entry'!S:S)</f>
        <v>0</v>
      </c>
      <c r="T46" s="320">
        <f>SUMIF('Additional &amp; Presentation Entry'!X:X,masterTBCY[[#This Row],[Note Line]],'Additional &amp; Presentation Entry'!Z:Z)</f>
        <v>0</v>
      </c>
      <c r="U46" s="320">
        <f t="shared" si="1"/>
        <v>0</v>
      </c>
      <c r="V46" s="320">
        <f>U46/'Master Data'!$C$25</f>
        <v>0</v>
      </c>
      <c r="W46" s="400" t="str">
        <f t="shared" si="2"/>
        <v>Profit and Loss A/C</v>
      </c>
    </row>
    <row r="47" spans="2:23" x14ac:dyDescent="0.3">
      <c r="B47" s="678">
        <f t="shared" si="0"/>
        <v>37</v>
      </c>
      <c r="C47" s="319" t="s">
        <v>763</v>
      </c>
      <c r="D47" s="319" t="s">
        <v>231</v>
      </c>
      <c r="E47" s="319" t="s">
        <v>1082</v>
      </c>
      <c r="F47" s="320">
        <f>+SUMIFS('TB Grouping'!F:F,'TB Grouping'!H:H,masterTBCY[[#This Row],[Note Line]])</f>
        <v>0</v>
      </c>
      <c r="G47" s="2562">
        <f ca="1">SUMIF('Additional &amp; Presentation Entry'!E:E,masterTBCY[[#This Row],[Note Line]],'Additional &amp; Presentation Entry'!G:G)</f>
        <v>0</v>
      </c>
      <c r="H47" s="2562">
        <f>SUMIF('Additional &amp; Presentation Entry'!L:L,masterTBCY[[#This Row],[Note Line]],'Additional &amp; Presentation Entry'!N:N)</f>
        <v>0</v>
      </c>
      <c r="I47" s="320">
        <f>+masterTBCY[[#This Row],[Amount as per TB]]+masterTBCY[[#This Row],[Presentation Entry]]</f>
        <v>0</v>
      </c>
      <c r="J47" s="320">
        <f>I47/'Master Data'!$C$25</f>
        <v>0</v>
      </c>
      <c r="K47" s="392" t="s">
        <v>998</v>
      </c>
      <c r="N47" s="399">
        <v>37</v>
      </c>
      <c r="O47" s="319" t="s">
        <v>763</v>
      </c>
      <c r="P47" s="319" t="s">
        <v>231</v>
      </c>
      <c r="Q47" s="319" t="s">
        <v>1082</v>
      </c>
      <c r="R47" s="320">
        <f>SUMIF('TB Grouping'!$Q:$Q,'Master TB'!P47,'TB Grouping'!$O:$O)</f>
        <v>0</v>
      </c>
      <c r="S47" s="320">
        <f>SUMIF('Additional &amp; Presentation Entry'!Q:Q,masterTBCY[[#This Row],[Note Line]],'Additional &amp; Presentation Entry'!S:S)</f>
        <v>0</v>
      </c>
      <c r="T47" s="320">
        <f>SUMIF('Additional &amp; Presentation Entry'!X:X,masterTBCY[[#This Row],[Note Line]],'Additional &amp; Presentation Entry'!Z:Z)</f>
        <v>0</v>
      </c>
      <c r="U47" s="320">
        <f t="shared" si="1"/>
        <v>0</v>
      </c>
      <c r="V47" s="320">
        <f>U47/'Master Data'!$C$25</f>
        <v>0</v>
      </c>
      <c r="W47" s="400" t="str">
        <f t="shared" si="2"/>
        <v>Profit and Loss A/C</v>
      </c>
    </row>
    <row r="48" spans="2:23" x14ac:dyDescent="0.3">
      <c r="B48" s="678">
        <f t="shared" si="0"/>
        <v>38</v>
      </c>
      <c r="C48" s="319" t="s">
        <v>763</v>
      </c>
      <c r="D48" s="319" t="s">
        <v>758</v>
      </c>
      <c r="E48" s="319" t="s">
        <v>1083</v>
      </c>
      <c r="F48" s="320">
        <f>+SUMIFS('TB Grouping'!F:F,'TB Grouping'!H:H,masterTBCY[[#This Row],[Note Line]])</f>
        <v>9261994.5800000001</v>
      </c>
      <c r="G48" s="2562">
        <f ca="1">SUMIF('Additional &amp; Presentation Entry'!E:E,masterTBCY[[#This Row],[Note Line]],'Additional &amp; Presentation Entry'!G:G)</f>
        <v>-523408.42666666675</v>
      </c>
      <c r="H48" s="2562">
        <f>SUMIF('Additional &amp; Presentation Entry'!L:L,masterTBCY[[#This Row],[Note Line]],'Additional &amp; Presentation Entry'!N:N)</f>
        <v>0</v>
      </c>
      <c r="I48" s="320">
        <f>+masterTBCY[[#This Row],[Amount as per TB]]+masterTBCY[[#This Row],[Presentation Entry]]</f>
        <v>9261994.5800000001</v>
      </c>
      <c r="J48" s="320">
        <f>I48/'Master Data'!$C$25</f>
        <v>92619.945800000001</v>
      </c>
      <c r="K48" s="392" t="s">
        <v>998</v>
      </c>
      <c r="N48" s="399">
        <v>38</v>
      </c>
      <c r="O48" s="319" t="s">
        <v>763</v>
      </c>
      <c r="P48" s="319" t="s">
        <v>758</v>
      </c>
      <c r="Q48" s="319" t="s">
        <v>1083</v>
      </c>
      <c r="R48" s="320">
        <f>SUMIF('TB Grouping'!$Q:$Q,'Master TB'!P48,'TB Grouping'!$O:$O)</f>
        <v>9025642</v>
      </c>
      <c r="S48" s="320">
        <f>SUMIF('Additional &amp; Presentation Entry'!Q:Q,masterTBCY[[#This Row],[Note Line]],'Additional &amp; Presentation Entry'!S:S)</f>
        <v>0</v>
      </c>
      <c r="T48" s="320">
        <f>SUMIF('Additional &amp; Presentation Entry'!X:X,masterTBCY[[#This Row],[Note Line]],'Additional &amp; Presentation Entry'!Z:Z)</f>
        <v>0</v>
      </c>
      <c r="U48" s="320">
        <f t="shared" si="1"/>
        <v>9025642</v>
      </c>
      <c r="V48" s="320">
        <f>U48/'Master Data'!$C$25</f>
        <v>90256.42</v>
      </c>
      <c r="W48" s="400" t="str">
        <f t="shared" si="2"/>
        <v>Profit and Loss A/C</v>
      </c>
    </row>
    <row r="49" spans="2:23" x14ac:dyDescent="0.3">
      <c r="B49" s="678">
        <f t="shared" si="0"/>
        <v>39</v>
      </c>
      <c r="C49" s="319" t="s">
        <v>763</v>
      </c>
      <c r="D49" s="319" t="s">
        <v>232</v>
      </c>
      <c r="E49" s="319" t="s">
        <v>1084</v>
      </c>
      <c r="F49" s="320">
        <f>+SUMIFS('TB Grouping'!F:F,'TB Grouping'!H:H,masterTBCY[[#This Row],[Note Line]])</f>
        <v>0</v>
      </c>
      <c r="G49" s="2562">
        <f ca="1">SUMIF('Additional &amp; Presentation Entry'!E:E,masterTBCY[[#This Row],[Note Line]],'Additional &amp; Presentation Entry'!G:G)</f>
        <v>0</v>
      </c>
      <c r="H49" s="2562">
        <f>SUMIF('Additional &amp; Presentation Entry'!L:L,masterTBCY[[#This Row],[Note Line]],'Additional &amp; Presentation Entry'!N:N)</f>
        <v>0</v>
      </c>
      <c r="I49" s="320">
        <f>+masterTBCY[[#This Row],[Amount as per TB]]+masterTBCY[[#This Row],[Presentation Entry]]</f>
        <v>0</v>
      </c>
      <c r="J49" s="320">
        <f>I49/'Master Data'!$C$25</f>
        <v>0</v>
      </c>
      <c r="K49" s="392" t="s">
        <v>998</v>
      </c>
      <c r="N49" s="399">
        <v>39</v>
      </c>
      <c r="O49" s="319" t="s">
        <v>763</v>
      </c>
      <c r="P49" s="319" t="s">
        <v>232</v>
      </c>
      <c r="Q49" s="319" t="s">
        <v>1084</v>
      </c>
      <c r="R49" s="320">
        <f>SUMIF('TB Grouping'!$Q:$Q,'Master TB'!P49,'TB Grouping'!$O:$O)</f>
        <v>0</v>
      </c>
      <c r="S49" s="320">
        <f>SUMIF('Additional &amp; Presentation Entry'!Q:Q,masterTBCY[[#This Row],[Note Line]],'Additional &amp; Presentation Entry'!S:S)</f>
        <v>0</v>
      </c>
      <c r="T49" s="320">
        <f>SUMIF('Additional &amp; Presentation Entry'!X:X,masterTBCY[[#This Row],[Note Line]],'Additional &amp; Presentation Entry'!Z:Z)</f>
        <v>0</v>
      </c>
      <c r="U49" s="320">
        <f t="shared" si="1"/>
        <v>0</v>
      </c>
      <c r="V49" s="320">
        <f>U49/'Master Data'!$C$25</f>
        <v>0</v>
      </c>
      <c r="W49" s="400" t="str">
        <f t="shared" si="2"/>
        <v>Profit and Loss A/C</v>
      </c>
    </row>
    <row r="50" spans="2:23" x14ac:dyDescent="0.3">
      <c r="B50" s="678">
        <f t="shared" si="0"/>
        <v>40</v>
      </c>
      <c r="C50" s="319" t="s">
        <v>763</v>
      </c>
      <c r="D50" s="324" t="s">
        <v>233</v>
      </c>
      <c r="E50" s="324" t="s">
        <v>1085</v>
      </c>
      <c r="F50" s="320">
        <f>+SUMIFS('TB Grouping'!F:F,'TB Grouping'!H:H,masterTBCY[[#This Row],[Note Line]])</f>
        <v>0</v>
      </c>
      <c r="G50" s="2562">
        <f ca="1">SUMIF('Additional &amp; Presentation Entry'!E:E,masterTBCY[[#This Row],[Note Line]],'Additional &amp; Presentation Entry'!G:G)</f>
        <v>0</v>
      </c>
      <c r="H50" s="2562">
        <f>SUMIF('Additional &amp; Presentation Entry'!L:L,masterTBCY[[#This Row],[Note Line]],'Additional &amp; Presentation Entry'!N:N)</f>
        <v>0</v>
      </c>
      <c r="I50" s="320">
        <f>+masterTBCY[[#This Row],[Amount as per TB]]+masterTBCY[[#This Row],[Presentation Entry]]</f>
        <v>0</v>
      </c>
      <c r="J50" s="320">
        <f>I50/'Master Data'!$C$25</f>
        <v>0</v>
      </c>
      <c r="K50" s="392" t="s">
        <v>998</v>
      </c>
      <c r="N50" s="399">
        <v>40</v>
      </c>
      <c r="O50" s="319" t="s">
        <v>763</v>
      </c>
      <c r="P50" s="324" t="s">
        <v>233</v>
      </c>
      <c r="Q50" s="324" t="s">
        <v>1085</v>
      </c>
      <c r="R50" s="320">
        <f>SUMIF('TB Grouping'!$Q:$Q,'Master TB'!P50,'TB Grouping'!$O:$O)</f>
        <v>0</v>
      </c>
      <c r="S50" s="320">
        <f>SUMIF('Additional &amp; Presentation Entry'!Q:Q,masterTBCY[[#This Row],[Note Line]],'Additional &amp; Presentation Entry'!S:S)</f>
        <v>0</v>
      </c>
      <c r="T50" s="320">
        <f>SUMIF('Additional &amp; Presentation Entry'!X:X,masterTBCY[[#This Row],[Note Line]],'Additional &amp; Presentation Entry'!Z:Z)</f>
        <v>0</v>
      </c>
      <c r="U50" s="320">
        <f t="shared" si="1"/>
        <v>0</v>
      </c>
      <c r="V50" s="320">
        <f>U50/'Master Data'!$C$25</f>
        <v>0</v>
      </c>
      <c r="W50" s="400" t="str">
        <f t="shared" si="2"/>
        <v>Profit and Loss A/C</v>
      </c>
    </row>
    <row r="51" spans="2:23" x14ac:dyDescent="0.3">
      <c r="B51" s="678">
        <f t="shared" si="0"/>
        <v>41</v>
      </c>
      <c r="C51" s="319" t="s">
        <v>763</v>
      </c>
      <c r="D51" s="324" t="s">
        <v>794</v>
      </c>
      <c r="E51" s="324" t="s">
        <v>1086</v>
      </c>
      <c r="F51" s="320">
        <f>+SUMIFS('TB Grouping'!F:F,'TB Grouping'!H:H,masterTBCY[[#This Row],[Note Line]])</f>
        <v>0</v>
      </c>
      <c r="G51" s="2562">
        <f ca="1">SUMIF('Additional &amp; Presentation Entry'!E:E,masterTBCY[[#This Row],[Note Line]],'Additional &amp; Presentation Entry'!G:G)</f>
        <v>0</v>
      </c>
      <c r="H51" s="2562">
        <f>SUMIF('Additional &amp; Presentation Entry'!L:L,masterTBCY[[#This Row],[Note Line]],'Additional &amp; Presentation Entry'!N:N)</f>
        <v>1311817</v>
      </c>
      <c r="I51" s="320">
        <f>+masterTBCY[[#This Row],[Amount as per TB]]+masterTBCY[[#This Row],[Presentation Entry]]</f>
        <v>1311817</v>
      </c>
      <c r="J51" s="320">
        <f>I51/'Master Data'!$C$25</f>
        <v>13118.17</v>
      </c>
      <c r="K51" s="392" t="s">
        <v>998</v>
      </c>
      <c r="N51" s="399">
        <v>41</v>
      </c>
      <c r="O51" s="319" t="s">
        <v>763</v>
      </c>
      <c r="P51" s="324" t="s">
        <v>794</v>
      </c>
      <c r="Q51" s="324" t="s">
        <v>1086</v>
      </c>
      <c r="R51" s="320">
        <f>SUMIF('TB Grouping'!$Q:$Q,'Master TB'!P51,'TB Grouping'!$O:$O)</f>
        <v>295250</v>
      </c>
      <c r="S51" s="320">
        <f>SUMIF('Additional &amp; Presentation Entry'!Q:Q,masterTBCY[[#This Row],[Note Line]],'Additional &amp; Presentation Entry'!S:S)</f>
        <v>0</v>
      </c>
      <c r="T51" s="320">
        <f>SUMIF('Additional &amp; Presentation Entry'!X:X,masterTBCY[[#This Row],[Note Line]],'Additional &amp; Presentation Entry'!Z:Z)</f>
        <v>0</v>
      </c>
      <c r="U51" s="320">
        <f t="shared" si="1"/>
        <v>295250</v>
      </c>
      <c r="V51" s="320">
        <f>U51/'Master Data'!$C$25</f>
        <v>2952.5</v>
      </c>
      <c r="W51" s="400" t="str">
        <f t="shared" si="2"/>
        <v>Profit and Loss A/C</v>
      </c>
    </row>
    <row r="52" spans="2:23" x14ac:dyDescent="0.3">
      <c r="B52" s="678">
        <f t="shared" si="0"/>
        <v>42</v>
      </c>
      <c r="C52" s="319" t="s">
        <v>763</v>
      </c>
      <c r="D52" s="324" t="s">
        <v>234</v>
      </c>
      <c r="E52" s="324" t="s">
        <v>1087</v>
      </c>
      <c r="F52" s="320">
        <f>+SUMIFS('TB Grouping'!F:F,'TB Grouping'!H:H,masterTBCY[[#This Row],[Note Line]])</f>
        <v>286732.23</v>
      </c>
      <c r="G52" s="2562">
        <f ca="1">SUMIF('Additional &amp; Presentation Entry'!E:E,masterTBCY[[#This Row],[Note Line]],'Additional &amp; Presentation Entry'!G:G)</f>
        <v>103384.44876712325</v>
      </c>
      <c r="H52" s="2562">
        <f>SUMIF('Additional &amp; Presentation Entry'!L:L,masterTBCY[[#This Row],[Note Line]],'Additional &amp; Presentation Entry'!N:N)</f>
        <v>0</v>
      </c>
      <c r="I52" s="320">
        <f>+masterTBCY[[#This Row],[Amount as per TB]]+masterTBCY[[#This Row],[Presentation Entry]]</f>
        <v>286732.23</v>
      </c>
      <c r="J52" s="320">
        <f>I52/'Master Data'!$C$25</f>
        <v>2867.3222999999998</v>
      </c>
      <c r="K52" s="392" t="s">
        <v>998</v>
      </c>
      <c r="N52" s="399">
        <v>42</v>
      </c>
      <c r="O52" s="319" t="s">
        <v>763</v>
      </c>
      <c r="P52" s="324" t="s">
        <v>234</v>
      </c>
      <c r="Q52" s="324" t="s">
        <v>1087</v>
      </c>
      <c r="R52" s="320">
        <f>SUMIF('TB Grouping'!$Q:$Q,'Master TB'!P52,'TB Grouping'!$O:$O)</f>
        <v>436416</v>
      </c>
      <c r="S52" s="320">
        <f>SUMIF('Additional &amp; Presentation Entry'!Q:Q,masterTBCY[[#This Row],[Note Line]],'Additional &amp; Presentation Entry'!S:S)</f>
        <v>0</v>
      </c>
      <c r="T52" s="320">
        <f>SUMIF('Additional &amp; Presentation Entry'!X:X,masterTBCY[[#This Row],[Note Line]],'Additional &amp; Presentation Entry'!Z:Z)</f>
        <v>0</v>
      </c>
      <c r="U52" s="320">
        <f t="shared" si="1"/>
        <v>436416</v>
      </c>
      <c r="V52" s="320">
        <f>U52/'Master Data'!$C$25</f>
        <v>4364.16</v>
      </c>
      <c r="W52" s="400" t="str">
        <f t="shared" si="2"/>
        <v>Profit and Loss A/C</v>
      </c>
    </row>
    <row r="53" spans="2:23" x14ac:dyDescent="0.3">
      <c r="B53" s="678">
        <f t="shared" si="0"/>
        <v>43</v>
      </c>
      <c r="C53" s="319" t="s">
        <v>763</v>
      </c>
      <c r="D53" s="324" t="s">
        <v>235</v>
      </c>
      <c r="E53" s="324" t="s">
        <v>1088</v>
      </c>
      <c r="F53" s="320">
        <f>+SUMIFS('TB Grouping'!F:F,'TB Grouping'!H:H,masterTBCY[[#This Row],[Note Line]])</f>
        <v>2573112.79</v>
      </c>
      <c r="G53" s="2562">
        <f ca="1">SUMIF('Additional &amp; Presentation Entry'!E:E,masterTBCY[[#This Row],[Note Line]],'Additional &amp; Presentation Entry'!G:G)</f>
        <v>687887.79</v>
      </c>
      <c r="H53" s="2562">
        <f>SUMIF('Additional &amp; Presentation Entry'!L:L,masterTBCY[[#This Row],[Note Line]],'Additional &amp; Presentation Entry'!N:N)</f>
        <v>71405.16</v>
      </c>
      <c r="I53" s="320">
        <f>+masterTBCY[[#This Row],[Amount as per TB]]+masterTBCY[[#This Row],[Presentation Entry]]</f>
        <v>2644517.9500000002</v>
      </c>
      <c r="J53" s="320">
        <f>I53/'Master Data'!$C$25</f>
        <v>26445.179500000002</v>
      </c>
      <c r="K53" s="392" t="s">
        <v>998</v>
      </c>
      <c r="N53" s="399">
        <v>43</v>
      </c>
      <c r="O53" s="319" t="s">
        <v>763</v>
      </c>
      <c r="P53" s="324" t="s">
        <v>235</v>
      </c>
      <c r="Q53" s="324" t="s">
        <v>1088</v>
      </c>
      <c r="R53" s="320">
        <f>SUMIF('TB Grouping'!$Q:$Q,'Master TB'!P53,'TB Grouping'!$O:$O)</f>
        <v>74096.67</v>
      </c>
      <c r="S53" s="320">
        <f>SUMIF('Additional &amp; Presentation Entry'!Q:Q,masterTBCY[[#This Row],[Note Line]],'Additional &amp; Presentation Entry'!S:S)</f>
        <v>0</v>
      </c>
      <c r="T53" s="320">
        <f>SUMIF('Additional &amp; Presentation Entry'!X:X,masterTBCY[[#This Row],[Note Line]],'Additional &amp; Presentation Entry'!Z:Z)</f>
        <v>0</v>
      </c>
      <c r="U53" s="320">
        <f t="shared" si="1"/>
        <v>74096.67</v>
      </c>
      <c r="V53" s="320">
        <f>U53/'Master Data'!$C$25</f>
        <v>740.96669999999995</v>
      </c>
      <c r="W53" s="400" t="str">
        <f t="shared" si="2"/>
        <v>Profit and Loss A/C</v>
      </c>
    </row>
    <row r="54" spans="2:23" x14ac:dyDescent="0.3">
      <c r="B54" s="678">
        <f t="shared" si="0"/>
        <v>44</v>
      </c>
      <c r="C54" s="319" t="s">
        <v>763</v>
      </c>
      <c r="D54" s="319" t="s">
        <v>793</v>
      </c>
      <c r="E54" s="319" t="s">
        <v>1089</v>
      </c>
      <c r="F54" s="320">
        <f>+SUMIFS('TB Grouping'!F:F,'TB Grouping'!H:H,masterTBCY[[#This Row],[Note Line]])</f>
        <v>0</v>
      </c>
      <c r="G54" s="2562">
        <f ca="1">SUMIF('Additional &amp; Presentation Entry'!E:E,masterTBCY[[#This Row],[Note Line]],'Additional &amp; Presentation Entry'!G:G)</f>
        <v>0</v>
      </c>
      <c r="H54" s="2562">
        <f>SUMIF('Additional &amp; Presentation Entry'!L:L,masterTBCY[[#This Row],[Note Line]],'Additional &amp; Presentation Entry'!N:N)</f>
        <v>0</v>
      </c>
      <c r="I54" s="320">
        <f>+masterTBCY[[#This Row],[Amount as per TB]]+masterTBCY[[#This Row],[Presentation Entry]]</f>
        <v>0</v>
      </c>
      <c r="J54" s="320">
        <f>I54/'Master Data'!$C$25</f>
        <v>0</v>
      </c>
      <c r="K54" s="392" t="s">
        <v>998</v>
      </c>
      <c r="N54" s="399">
        <v>44</v>
      </c>
      <c r="O54" s="319" t="s">
        <v>763</v>
      </c>
      <c r="P54" s="319" t="s">
        <v>793</v>
      </c>
      <c r="Q54" s="319" t="s">
        <v>1089</v>
      </c>
      <c r="R54" s="320">
        <f>SUMIF('TB Grouping'!$Q:$Q,'Master TB'!P54,'TB Grouping'!$O:$O)</f>
        <v>0</v>
      </c>
      <c r="S54" s="320">
        <f>SUMIF('Additional &amp; Presentation Entry'!Q:Q,masterTBCY[[#This Row],[Note Line]],'Additional &amp; Presentation Entry'!S:S)</f>
        <v>0</v>
      </c>
      <c r="T54" s="320">
        <f>SUMIF('Additional &amp; Presentation Entry'!X:X,masterTBCY[[#This Row],[Note Line]],'Additional &amp; Presentation Entry'!Z:Z)</f>
        <v>0</v>
      </c>
      <c r="U54" s="320">
        <f t="shared" si="1"/>
        <v>0</v>
      </c>
      <c r="V54" s="320">
        <f>U54/'Master Data'!$C$25</f>
        <v>0</v>
      </c>
      <c r="W54" s="400" t="str">
        <f t="shared" si="2"/>
        <v>Profit and Loss A/C</v>
      </c>
    </row>
    <row r="55" spans="2:23" x14ac:dyDescent="0.3">
      <c r="B55" s="678">
        <f t="shared" si="0"/>
        <v>45</v>
      </c>
      <c r="C55" s="319" t="s">
        <v>763</v>
      </c>
      <c r="D55" s="319" t="s">
        <v>766</v>
      </c>
      <c r="E55" s="319" t="s">
        <v>1090</v>
      </c>
      <c r="F55" s="320">
        <f>+SUMIFS('TB Grouping'!F:F,'TB Grouping'!H:H,masterTBCY[[#This Row],[Note Line]])</f>
        <v>125583.6</v>
      </c>
      <c r="G55" s="2562">
        <f ca="1">SUMIF('Additional &amp; Presentation Entry'!E:E,masterTBCY[[#This Row],[Note Line]],'Additional &amp; Presentation Entry'!G:G)</f>
        <v>0</v>
      </c>
      <c r="H55" s="2562">
        <f>SUMIF('Additional &amp; Presentation Entry'!L:L,masterTBCY[[#This Row],[Note Line]],'Additional &amp; Presentation Entry'!N:N)</f>
        <v>1127105.5</v>
      </c>
      <c r="I55" s="320">
        <f>+masterTBCY[[#This Row],[Amount as per TB]]+masterTBCY[[#This Row],[Presentation Entry]]</f>
        <v>1252689.1000000001</v>
      </c>
      <c r="J55" s="320">
        <f>I55/'Master Data'!$C$25</f>
        <v>12526.891000000001</v>
      </c>
      <c r="K55" s="392" t="s">
        <v>998</v>
      </c>
      <c r="N55" s="399">
        <v>45</v>
      </c>
      <c r="O55" s="319" t="s">
        <v>763</v>
      </c>
      <c r="P55" s="319" t="s">
        <v>766</v>
      </c>
      <c r="Q55" s="319" t="s">
        <v>1090</v>
      </c>
      <c r="R55" s="320">
        <f>SUMIF('TB Grouping'!$Q:$Q,'Master TB'!P55,'TB Grouping'!$O:$O)</f>
        <v>670419.57999999996</v>
      </c>
      <c r="S55" s="320">
        <f>SUMIF('Additional &amp; Presentation Entry'!Q:Q,masterTBCY[[#This Row],[Note Line]],'Additional &amp; Presentation Entry'!S:S)</f>
        <v>0</v>
      </c>
      <c r="T55" s="320">
        <f>SUMIF('Additional &amp; Presentation Entry'!X:X,masterTBCY[[#This Row],[Note Line]],'Additional &amp; Presentation Entry'!Z:Z)</f>
        <v>0</v>
      </c>
      <c r="U55" s="320">
        <f t="shared" si="1"/>
        <v>670419.57999999996</v>
      </c>
      <c r="V55" s="320">
        <f>U55/'Master Data'!$C$25</f>
        <v>6704.1957999999995</v>
      </c>
      <c r="W55" s="400" t="str">
        <f t="shared" si="2"/>
        <v>Profit and Loss A/C</v>
      </c>
    </row>
    <row r="56" spans="2:23" x14ac:dyDescent="0.3">
      <c r="B56" s="678">
        <f t="shared" si="0"/>
        <v>46</v>
      </c>
      <c r="C56" s="319" t="s">
        <v>763</v>
      </c>
      <c r="D56" s="319" t="s">
        <v>792</v>
      </c>
      <c r="E56" s="319" t="s">
        <v>1091</v>
      </c>
      <c r="F56" s="320">
        <f>+SUMIFS('TB Grouping'!F:F,'TB Grouping'!H:H,masterTBCY[[#This Row],[Note Line]])</f>
        <v>0</v>
      </c>
      <c r="G56" s="2562">
        <f ca="1">SUMIF('Additional &amp; Presentation Entry'!E:E,masterTBCY[[#This Row],[Note Line]],'Additional &amp; Presentation Entry'!G:G)</f>
        <v>0</v>
      </c>
      <c r="H56" s="2562">
        <f>SUMIF('Additional &amp; Presentation Entry'!L:L,masterTBCY[[#This Row],[Note Line]],'Additional &amp; Presentation Entry'!N:N)</f>
        <v>0</v>
      </c>
      <c r="I56" s="320">
        <f>+masterTBCY[[#This Row],[Amount as per TB]]+masterTBCY[[#This Row],[Presentation Entry]]</f>
        <v>0</v>
      </c>
      <c r="J56" s="320">
        <f>I56/'Master Data'!$C$25</f>
        <v>0</v>
      </c>
      <c r="K56" s="392" t="s">
        <v>998</v>
      </c>
      <c r="N56" s="399">
        <v>46</v>
      </c>
      <c r="O56" s="319" t="s">
        <v>763</v>
      </c>
      <c r="P56" s="319" t="s">
        <v>792</v>
      </c>
      <c r="Q56" s="319" t="s">
        <v>1091</v>
      </c>
      <c r="R56" s="320">
        <f>SUMIF('TB Grouping'!$Q:$Q,'Master TB'!P56,'TB Grouping'!$O:$O)</f>
        <v>0</v>
      </c>
      <c r="S56" s="320">
        <f>SUMIF('Additional &amp; Presentation Entry'!Q:Q,masterTBCY[[#This Row],[Note Line]],'Additional &amp; Presentation Entry'!S:S)</f>
        <v>0</v>
      </c>
      <c r="T56" s="320">
        <f>SUMIF('Additional &amp; Presentation Entry'!X:X,masterTBCY[[#This Row],[Note Line]],'Additional &amp; Presentation Entry'!Z:Z)</f>
        <v>0</v>
      </c>
      <c r="U56" s="320">
        <f t="shared" si="1"/>
        <v>0</v>
      </c>
      <c r="V56" s="320">
        <f>U56/'Master Data'!$C$25</f>
        <v>0</v>
      </c>
      <c r="W56" s="400" t="str">
        <f t="shared" si="2"/>
        <v>Profit and Loss A/C</v>
      </c>
    </row>
    <row r="57" spans="2:23" x14ac:dyDescent="0.3">
      <c r="B57" s="678">
        <f t="shared" si="0"/>
        <v>47</v>
      </c>
      <c r="C57" s="319" t="s">
        <v>763</v>
      </c>
      <c r="D57" s="319" t="s">
        <v>795</v>
      </c>
      <c r="E57" s="319" t="s">
        <v>1092</v>
      </c>
      <c r="F57" s="320">
        <f>+SUMIFS('TB Grouping'!F:F,'TB Grouping'!H:H,masterTBCY[[#This Row],[Note Line]])</f>
        <v>72030.889999999985</v>
      </c>
      <c r="G57" s="2562">
        <f ca="1">SUMIF('Additional &amp; Presentation Entry'!E:E,masterTBCY[[#This Row],[Note Line]],'Additional &amp; Presentation Entry'!G:G)</f>
        <v>0</v>
      </c>
      <c r="H57" s="2562">
        <f>SUMIF('Additional &amp; Presentation Entry'!L:L,masterTBCY[[#This Row],[Note Line]],'Additional &amp; Presentation Entry'!N:N)</f>
        <v>0</v>
      </c>
      <c r="I57" s="320">
        <f>+masterTBCY[[#This Row],[Amount as per TB]]+masterTBCY[[#This Row],[Presentation Entry]]</f>
        <v>72030.889999999985</v>
      </c>
      <c r="J57" s="320">
        <f>I57/'Master Data'!$C$25</f>
        <v>720.30889999999988</v>
      </c>
      <c r="K57" s="392" t="s">
        <v>998</v>
      </c>
      <c r="N57" s="399">
        <v>47</v>
      </c>
      <c r="O57" s="319" t="s">
        <v>763</v>
      </c>
      <c r="P57" s="319" t="s">
        <v>795</v>
      </c>
      <c r="Q57" s="319" t="s">
        <v>1092</v>
      </c>
      <c r="R57" s="320">
        <f>SUMIF('TB Grouping'!$Q:$Q,'Master TB'!P57,'TB Grouping'!$O:$O)</f>
        <v>76048.44</v>
      </c>
      <c r="S57" s="320">
        <f>SUMIF('Additional &amp; Presentation Entry'!Q:Q,masterTBCY[[#This Row],[Note Line]],'Additional &amp; Presentation Entry'!S:S)</f>
        <v>0</v>
      </c>
      <c r="T57" s="320">
        <f>SUMIF('Additional &amp; Presentation Entry'!X:X,masterTBCY[[#This Row],[Note Line]],'Additional &amp; Presentation Entry'!Z:Z)</f>
        <v>0</v>
      </c>
      <c r="U57" s="320">
        <f t="shared" si="1"/>
        <v>76048.44</v>
      </c>
      <c r="V57" s="320">
        <f>U57/'Master Data'!$C$25</f>
        <v>760.48440000000005</v>
      </c>
      <c r="W57" s="400" t="str">
        <f t="shared" si="2"/>
        <v>Profit and Loss A/C</v>
      </c>
    </row>
    <row r="58" spans="2:23" x14ac:dyDescent="0.3">
      <c r="B58" s="678">
        <f t="shared" si="0"/>
        <v>48</v>
      </c>
      <c r="C58" s="319" t="s">
        <v>763</v>
      </c>
      <c r="D58" s="319" t="s">
        <v>767</v>
      </c>
      <c r="E58" s="319" t="s">
        <v>1093</v>
      </c>
      <c r="F58" s="320">
        <f>+SUMIFS('TB Grouping'!F:F,'TB Grouping'!H:H,masterTBCY[[#This Row],[Note Line]])</f>
        <v>0</v>
      </c>
      <c r="G58" s="2562">
        <f ca="1">SUMIF('Additional &amp; Presentation Entry'!E:E,masterTBCY[[#This Row],[Note Line]],'Additional &amp; Presentation Entry'!G:G)</f>
        <v>0</v>
      </c>
      <c r="H58" s="2562">
        <f>SUMIF('Additional &amp; Presentation Entry'!L:L,masterTBCY[[#This Row],[Note Line]],'Additional &amp; Presentation Entry'!N:N)</f>
        <v>0</v>
      </c>
      <c r="I58" s="320">
        <f>+masterTBCY[[#This Row],[Amount as per TB]]+masterTBCY[[#This Row],[Presentation Entry]]</f>
        <v>0</v>
      </c>
      <c r="J58" s="320">
        <f>I58/'Master Data'!$C$25</f>
        <v>0</v>
      </c>
      <c r="K58" s="392" t="s">
        <v>998</v>
      </c>
      <c r="N58" s="399">
        <v>48</v>
      </c>
      <c r="O58" s="319" t="s">
        <v>763</v>
      </c>
      <c r="P58" s="319" t="s">
        <v>767</v>
      </c>
      <c r="Q58" s="319" t="s">
        <v>1093</v>
      </c>
      <c r="R58" s="320">
        <f>SUMIF('TB Grouping'!$Q:$Q,'Master TB'!P58,'TB Grouping'!$O:$O)</f>
        <v>0</v>
      </c>
      <c r="S58" s="320">
        <f>SUMIF('Additional &amp; Presentation Entry'!Q:Q,masterTBCY[[#This Row],[Note Line]],'Additional &amp; Presentation Entry'!S:S)</f>
        <v>0</v>
      </c>
      <c r="T58" s="320">
        <f>SUMIF('Additional &amp; Presentation Entry'!X:X,masterTBCY[[#This Row],[Note Line]],'Additional &amp; Presentation Entry'!Z:Z)</f>
        <v>0</v>
      </c>
      <c r="U58" s="320">
        <f t="shared" si="1"/>
        <v>0</v>
      </c>
      <c r="V58" s="320">
        <f>U58/'Master Data'!$C$25</f>
        <v>0</v>
      </c>
      <c r="W58" s="400" t="str">
        <f t="shared" si="2"/>
        <v>Profit and Loss A/C</v>
      </c>
    </row>
    <row r="59" spans="2:23" x14ac:dyDescent="0.3">
      <c r="B59" s="678">
        <f t="shared" si="0"/>
        <v>49</v>
      </c>
      <c r="C59" s="319" t="s">
        <v>763</v>
      </c>
      <c r="D59" s="321" t="s">
        <v>236</v>
      </c>
      <c r="E59" s="321" t="s">
        <v>1094</v>
      </c>
      <c r="F59" s="320">
        <f>+SUMIFS('TB Grouping'!F:F,'TB Grouping'!H:H,masterTBCY[[#This Row],[Note Line]])</f>
        <v>0</v>
      </c>
      <c r="G59" s="2562">
        <f ca="1">SUMIF('Additional &amp; Presentation Entry'!E:E,masterTBCY[[#This Row],[Note Line]],'Additional &amp; Presentation Entry'!G:G)</f>
        <v>0</v>
      </c>
      <c r="H59" s="2562">
        <f>SUMIF('Additional &amp; Presentation Entry'!L:L,masterTBCY[[#This Row],[Note Line]],'Additional &amp; Presentation Entry'!N:N)</f>
        <v>0</v>
      </c>
      <c r="I59" s="320">
        <f>+masterTBCY[[#This Row],[Amount as per TB]]+masterTBCY[[#This Row],[Presentation Entry]]</f>
        <v>0</v>
      </c>
      <c r="J59" s="320">
        <f>I59/'Master Data'!$C$25</f>
        <v>0</v>
      </c>
      <c r="K59" s="392" t="s">
        <v>998</v>
      </c>
      <c r="N59" s="399">
        <v>49</v>
      </c>
      <c r="O59" s="319" t="s">
        <v>763</v>
      </c>
      <c r="P59" s="321" t="s">
        <v>236</v>
      </c>
      <c r="Q59" s="321" t="s">
        <v>1094</v>
      </c>
      <c r="R59" s="320">
        <f>SUMIF('TB Grouping'!$Q:$Q,'Master TB'!P59,'TB Grouping'!$O:$O)</f>
        <v>0</v>
      </c>
      <c r="S59" s="320">
        <f>SUMIF('Additional &amp; Presentation Entry'!Q:Q,masterTBCY[[#This Row],[Note Line]],'Additional &amp; Presentation Entry'!S:S)</f>
        <v>0</v>
      </c>
      <c r="T59" s="320">
        <f>SUMIF('Additional &amp; Presentation Entry'!X:X,masterTBCY[[#This Row],[Note Line]],'Additional &amp; Presentation Entry'!Z:Z)</f>
        <v>0</v>
      </c>
      <c r="U59" s="320">
        <f t="shared" si="1"/>
        <v>0</v>
      </c>
      <c r="V59" s="320">
        <f>U59/'Master Data'!$C$25</f>
        <v>0</v>
      </c>
      <c r="W59" s="400" t="str">
        <f t="shared" si="2"/>
        <v>Profit and Loss A/C</v>
      </c>
    </row>
    <row r="60" spans="2:23" x14ac:dyDescent="0.3">
      <c r="B60" s="678">
        <f t="shared" si="0"/>
        <v>50</v>
      </c>
      <c r="C60" s="319" t="s">
        <v>763</v>
      </c>
      <c r="D60" s="319" t="s">
        <v>715</v>
      </c>
      <c r="E60" s="319" t="s">
        <v>1095</v>
      </c>
      <c r="F60" s="320">
        <f>+SUMIFS('TB Grouping'!F:F,'TB Grouping'!H:H,masterTBCY[[#This Row],[Note Line]])</f>
        <v>0</v>
      </c>
      <c r="G60" s="2562">
        <f ca="1">SUMIF('Additional &amp; Presentation Entry'!E:E,masterTBCY[[#This Row],[Note Line]],'Additional &amp; Presentation Entry'!G:G)</f>
        <v>0</v>
      </c>
      <c r="H60" s="2562">
        <f>SUMIF('Additional &amp; Presentation Entry'!L:L,masterTBCY[[#This Row],[Note Line]],'Additional &amp; Presentation Entry'!N:N)</f>
        <v>0</v>
      </c>
      <c r="I60" s="320">
        <f>+masterTBCY[[#This Row],[Amount as per TB]]+masterTBCY[[#This Row],[Presentation Entry]]</f>
        <v>0</v>
      </c>
      <c r="J60" s="320">
        <f>I60/'Master Data'!$C$25</f>
        <v>0</v>
      </c>
      <c r="K60" s="392" t="s">
        <v>998</v>
      </c>
      <c r="N60" s="399">
        <v>50</v>
      </c>
      <c r="O60" s="319" t="s">
        <v>763</v>
      </c>
      <c r="P60" s="319" t="s">
        <v>715</v>
      </c>
      <c r="Q60" s="319" t="s">
        <v>1095</v>
      </c>
      <c r="R60" s="320">
        <f>SUMIF('TB Grouping'!$Q:$Q,'Master TB'!P60,'TB Grouping'!$O:$O)</f>
        <v>0</v>
      </c>
      <c r="S60" s="320">
        <f>SUMIF('Additional &amp; Presentation Entry'!Q:Q,masterTBCY[[#This Row],[Note Line]],'Additional &amp; Presentation Entry'!S:S)</f>
        <v>0</v>
      </c>
      <c r="T60" s="320">
        <f>SUMIF('Additional &amp; Presentation Entry'!X:X,masterTBCY[[#This Row],[Note Line]],'Additional &amp; Presentation Entry'!Z:Z)</f>
        <v>0</v>
      </c>
      <c r="U60" s="320">
        <f t="shared" si="1"/>
        <v>0</v>
      </c>
      <c r="V60" s="320">
        <f>U60/'Master Data'!$C$25</f>
        <v>0</v>
      </c>
      <c r="W60" s="400" t="str">
        <f t="shared" si="2"/>
        <v>Profit and Loss A/C</v>
      </c>
    </row>
    <row r="61" spans="2:23" x14ac:dyDescent="0.3">
      <c r="B61" s="678">
        <f t="shared" si="0"/>
        <v>51</v>
      </c>
      <c r="C61" s="319" t="s">
        <v>763</v>
      </c>
      <c r="D61" s="319" t="s">
        <v>771</v>
      </c>
      <c r="E61" s="319" t="s">
        <v>1096</v>
      </c>
      <c r="F61" s="320">
        <f>+SUMIFS('TB Grouping'!F:F,'TB Grouping'!H:H,masterTBCY[[#This Row],[Note Line]])</f>
        <v>2996012.9</v>
      </c>
      <c r="G61" s="2562">
        <f ca="1">SUMIF('Additional &amp; Presentation Entry'!E:E,masterTBCY[[#This Row],[Note Line]],'Additional &amp; Presentation Entry'!G:G)</f>
        <v>-457516</v>
      </c>
      <c r="H61" s="2562">
        <f>SUMIF('Additional &amp; Presentation Entry'!L:L,masterTBCY[[#This Row],[Note Line]],'Additional &amp; Presentation Entry'!N:N)</f>
        <v>0</v>
      </c>
      <c r="I61" s="320">
        <f>+masterTBCY[[#This Row],[Amount as per TB]]+masterTBCY[[#This Row],[Presentation Entry]]</f>
        <v>2996012.9</v>
      </c>
      <c r="J61" s="320">
        <f>I61/'Master Data'!$C$25</f>
        <v>29960.129000000001</v>
      </c>
      <c r="K61" s="392" t="s">
        <v>998</v>
      </c>
      <c r="N61" s="399">
        <v>51</v>
      </c>
      <c r="O61" s="319" t="s">
        <v>763</v>
      </c>
      <c r="P61" s="319" t="s">
        <v>771</v>
      </c>
      <c r="Q61" s="319" t="s">
        <v>1096</v>
      </c>
      <c r="R61" s="320">
        <f>SUMIF('TB Grouping'!$Q:$Q,'Master TB'!P61,'TB Grouping'!$O:$O)</f>
        <v>2638075.0700000003</v>
      </c>
      <c r="S61" s="320">
        <f>SUMIF('Additional &amp; Presentation Entry'!Q:Q,masterTBCY[[#This Row],[Note Line]],'Additional &amp; Presentation Entry'!S:S)</f>
        <v>0</v>
      </c>
      <c r="T61" s="320">
        <f>SUMIF('Additional &amp; Presentation Entry'!X:X,masterTBCY[[#This Row],[Note Line]],'Additional &amp; Presentation Entry'!Z:Z)</f>
        <v>0</v>
      </c>
      <c r="U61" s="320">
        <f t="shared" si="1"/>
        <v>2638075.0700000003</v>
      </c>
      <c r="V61" s="320">
        <f>U61/'Master Data'!$C$25</f>
        <v>26380.750700000004</v>
      </c>
      <c r="W61" s="400" t="str">
        <f t="shared" si="2"/>
        <v>Profit and Loss A/C</v>
      </c>
    </row>
    <row r="62" spans="2:23" x14ac:dyDescent="0.3">
      <c r="B62" s="678">
        <f t="shared" si="0"/>
        <v>52</v>
      </c>
      <c r="C62" s="319" t="s">
        <v>763</v>
      </c>
      <c r="D62" s="319" t="s">
        <v>754</v>
      </c>
      <c r="E62" s="319" t="s">
        <v>1097</v>
      </c>
      <c r="F62" s="320">
        <f>+SUMIFS('TB Grouping'!F:F,'TB Grouping'!H:H,masterTBCY[[#This Row],[Note Line]])</f>
        <v>0</v>
      </c>
      <c r="G62" s="2562">
        <f ca="1">SUMIF('Additional &amp; Presentation Entry'!E:E,masterTBCY[[#This Row],[Note Line]],'Additional &amp; Presentation Entry'!G:G)</f>
        <v>17100.87</v>
      </c>
      <c r="H62" s="2562">
        <f>SUMIF('Additional &amp; Presentation Entry'!L:L,masterTBCY[[#This Row],[Note Line]],'Additional &amp; Presentation Entry'!N:N)</f>
        <v>0</v>
      </c>
      <c r="I62" s="320">
        <f>+masterTBCY[[#This Row],[Amount as per TB]]+masterTBCY[[#This Row],[Presentation Entry]]</f>
        <v>0</v>
      </c>
      <c r="J62" s="320">
        <f>I62/'Master Data'!$C$25</f>
        <v>0</v>
      </c>
      <c r="K62" s="392" t="s">
        <v>998</v>
      </c>
      <c r="N62" s="399">
        <v>52</v>
      </c>
      <c r="O62" s="319" t="s">
        <v>763</v>
      </c>
      <c r="P62" s="319" t="s">
        <v>754</v>
      </c>
      <c r="Q62" s="319" t="s">
        <v>1097</v>
      </c>
      <c r="R62" s="320">
        <f>SUMIF('TB Grouping'!$Q:$Q,'Master TB'!P62,'TB Grouping'!$O:$O)</f>
        <v>0</v>
      </c>
      <c r="S62" s="320">
        <f>SUMIF('Additional &amp; Presentation Entry'!Q:Q,masterTBCY[[#This Row],[Note Line]],'Additional &amp; Presentation Entry'!S:S)</f>
        <v>0</v>
      </c>
      <c r="T62" s="320">
        <f>SUMIF('Additional &amp; Presentation Entry'!X:X,masterTBCY[[#This Row],[Note Line]],'Additional &amp; Presentation Entry'!Z:Z)</f>
        <v>0</v>
      </c>
      <c r="U62" s="320">
        <f t="shared" si="1"/>
        <v>0</v>
      </c>
      <c r="V62" s="320">
        <f>U62/'Master Data'!$C$25</f>
        <v>0</v>
      </c>
      <c r="W62" s="400" t="str">
        <f t="shared" si="2"/>
        <v>Profit and Loss A/C</v>
      </c>
    </row>
    <row r="63" spans="2:23" x14ac:dyDescent="0.3">
      <c r="B63" s="678">
        <f t="shared" si="0"/>
        <v>53</v>
      </c>
      <c r="C63" s="319" t="s">
        <v>763</v>
      </c>
      <c r="D63" s="319" t="s">
        <v>1009</v>
      </c>
      <c r="E63" s="319" t="s">
        <v>1098</v>
      </c>
      <c r="F63" s="320">
        <f>+SUMIFS('TB Grouping'!F:F,'TB Grouping'!H:H,masterTBCY[[#This Row],[Note Line]])</f>
        <v>0</v>
      </c>
      <c r="G63" s="2562">
        <f ca="1">SUMIF('Additional &amp; Presentation Entry'!E:E,masterTBCY[[#This Row],[Note Line]],'Additional &amp; Presentation Entry'!G:G)</f>
        <v>0</v>
      </c>
      <c r="H63" s="2562">
        <f>SUMIF('Additional &amp; Presentation Entry'!L:L,masterTBCY[[#This Row],[Note Line]],'Additional &amp; Presentation Entry'!N:N)</f>
        <v>0</v>
      </c>
      <c r="I63" s="320">
        <f>+masterTBCY[[#This Row],[Amount as per TB]]+masterTBCY[[#This Row],[Presentation Entry]]</f>
        <v>0</v>
      </c>
      <c r="J63" s="320">
        <f>I63/'Master Data'!$C$25</f>
        <v>0</v>
      </c>
      <c r="K63" s="392" t="s">
        <v>998</v>
      </c>
      <c r="N63" s="399">
        <v>53</v>
      </c>
      <c r="O63" s="319" t="s">
        <v>763</v>
      </c>
      <c r="P63" s="319" t="s">
        <v>1009</v>
      </c>
      <c r="Q63" s="319" t="s">
        <v>1098</v>
      </c>
      <c r="R63" s="320">
        <f>SUMIF('TB Grouping'!$Q:$Q,'Master TB'!P63,'TB Grouping'!$O:$O)</f>
        <v>0</v>
      </c>
      <c r="S63" s="320">
        <f>SUMIF('Additional &amp; Presentation Entry'!Q:Q,masterTBCY[[#This Row],[Note Line]],'Additional &amp; Presentation Entry'!S:S)</f>
        <v>0</v>
      </c>
      <c r="T63" s="320">
        <f>SUMIF('Additional &amp; Presentation Entry'!X:X,masterTBCY[[#This Row],[Note Line]],'Additional &amp; Presentation Entry'!Z:Z)</f>
        <v>0</v>
      </c>
      <c r="U63" s="320">
        <f t="shared" si="1"/>
        <v>0</v>
      </c>
      <c r="V63" s="320">
        <f>U63/'Master Data'!$C$25</f>
        <v>0</v>
      </c>
      <c r="W63" s="400" t="str">
        <f t="shared" si="2"/>
        <v>Profit and Loss A/C</v>
      </c>
    </row>
    <row r="64" spans="2:23" x14ac:dyDescent="0.3">
      <c r="B64" s="678">
        <f t="shared" si="0"/>
        <v>54</v>
      </c>
      <c r="C64" s="319" t="s">
        <v>763</v>
      </c>
      <c r="D64" s="319" t="s">
        <v>769</v>
      </c>
      <c r="E64" s="319" t="s">
        <v>1099</v>
      </c>
      <c r="F64" s="320">
        <f>+SUMIFS('TB Grouping'!F:F,'TB Grouping'!H:H,masterTBCY[[#This Row],[Note Line]])</f>
        <v>0</v>
      </c>
      <c r="G64" s="2562">
        <f ca="1">SUMIF('Additional &amp; Presentation Entry'!E:E,masterTBCY[[#This Row],[Note Line]],'Additional &amp; Presentation Entry'!G:G)</f>
        <v>0</v>
      </c>
      <c r="H64" s="2562">
        <f>SUMIF('Additional &amp; Presentation Entry'!L:L,masterTBCY[[#This Row],[Note Line]],'Additional &amp; Presentation Entry'!N:N)</f>
        <v>0</v>
      </c>
      <c r="I64" s="320">
        <f>+masterTBCY[[#This Row],[Amount as per TB]]+masterTBCY[[#This Row],[Presentation Entry]]</f>
        <v>0</v>
      </c>
      <c r="J64" s="320">
        <f>I64/'Master Data'!$C$25</f>
        <v>0</v>
      </c>
      <c r="K64" s="392" t="s">
        <v>998</v>
      </c>
      <c r="N64" s="399">
        <v>54</v>
      </c>
      <c r="O64" s="319" t="s">
        <v>763</v>
      </c>
      <c r="P64" s="319" t="s">
        <v>769</v>
      </c>
      <c r="Q64" s="319" t="s">
        <v>1099</v>
      </c>
      <c r="R64" s="320">
        <f>SUMIF('TB Grouping'!$Q:$Q,'Master TB'!P64,'TB Grouping'!$O:$O)</f>
        <v>0</v>
      </c>
      <c r="S64" s="320">
        <f>SUMIF('Additional &amp; Presentation Entry'!Q:Q,masterTBCY[[#This Row],[Note Line]],'Additional &amp; Presentation Entry'!S:S)</f>
        <v>0</v>
      </c>
      <c r="T64" s="320">
        <f>SUMIF('Additional &amp; Presentation Entry'!X:X,masterTBCY[[#This Row],[Note Line]],'Additional &amp; Presentation Entry'!Z:Z)</f>
        <v>0</v>
      </c>
      <c r="U64" s="320">
        <f t="shared" si="1"/>
        <v>0</v>
      </c>
      <c r="V64" s="320">
        <f>U64/'Master Data'!$C$25</f>
        <v>0</v>
      </c>
      <c r="W64" s="400" t="str">
        <f t="shared" si="2"/>
        <v>Profit and Loss A/C</v>
      </c>
    </row>
    <row r="65" spans="2:23" x14ac:dyDescent="0.3">
      <c r="B65" s="678">
        <f t="shared" si="0"/>
        <v>55</v>
      </c>
      <c r="C65" s="319" t="s">
        <v>763</v>
      </c>
      <c r="D65" s="319" t="s">
        <v>237</v>
      </c>
      <c r="E65" s="319" t="s">
        <v>1100</v>
      </c>
      <c r="F65" s="320">
        <f>+SUMIFS('TB Grouping'!F:F,'TB Grouping'!H:H,masterTBCY[[#This Row],[Note Line]])</f>
        <v>0</v>
      </c>
      <c r="G65" s="2562">
        <f ca="1">SUMIF('Additional &amp; Presentation Entry'!E:E,masterTBCY[[#This Row],[Note Line]],'Additional &amp; Presentation Entry'!G:G)</f>
        <v>0</v>
      </c>
      <c r="H65" s="2562">
        <f>SUMIF('Additional &amp; Presentation Entry'!L:L,masterTBCY[[#This Row],[Note Line]],'Additional &amp; Presentation Entry'!N:N)</f>
        <v>0</v>
      </c>
      <c r="I65" s="320">
        <f>+masterTBCY[[#This Row],[Amount as per TB]]+masterTBCY[[#This Row],[Presentation Entry]]</f>
        <v>0</v>
      </c>
      <c r="J65" s="320">
        <f>I65/'Master Data'!$C$25</f>
        <v>0</v>
      </c>
      <c r="K65" s="392" t="s">
        <v>998</v>
      </c>
      <c r="N65" s="399">
        <v>55</v>
      </c>
      <c r="O65" s="319" t="s">
        <v>763</v>
      </c>
      <c r="P65" s="319" t="s">
        <v>237</v>
      </c>
      <c r="Q65" s="319" t="s">
        <v>1100</v>
      </c>
      <c r="R65" s="320">
        <f>SUMIF('TB Grouping'!$Q:$Q,'Master TB'!P65,'TB Grouping'!$O:$O)</f>
        <v>0</v>
      </c>
      <c r="S65" s="320">
        <f>SUMIF('Additional &amp; Presentation Entry'!Q:Q,masterTBCY[[#This Row],[Note Line]],'Additional &amp; Presentation Entry'!S:S)</f>
        <v>0</v>
      </c>
      <c r="T65" s="320">
        <f>SUMIF('Additional &amp; Presentation Entry'!X:X,masterTBCY[[#This Row],[Note Line]],'Additional &amp; Presentation Entry'!Z:Z)</f>
        <v>0</v>
      </c>
      <c r="U65" s="320">
        <f t="shared" si="1"/>
        <v>0</v>
      </c>
      <c r="V65" s="320">
        <f>U65/'Master Data'!$C$25</f>
        <v>0</v>
      </c>
      <c r="W65" s="400" t="str">
        <f t="shared" si="2"/>
        <v>Profit and Loss A/C</v>
      </c>
    </row>
    <row r="66" spans="2:23" x14ac:dyDescent="0.3">
      <c r="B66" s="678">
        <f t="shared" si="0"/>
        <v>56</v>
      </c>
      <c r="C66" s="319" t="s">
        <v>763</v>
      </c>
      <c r="D66" s="321" t="s">
        <v>765</v>
      </c>
      <c r="E66" s="29" t="s">
        <v>1102</v>
      </c>
      <c r="F66" s="320">
        <f>+SUMIFS('TB Grouping'!F:F,'TB Grouping'!H:H,masterTBCY[[#This Row],[Note Line]])</f>
        <v>255062.18</v>
      </c>
      <c r="G66" s="2562">
        <f ca="1">SUMIF('Additional &amp; Presentation Entry'!E:E,masterTBCY[[#This Row],[Note Line]],'Additional &amp; Presentation Entry'!G:G)</f>
        <v>0</v>
      </c>
      <c r="H66" s="2562">
        <f>SUMIF('Additional &amp; Presentation Entry'!L:L,masterTBCY[[#This Row],[Note Line]],'Additional &amp; Presentation Entry'!N:N)</f>
        <v>0</v>
      </c>
      <c r="I66" s="320">
        <f>+masterTBCY[[#This Row],[Amount as per TB]]+masterTBCY[[#This Row],[Presentation Entry]]</f>
        <v>255062.18</v>
      </c>
      <c r="J66" s="320">
        <f>I66/'Master Data'!$C$25</f>
        <v>2550.6217999999999</v>
      </c>
      <c r="K66" s="392" t="s">
        <v>998</v>
      </c>
      <c r="N66" s="399">
        <v>56</v>
      </c>
      <c r="O66" s="319" t="s">
        <v>763</v>
      </c>
      <c r="P66" s="321" t="s">
        <v>765</v>
      </c>
      <c r="Q66" s="29" t="s">
        <v>1102</v>
      </c>
      <c r="R66" s="320">
        <f>SUMIF('TB Grouping'!$Q:$Q,'Master TB'!P66,'TB Grouping'!$O:$O)</f>
        <v>300824.69</v>
      </c>
      <c r="S66" s="320">
        <f>SUMIF('Additional &amp; Presentation Entry'!Q:Q,masterTBCY[[#This Row],[Note Line]],'Additional &amp; Presentation Entry'!S:S)</f>
        <v>0</v>
      </c>
      <c r="T66" s="320">
        <f>SUMIF('Additional &amp; Presentation Entry'!X:X,masterTBCY[[#This Row],[Note Line]],'Additional &amp; Presentation Entry'!Z:Z)</f>
        <v>0</v>
      </c>
      <c r="U66" s="320">
        <f t="shared" si="1"/>
        <v>300824.69</v>
      </c>
      <c r="V66" s="320">
        <f>U66/'Master Data'!$C$25</f>
        <v>3008.2469000000001</v>
      </c>
      <c r="W66" s="400" t="str">
        <f>K83</f>
        <v>Profit and Loss A/C</v>
      </c>
    </row>
    <row r="67" spans="2:23" customFormat="1" x14ac:dyDescent="0.3">
      <c r="B67" s="678">
        <f t="shared" si="0"/>
        <v>57</v>
      </c>
      <c r="C67" s="319" t="s">
        <v>763</v>
      </c>
      <c r="D67" s="321" t="s">
        <v>987</v>
      </c>
      <c r="E67" s="29" t="s">
        <v>1103</v>
      </c>
      <c r="F67" s="320">
        <f>+SUMIFS('TB Grouping'!F:F,'TB Grouping'!H:H,masterTBCY[[#This Row],[Note Line]])</f>
        <v>171480</v>
      </c>
      <c r="G67" s="2562">
        <f ca="1">SUMIF('Additional &amp; Presentation Entry'!E:E,masterTBCY[[#This Row],[Note Line]],'Additional &amp; Presentation Entry'!G:G)</f>
        <v>128520</v>
      </c>
      <c r="H67" s="2562">
        <f>SUMIF('Additional &amp; Presentation Entry'!L:L,masterTBCY[[#This Row],[Note Line]],'Additional &amp; Presentation Entry'!N:N)</f>
        <v>393400</v>
      </c>
      <c r="I67" s="320">
        <f>+masterTBCY[[#This Row],[Amount as per TB]]+masterTBCY[[#This Row],[Presentation Entry]]</f>
        <v>564880</v>
      </c>
      <c r="J67" s="320">
        <f>I67/'Master Data'!$C$25</f>
        <v>5648.8</v>
      </c>
      <c r="K67" s="392" t="s">
        <v>998</v>
      </c>
      <c r="N67" s="399">
        <v>57</v>
      </c>
      <c r="O67" s="319" t="s">
        <v>763</v>
      </c>
      <c r="P67" s="321" t="s">
        <v>987</v>
      </c>
      <c r="Q67" s="29" t="s">
        <v>1103</v>
      </c>
      <c r="R67" s="320">
        <f>SUMIF('TB Grouping'!$Q:$Q,'Master TB'!P67,'TB Grouping'!$O:$O)</f>
        <v>1403529.96</v>
      </c>
      <c r="S67" s="320">
        <f>SUMIF('Additional &amp; Presentation Entry'!Q:Q,masterTBCY[[#This Row],[Note Line]],'Additional &amp; Presentation Entry'!S:S)</f>
        <v>0</v>
      </c>
      <c r="T67" s="320">
        <f>SUMIF('Additional &amp; Presentation Entry'!X:X,masterTBCY[[#This Row],[Note Line]],'Additional &amp; Presentation Entry'!Z:Z)</f>
        <v>0</v>
      </c>
      <c r="U67" s="320">
        <f t="shared" si="1"/>
        <v>1403529.96</v>
      </c>
      <c r="V67" s="320">
        <f>U67/'Master Data'!$C$25</f>
        <v>14035.2996</v>
      </c>
      <c r="W67" s="400" t="str">
        <f>K66</f>
        <v>Profit and Loss A/C</v>
      </c>
    </row>
    <row r="68" spans="2:23" customFormat="1" x14ac:dyDescent="0.3">
      <c r="B68" s="678">
        <f t="shared" si="0"/>
        <v>58</v>
      </c>
      <c r="C68" s="319" t="s">
        <v>763</v>
      </c>
      <c r="D68" s="321" t="s">
        <v>1665</v>
      </c>
      <c r="E68" s="29" t="s">
        <v>1104</v>
      </c>
      <c r="F68" s="320">
        <f>+SUMIFS('TB Grouping'!F:F,'TB Grouping'!H:H,masterTBCY[[#This Row],[Note Line]])</f>
        <v>0</v>
      </c>
      <c r="G68" s="2562">
        <f ca="1">SUMIF('Additional &amp; Presentation Entry'!E:E,masterTBCY[[#This Row],[Note Line]],'Additional &amp; Presentation Entry'!G:G)</f>
        <v>0</v>
      </c>
      <c r="H68" s="2562">
        <f>SUMIF('Additional &amp; Presentation Entry'!L:L,masterTBCY[[#This Row],[Note Line]],'Additional &amp; Presentation Entry'!N:N)</f>
        <v>0</v>
      </c>
      <c r="I68" s="320">
        <f>+masterTBCY[[#This Row],[Amount as per TB]]+masterTBCY[[#This Row],[Presentation Entry]]</f>
        <v>0</v>
      </c>
      <c r="J68" s="320">
        <f>I68/'Master Data'!$C$25</f>
        <v>0</v>
      </c>
      <c r="K68" s="392" t="s">
        <v>998</v>
      </c>
      <c r="N68" s="399">
        <v>58</v>
      </c>
      <c r="O68" s="319" t="s">
        <v>763</v>
      </c>
      <c r="P68" s="321" t="s">
        <v>1665</v>
      </c>
      <c r="Q68" s="29" t="s">
        <v>1104</v>
      </c>
      <c r="R68" s="320">
        <f>SUMIF('TB Grouping'!$Q:$Q,'Master TB'!P68,'TB Grouping'!$O:$O)</f>
        <v>0</v>
      </c>
      <c r="S68" s="320">
        <f>SUMIF('Additional &amp; Presentation Entry'!Q:Q,masterTBCY[[#This Row],[Note Line]],'Additional &amp; Presentation Entry'!S:S)</f>
        <v>0</v>
      </c>
      <c r="T68" s="320">
        <f>SUMIF('Additional &amp; Presentation Entry'!X:X,masterTBCY[[#This Row],[Note Line]],'Additional &amp; Presentation Entry'!Z:Z)</f>
        <v>0</v>
      </c>
      <c r="U68" s="320">
        <f t="shared" si="1"/>
        <v>0</v>
      </c>
      <c r="V68" s="320">
        <f>U68/'Master Data'!$C$25</f>
        <v>0</v>
      </c>
      <c r="W68" s="400" t="str">
        <f>K67</f>
        <v>Profit and Loss A/C</v>
      </c>
    </row>
    <row r="69" spans="2:23" customFormat="1" x14ac:dyDescent="0.3">
      <c r="B69" s="678">
        <f t="shared" si="0"/>
        <v>59</v>
      </c>
      <c r="C69" s="396" t="s">
        <v>763</v>
      </c>
      <c r="D69" s="397" t="s">
        <v>770</v>
      </c>
      <c r="E69" s="398" t="s">
        <v>1105</v>
      </c>
      <c r="F69" s="320">
        <f>+SUMIFS('TB Grouping'!F:F,'TB Grouping'!H:H,masterTBCY[[#This Row],[Note Line]])</f>
        <v>0</v>
      </c>
      <c r="G69" s="2562">
        <f ca="1">SUMIF('Additional &amp; Presentation Entry'!E:E,masterTBCY[[#This Row],[Note Line]],'Additional &amp; Presentation Entry'!G:G)</f>
        <v>0</v>
      </c>
      <c r="H69" s="2562">
        <f>SUMIF('Additional &amp; Presentation Entry'!L:L,masterTBCY[[#This Row],[Note Line]],'Additional &amp; Presentation Entry'!N:N)</f>
        <v>0</v>
      </c>
      <c r="I69" s="320">
        <f>+masterTBCY[[#This Row],[Amount as per TB]]+masterTBCY[[#This Row],[Presentation Entry]]</f>
        <v>0</v>
      </c>
      <c r="J69" s="320">
        <f>I69/'Master Data'!$C$25</f>
        <v>0</v>
      </c>
      <c r="K69" s="392" t="s">
        <v>998</v>
      </c>
      <c r="N69" s="399">
        <v>59</v>
      </c>
      <c r="O69" s="396" t="s">
        <v>763</v>
      </c>
      <c r="P69" s="397" t="s">
        <v>770</v>
      </c>
      <c r="Q69" s="398" t="s">
        <v>1105</v>
      </c>
      <c r="R69" s="320">
        <f>SUMIF('TB Grouping'!$Q:$Q,'Master TB'!P69,'TB Grouping'!$O:$O)</f>
        <v>0</v>
      </c>
      <c r="S69" s="320">
        <f>SUMIF('Additional &amp; Presentation Entry'!Q:Q,masterTBCY[[#This Row],[Note Line]],'Additional &amp; Presentation Entry'!S:S)</f>
        <v>0</v>
      </c>
      <c r="T69" s="320">
        <f>SUMIF('Additional &amp; Presentation Entry'!X:X,masterTBCY[[#This Row],[Note Line]],'Additional &amp; Presentation Entry'!Z:Z)</f>
        <v>0</v>
      </c>
      <c r="U69" s="320">
        <f t="shared" si="1"/>
        <v>0</v>
      </c>
      <c r="V69" s="320">
        <f>U69/'Master Data'!$C$25</f>
        <v>0</v>
      </c>
      <c r="W69" s="400" t="str">
        <f>K68</f>
        <v>Profit and Loss A/C</v>
      </c>
    </row>
    <row r="70" spans="2:23" customFormat="1" x14ac:dyDescent="0.3">
      <c r="B70" s="678">
        <f t="shared" si="0"/>
        <v>60</v>
      </c>
      <c r="C70" s="396" t="s">
        <v>763</v>
      </c>
      <c r="D70" s="397" t="s">
        <v>2868</v>
      </c>
      <c r="E70" s="398" t="s">
        <v>1753</v>
      </c>
      <c r="F70" s="320">
        <f>+SUMIFS('TB Grouping'!F:F,'TB Grouping'!H:H,masterTBCY[[#This Row],[Note Line]])</f>
        <v>124182.17</v>
      </c>
      <c r="G70" s="2562">
        <f ca="1">SUMIF('Additional &amp; Presentation Entry'!E:E,masterTBCY[[#This Row],[Note Line]],'Additional &amp; Presentation Entry'!G:G)</f>
        <v>7794.2506849315105</v>
      </c>
      <c r="H70" s="2562">
        <f>SUMIF('Additional &amp; Presentation Entry'!L:L,masterTBCY[[#This Row],[Note Line]],'Additional &amp; Presentation Entry'!N:N)</f>
        <v>0</v>
      </c>
      <c r="I70" s="320">
        <f>+masterTBCY[[#This Row],[Amount as per TB]]+masterTBCY[[#This Row],[Presentation Entry]]</f>
        <v>124182.17</v>
      </c>
      <c r="J70" s="320">
        <f>I70/'Master Data'!$C$25</f>
        <v>1241.8217</v>
      </c>
      <c r="K70" s="392" t="s">
        <v>998</v>
      </c>
      <c r="N70" s="399">
        <v>60</v>
      </c>
      <c r="O70" s="396" t="s">
        <v>763</v>
      </c>
      <c r="P70" s="397" t="s">
        <v>2868</v>
      </c>
      <c r="Q70" s="398" t="s">
        <v>1753</v>
      </c>
      <c r="R70" s="320">
        <f>SUMIF('TB Grouping'!$Q:$Q,'Master TB'!P70,'TB Grouping'!$O:$O)</f>
        <v>146295.60999999999</v>
      </c>
      <c r="S70" s="320">
        <f>SUMIF('Additional &amp; Presentation Entry'!Q:Q,masterTBCY[[#This Row],[Note Line]],'Additional &amp; Presentation Entry'!S:S)</f>
        <v>0</v>
      </c>
      <c r="T70" s="320">
        <f>SUMIF('Additional &amp; Presentation Entry'!X:X,masterTBCY[[#This Row],[Note Line]],'Additional &amp; Presentation Entry'!Z:Z)</f>
        <v>0</v>
      </c>
      <c r="U70" s="320">
        <f t="shared" si="1"/>
        <v>146295.60999999999</v>
      </c>
      <c r="V70" s="320">
        <f>U70/'Master Data'!$C$25</f>
        <v>1462.9560999999999</v>
      </c>
      <c r="W70" s="400" t="str">
        <f>K69</f>
        <v>Profit and Loss A/C</v>
      </c>
    </row>
    <row r="71" spans="2:23" x14ac:dyDescent="0.3">
      <c r="B71" s="678">
        <f t="shared" si="0"/>
        <v>61</v>
      </c>
      <c r="C71" s="319" t="s">
        <v>763</v>
      </c>
      <c r="D71" s="396" t="str">
        <f>+'Qualitative Disclosures'!C637</f>
        <v>Foreign Exchange Loss/Gain</v>
      </c>
      <c r="E71" s="396" t="s">
        <v>1989</v>
      </c>
      <c r="F71" s="320">
        <f>+SUMIFS('TB Grouping'!F:F,'TB Grouping'!H:H,masterTBCY[[#This Row],[Note Line]])</f>
        <v>837702.8</v>
      </c>
      <c r="G71" s="2562">
        <f ca="1">SUMIF('Additional &amp; Presentation Entry'!E:E,masterTBCY[[#This Row],[Note Line]],'Additional &amp; Presentation Entry'!G:G)</f>
        <v>586061.87943400245</v>
      </c>
      <c r="H71" s="2562">
        <f>SUMIF('Additional &amp; Presentation Entry'!L:L,masterTBCY[[#This Row],[Note Line]],'Additional &amp; Presentation Entry'!N:N)</f>
        <v>0</v>
      </c>
      <c r="I71" s="320">
        <f>+masterTBCY[[#This Row],[Amount as per TB]]+masterTBCY[[#This Row],[Presentation Entry]]</f>
        <v>837702.8</v>
      </c>
      <c r="J71" s="320">
        <f>I71/'Master Data'!$C$25</f>
        <v>8377.0280000000002</v>
      </c>
      <c r="K71" s="392" t="s">
        <v>998</v>
      </c>
      <c r="N71" s="399">
        <v>61</v>
      </c>
      <c r="O71" s="319" t="s">
        <v>763</v>
      </c>
      <c r="P71" s="396" t="str">
        <f>+masterTBCY[[#This Row],[Note Line]]</f>
        <v>Foreign Exchange Loss/Gain</v>
      </c>
      <c r="Q71" s="396" t="s">
        <v>1989</v>
      </c>
      <c r="R71" s="320">
        <f>SUMIF('TB Grouping'!$Q:$Q,'Master TB'!P71,'TB Grouping'!$O:$O)</f>
        <v>4754079.5199999996</v>
      </c>
      <c r="S71" s="320">
        <f>SUMIF('Additional &amp; Presentation Entry'!Q:Q,masterTBCY[[#This Row],[Note Line]],'Additional &amp; Presentation Entry'!S:S)</f>
        <v>0</v>
      </c>
      <c r="T71" s="320">
        <f>SUMIF('Additional &amp; Presentation Entry'!X:X,masterTBCY[[#This Row],[Note Line]],'Additional &amp; Presentation Entry'!Z:Z)</f>
        <v>0</v>
      </c>
      <c r="U71" s="320">
        <f t="shared" si="1"/>
        <v>4754079.5199999996</v>
      </c>
      <c r="V71" s="320">
        <f>U71/'Master Data'!$C$25</f>
        <v>47540.795199999993</v>
      </c>
      <c r="W71" s="400" t="str">
        <f>K70</f>
        <v>Profit and Loss A/C</v>
      </c>
    </row>
    <row r="72" spans="2:23" x14ac:dyDescent="0.3">
      <c r="B72" s="678">
        <f t="shared" si="0"/>
        <v>62</v>
      </c>
      <c r="C72" s="319" t="s">
        <v>763</v>
      </c>
      <c r="D72" s="396">
        <f>+'Qualitative Disclosures'!C638</f>
        <v>0</v>
      </c>
      <c r="E72" s="396" t="s">
        <v>1990</v>
      </c>
      <c r="F72" s="320">
        <f>+SUMIFS('TB Grouping'!F:F,'TB Grouping'!H:H,masterTBCY[[#This Row],[Note Line]])</f>
        <v>0</v>
      </c>
      <c r="G72" s="2562">
        <f ca="1">SUMIF('Additional &amp; Presentation Entry'!E:E,masterTBCY[[#This Row],[Note Line]],'Additional &amp; Presentation Entry'!G:G)</f>
        <v>0</v>
      </c>
      <c r="H72" s="2562">
        <f>SUMIF('Additional &amp; Presentation Entry'!L:L,masterTBCY[[#This Row],[Note Line]],'Additional &amp; Presentation Entry'!N:N)</f>
        <v>0</v>
      </c>
      <c r="I72" s="320">
        <f>+masterTBCY[[#This Row],[Amount as per TB]]+masterTBCY[[#This Row],[Presentation Entry]]</f>
        <v>0</v>
      </c>
      <c r="J72" s="320">
        <f>I72/'Master Data'!$C$25</f>
        <v>0</v>
      </c>
      <c r="K72" s="392" t="s">
        <v>998</v>
      </c>
      <c r="N72" s="399">
        <v>62</v>
      </c>
      <c r="O72" s="319" t="s">
        <v>763</v>
      </c>
      <c r="P72" s="396">
        <f>+masterTBCY[[#This Row],[Note Line]]</f>
        <v>0</v>
      </c>
      <c r="Q72" s="396" t="s">
        <v>1990</v>
      </c>
      <c r="R72" s="320">
        <f>SUMIF('TB Grouping'!$Q:$Q,'Master TB'!P72,'TB Grouping'!$O:$O)</f>
        <v>0</v>
      </c>
      <c r="S72" s="320">
        <f>SUMIF('Additional &amp; Presentation Entry'!Q:Q,masterTBCY[[#This Row],[Note Line]],'Additional &amp; Presentation Entry'!S:S)</f>
        <v>0</v>
      </c>
      <c r="T72" s="320">
        <f>SUMIF('Additional &amp; Presentation Entry'!X:X,masterTBCY[[#This Row],[Note Line]],'Additional &amp; Presentation Entry'!Z:Z)</f>
        <v>0</v>
      </c>
      <c r="U72" s="320">
        <f t="shared" ref="U72:U81" si="3">SUM(R72:T72)</f>
        <v>0</v>
      </c>
      <c r="V72" s="320">
        <f>U72/'Master Data'!$C$25</f>
        <v>0</v>
      </c>
      <c r="W72" s="400" t="str">
        <f>K72</f>
        <v>Profit and Loss A/C</v>
      </c>
    </row>
    <row r="73" spans="2:23" x14ac:dyDescent="0.3">
      <c r="B73" s="678">
        <f t="shared" si="0"/>
        <v>63</v>
      </c>
      <c r="C73" s="319" t="s">
        <v>763</v>
      </c>
      <c r="D73" s="396">
        <f>+'Qualitative Disclosures'!C639</f>
        <v>0</v>
      </c>
      <c r="E73" s="396" t="s">
        <v>1991</v>
      </c>
      <c r="F73" s="320">
        <f>+SUMIFS('TB Grouping'!F:F,'TB Grouping'!H:H,masterTBCY[[#This Row],[Note Line]])</f>
        <v>0</v>
      </c>
      <c r="G73" s="2562">
        <f ca="1">SUMIF('Additional &amp; Presentation Entry'!E:E,masterTBCY[[#This Row],[Note Line]],'Additional &amp; Presentation Entry'!G:G)</f>
        <v>0</v>
      </c>
      <c r="H73" s="2562">
        <f>SUMIF('Additional &amp; Presentation Entry'!L:L,masterTBCY[[#This Row],[Note Line]],'Additional &amp; Presentation Entry'!N:N)</f>
        <v>0</v>
      </c>
      <c r="I73" s="320">
        <f>+masterTBCY[[#This Row],[Amount as per TB]]+masterTBCY[[#This Row],[Presentation Entry]]</f>
        <v>0</v>
      </c>
      <c r="J73" s="320">
        <f>I73/'Master Data'!$C$25</f>
        <v>0</v>
      </c>
      <c r="K73" s="392" t="s">
        <v>998</v>
      </c>
      <c r="N73" s="399">
        <v>63</v>
      </c>
      <c r="O73" s="319" t="s">
        <v>763</v>
      </c>
      <c r="P73" s="396">
        <f>+masterTBCY[[#This Row],[Note Line]]</f>
        <v>0</v>
      </c>
      <c r="Q73" s="396" t="s">
        <v>1991</v>
      </c>
      <c r="R73" s="320">
        <f>SUMIF('TB Grouping'!$Q:$Q,'Master TB'!P73,'TB Grouping'!$O:$O)</f>
        <v>0</v>
      </c>
      <c r="S73" s="320">
        <f>SUMIF('Additional &amp; Presentation Entry'!Q:Q,masterTBCY[[#This Row],[Note Line]],'Additional &amp; Presentation Entry'!S:S)</f>
        <v>0</v>
      </c>
      <c r="T73" s="320">
        <f>SUMIF('Additional &amp; Presentation Entry'!X:X,masterTBCY[[#This Row],[Note Line]],'Additional &amp; Presentation Entry'!Z:Z)</f>
        <v>0</v>
      </c>
      <c r="U73" s="320">
        <f t="shared" si="3"/>
        <v>0</v>
      </c>
      <c r="V73" s="320">
        <f>U73/'Master Data'!$C$25</f>
        <v>0</v>
      </c>
      <c r="W73" s="400" t="str">
        <f>K72</f>
        <v>Profit and Loss A/C</v>
      </c>
    </row>
    <row r="74" spans="2:23" x14ac:dyDescent="0.3">
      <c r="B74" s="678">
        <f t="shared" si="0"/>
        <v>64</v>
      </c>
      <c r="C74" s="319" t="s">
        <v>763</v>
      </c>
      <c r="D74" s="396" t="str">
        <f>+'Qualitative Disclosures'!C640</f>
        <v>dosbv</v>
      </c>
      <c r="E74" s="396" t="s">
        <v>1992</v>
      </c>
      <c r="F74" s="320">
        <f>+SUMIFS('TB Grouping'!F:F,'TB Grouping'!H:H,masterTBCY[[#This Row],[Note Line]])</f>
        <v>0</v>
      </c>
      <c r="G74" s="2562">
        <f ca="1">SUMIF('Additional &amp; Presentation Entry'!E:E,masterTBCY[[#This Row],[Note Line]],'Additional &amp; Presentation Entry'!G:G)</f>
        <v>0</v>
      </c>
      <c r="H74" s="2562">
        <f>SUMIF('Additional &amp; Presentation Entry'!L:L,masterTBCY[[#This Row],[Note Line]],'Additional &amp; Presentation Entry'!N:N)</f>
        <v>0</v>
      </c>
      <c r="I74" s="320">
        <f>+masterTBCY[[#This Row],[Amount as per TB]]+masterTBCY[[#This Row],[Presentation Entry]]</f>
        <v>0</v>
      </c>
      <c r="J74" s="320">
        <f>I74/'Master Data'!$C$25</f>
        <v>0</v>
      </c>
      <c r="K74" s="392" t="s">
        <v>998</v>
      </c>
      <c r="N74" s="399">
        <v>64</v>
      </c>
      <c r="O74" s="319" t="s">
        <v>763</v>
      </c>
      <c r="P74" s="396" t="str">
        <f>+masterTBCY[[#This Row],[Note Line]]</f>
        <v>dosbv</v>
      </c>
      <c r="Q74" s="396" t="s">
        <v>1992</v>
      </c>
      <c r="R74" s="320">
        <f>SUMIF('TB Grouping'!$Q:$Q,'Master TB'!P74,'TB Grouping'!$O:$O)</f>
        <v>0</v>
      </c>
      <c r="S74" s="320">
        <f>SUMIF('Additional &amp; Presentation Entry'!Q:Q,masterTBCY[[#This Row],[Note Line]],'Additional &amp; Presentation Entry'!S:S)</f>
        <v>0</v>
      </c>
      <c r="T74" s="320">
        <f>SUMIF('Additional &amp; Presentation Entry'!X:X,masterTBCY[[#This Row],[Note Line]],'Additional &amp; Presentation Entry'!Z:Z)</f>
        <v>0</v>
      </c>
      <c r="U74" s="320">
        <f t="shared" si="3"/>
        <v>0</v>
      </c>
      <c r="V74" s="320">
        <f>U74/'Master Data'!$C$25</f>
        <v>0</v>
      </c>
      <c r="W74" s="400" t="str">
        <f>K72</f>
        <v>Profit and Loss A/C</v>
      </c>
    </row>
    <row r="75" spans="2:23" x14ac:dyDescent="0.3">
      <c r="B75" s="678">
        <f t="shared" si="0"/>
        <v>65</v>
      </c>
      <c r="C75" s="319" t="s">
        <v>763</v>
      </c>
      <c r="D75" s="396">
        <f>+'Qualitative Disclosures'!C641</f>
        <v>0</v>
      </c>
      <c r="E75" s="396" t="s">
        <v>1993</v>
      </c>
      <c r="F75" s="320">
        <f>+SUMIFS('TB Grouping'!F:F,'TB Grouping'!H:H,masterTBCY[[#This Row],[Note Line]])</f>
        <v>0</v>
      </c>
      <c r="G75" s="2562">
        <f ca="1">SUMIF('Additional &amp; Presentation Entry'!E:E,masterTBCY[[#This Row],[Note Line]],'Additional &amp; Presentation Entry'!G:G)</f>
        <v>0</v>
      </c>
      <c r="H75" s="2562">
        <f>SUMIF('Additional &amp; Presentation Entry'!L:L,masterTBCY[[#This Row],[Note Line]],'Additional &amp; Presentation Entry'!N:N)</f>
        <v>0</v>
      </c>
      <c r="I75" s="320">
        <f>+masterTBCY[[#This Row],[Amount as per TB]]+masterTBCY[[#This Row],[Presentation Entry]]</f>
        <v>0</v>
      </c>
      <c r="J75" s="320">
        <f>I75/'Master Data'!$C$25</f>
        <v>0</v>
      </c>
      <c r="K75" s="392" t="s">
        <v>998</v>
      </c>
      <c r="N75" s="399">
        <v>65</v>
      </c>
      <c r="O75" s="319" t="s">
        <v>763</v>
      </c>
      <c r="P75" s="396">
        <f>+masterTBCY[[#This Row],[Note Line]]</f>
        <v>0</v>
      </c>
      <c r="Q75" s="396" t="s">
        <v>1993</v>
      </c>
      <c r="R75" s="320">
        <f>SUMIF('TB Grouping'!$Q:$Q,'Master TB'!P75,'TB Grouping'!$O:$O)</f>
        <v>0</v>
      </c>
      <c r="S75" s="320">
        <f>SUMIF('Additional &amp; Presentation Entry'!Q:Q,masterTBCY[[#This Row],[Note Line]],'Additional &amp; Presentation Entry'!S:S)</f>
        <v>0</v>
      </c>
      <c r="T75" s="320">
        <f>SUMIF('Additional &amp; Presentation Entry'!X:X,masterTBCY[[#This Row],[Note Line]],'Additional &amp; Presentation Entry'!Z:Z)</f>
        <v>0</v>
      </c>
      <c r="U75" s="320">
        <f t="shared" si="3"/>
        <v>0</v>
      </c>
      <c r="V75" s="320">
        <f>U75/'Master Data'!$C$25</f>
        <v>0</v>
      </c>
      <c r="W75" s="400" t="str">
        <f>K72</f>
        <v>Profit and Loss A/C</v>
      </c>
    </row>
    <row r="76" spans="2:23" x14ac:dyDescent="0.3">
      <c r="B76" s="678">
        <f t="shared" ref="B76:B139" si="4">+B75+1</f>
        <v>66</v>
      </c>
      <c r="C76" s="319" t="s">
        <v>763</v>
      </c>
      <c r="D76" s="396">
        <f>+'Qualitative Disclosures'!C642</f>
        <v>0</v>
      </c>
      <c r="E76" s="396" t="s">
        <v>1994</v>
      </c>
      <c r="F76" s="320">
        <f>+SUMIFS('TB Grouping'!F:F,'TB Grouping'!H:H,masterTBCY[[#This Row],[Note Line]])</f>
        <v>0</v>
      </c>
      <c r="G76" s="2562">
        <f ca="1">SUMIF('Additional &amp; Presentation Entry'!E:E,masterTBCY[[#This Row],[Note Line]],'Additional &amp; Presentation Entry'!G:G)</f>
        <v>0</v>
      </c>
      <c r="H76" s="2562">
        <f>SUMIF('Additional &amp; Presentation Entry'!L:L,masterTBCY[[#This Row],[Note Line]],'Additional &amp; Presentation Entry'!N:N)</f>
        <v>0</v>
      </c>
      <c r="I76" s="320">
        <f>+masterTBCY[[#This Row],[Amount as per TB]]+masterTBCY[[#This Row],[Presentation Entry]]</f>
        <v>0</v>
      </c>
      <c r="J76" s="320">
        <f>I76/'Master Data'!$C$25</f>
        <v>0</v>
      </c>
      <c r="K76" s="392" t="s">
        <v>998</v>
      </c>
      <c r="N76" s="399">
        <v>66</v>
      </c>
      <c r="O76" s="319" t="s">
        <v>763</v>
      </c>
      <c r="P76" s="396">
        <f>+masterTBCY[[#This Row],[Note Line]]</f>
        <v>0</v>
      </c>
      <c r="Q76" s="396" t="s">
        <v>1994</v>
      </c>
      <c r="R76" s="320">
        <f>SUMIF('TB Grouping'!$Q:$Q,'Master TB'!P76,'TB Grouping'!$O:$O)</f>
        <v>0</v>
      </c>
      <c r="S76" s="320">
        <f>SUMIF('Additional &amp; Presentation Entry'!Q:Q,masterTBCY[[#This Row],[Note Line]],'Additional &amp; Presentation Entry'!S:S)</f>
        <v>0</v>
      </c>
      <c r="T76" s="320">
        <f>SUMIF('Additional &amp; Presentation Entry'!X:X,masterTBCY[[#This Row],[Note Line]],'Additional &amp; Presentation Entry'!Z:Z)</f>
        <v>0</v>
      </c>
      <c r="U76" s="320">
        <f t="shared" si="3"/>
        <v>0</v>
      </c>
      <c r="V76" s="320">
        <f>U76/'Master Data'!$C$25</f>
        <v>0</v>
      </c>
      <c r="W76" s="400" t="str">
        <f>K72</f>
        <v>Profit and Loss A/C</v>
      </c>
    </row>
    <row r="77" spans="2:23" x14ac:dyDescent="0.3">
      <c r="B77" s="678">
        <f t="shared" si="4"/>
        <v>67</v>
      </c>
      <c r="C77" s="319" t="s">
        <v>763</v>
      </c>
      <c r="D77" s="396">
        <f>+'Qualitative Disclosures'!C643</f>
        <v>0</v>
      </c>
      <c r="E77" s="396" t="s">
        <v>1995</v>
      </c>
      <c r="F77" s="320">
        <f>+SUMIFS('TB Grouping'!F:F,'TB Grouping'!H:H,masterTBCY[[#This Row],[Note Line]])</f>
        <v>0</v>
      </c>
      <c r="G77" s="2562">
        <f ca="1">SUMIF('Additional &amp; Presentation Entry'!E:E,masterTBCY[[#This Row],[Note Line]],'Additional &amp; Presentation Entry'!G:G)</f>
        <v>0</v>
      </c>
      <c r="H77" s="2562">
        <f>SUMIF('Additional &amp; Presentation Entry'!L:L,masterTBCY[[#This Row],[Note Line]],'Additional &amp; Presentation Entry'!N:N)</f>
        <v>0</v>
      </c>
      <c r="I77" s="320">
        <f>+masterTBCY[[#This Row],[Amount as per TB]]+masterTBCY[[#This Row],[Presentation Entry]]</f>
        <v>0</v>
      </c>
      <c r="J77" s="320">
        <f>I77/'Master Data'!$C$25</f>
        <v>0</v>
      </c>
      <c r="K77" s="392" t="s">
        <v>998</v>
      </c>
      <c r="N77" s="399">
        <v>67</v>
      </c>
      <c r="O77" s="319" t="s">
        <v>763</v>
      </c>
      <c r="P77" s="396">
        <f>+masterTBCY[[#This Row],[Note Line]]</f>
        <v>0</v>
      </c>
      <c r="Q77" s="396" t="s">
        <v>1995</v>
      </c>
      <c r="R77" s="320">
        <f>SUMIF('TB Grouping'!$Q:$Q,'Master TB'!P77,'TB Grouping'!$O:$O)</f>
        <v>0</v>
      </c>
      <c r="S77" s="320">
        <f>SUMIF('Additional &amp; Presentation Entry'!Q:Q,masterTBCY[[#This Row],[Note Line]],'Additional &amp; Presentation Entry'!S:S)</f>
        <v>0</v>
      </c>
      <c r="T77" s="320">
        <f>SUMIF('Additional &amp; Presentation Entry'!X:X,masterTBCY[[#This Row],[Note Line]],'Additional &amp; Presentation Entry'!Z:Z)</f>
        <v>0</v>
      </c>
      <c r="U77" s="320">
        <f t="shared" si="3"/>
        <v>0</v>
      </c>
      <c r="V77" s="320">
        <f>U77/'Master Data'!$C$25</f>
        <v>0</v>
      </c>
      <c r="W77" s="400" t="str">
        <f>K72</f>
        <v>Profit and Loss A/C</v>
      </c>
    </row>
    <row r="78" spans="2:23" x14ac:dyDescent="0.3">
      <c r="B78" s="678">
        <f t="shared" si="4"/>
        <v>68</v>
      </c>
      <c r="C78" s="319" t="s">
        <v>763</v>
      </c>
      <c r="D78" s="396">
        <f>+'Qualitative Disclosures'!C644</f>
        <v>0</v>
      </c>
      <c r="E78" s="396" t="s">
        <v>1996</v>
      </c>
      <c r="F78" s="320">
        <f>+SUMIFS('TB Grouping'!F:F,'TB Grouping'!H:H,masterTBCY[[#This Row],[Note Line]])</f>
        <v>0</v>
      </c>
      <c r="G78" s="2562">
        <f ca="1">SUMIF('Additional &amp; Presentation Entry'!E:E,masterTBCY[[#This Row],[Note Line]],'Additional &amp; Presentation Entry'!G:G)</f>
        <v>0</v>
      </c>
      <c r="H78" s="2562">
        <f>SUMIF('Additional &amp; Presentation Entry'!L:L,masterTBCY[[#This Row],[Note Line]],'Additional &amp; Presentation Entry'!N:N)</f>
        <v>0</v>
      </c>
      <c r="I78" s="320">
        <f>+masterTBCY[[#This Row],[Amount as per TB]]+masterTBCY[[#This Row],[Presentation Entry]]</f>
        <v>0</v>
      </c>
      <c r="J78" s="320">
        <f>I78/'Master Data'!$C$25</f>
        <v>0</v>
      </c>
      <c r="K78" s="392" t="s">
        <v>998</v>
      </c>
      <c r="N78" s="399">
        <v>68</v>
      </c>
      <c r="O78" s="319" t="s">
        <v>763</v>
      </c>
      <c r="P78" s="396">
        <f>+masterTBCY[[#This Row],[Note Line]]</f>
        <v>0</v>
      </c>
      <c r="Q78" s="396" t="s">
        <v>1996</v>
      </c>
      <c r="R78" s="320">
        <f>SUMIF('TB Grouping'!$Q:$Q,'Master TB'!P78,'TB Grouping'!$O:$O)</f>
        <v>0</v>
      </c>
      <c r="S78" s="320">
        <f>SUMIF('Additional &amp; Presentation Entry'!Q:Q,masterTBCY[[#This Row],[Note Line]],'Additional &amp; Presentation Entry'!S:S)</f>
        <v>0</v>
      </c>
      <c r="T78" s="320">
        <f>SUMIF('Additional &amp; Presentation Entry'!X:X,masterTBCY[[#This Row],[Note Line]],'Additional &amp; Presentation Entry'!Z:Z)</f>
        <v>0</v>
      </c>
      <c r="U78" s="320">
        <f t="shared" si="3"/>
        <v>0</v>
      </c>
      <c r="V78" s="320">
        <f>U78/'Master Data'!$C$25</f>
        <v>0</v>
      </c>
      <c r="W78" s="400" t="str">
        <f>K72</f>
        <v>Profit and Loss A/C</v>
      </c>
    </row>
    <row r="79" spans="2:23" x14ac:dyDescent="0.3">
      <c r="B79" s="678">
        <f t="shared" si="4"/>
        <v>69</v>
      </c>
      <c r="C79" s="319" t="s">
        <v>763</v>
      </c>
      <c r="D79" s="396">
        <f>+'Qualitative Disclosures'!C645</f>
        <v>0</v>
      </c>
      <c r="E79" s="396" t="s">
        <v>1997</v>
      </c>
      <c r="F79" s="320">
        <f>+SUMIFS('TB Grouping'!F:F,'TB Grouping'!H:H,masterTBCY[[#This Row],[Note Line]])</f>
        <v>0</v>
      </c>
      <c r="G79" s="2562">
        <f ca="1">SUMIF('Additional &amp; Presentation Entry'!E:E,masterTBCY[[#This Row],[Note Line]],'Additional &amp; Presentation Entry'!G:G)</f>
        <v>0</v>
      </c>
      <c r="H79" s="2562">
        <f>SUMIF('Additional &amp; Presentation Entry'!L:L,masterTBCY[[#This Row],[Note Line]],'Additional &amp; Presentation Entry'!N:N)</f>
        <v>0</v>
      </c>
      <c r="I79" s="320">
        <f>+masterTBCY[[#This Row],[Amount as per TB]]+masterTBCY[[#This Row],[Presentation Entry]]</f>
        <v>0</v>
      </c>
      <c r="J79" s="320">
        <f>I79/'Master Data'!$C$25</f>
        <v>0</v>
      </c>
      <c r="K79" s="392" t="s">
        <v>998</v>
      </c>
      <c r="N79" s="399">
        <v>69</v>
      </c>
      <c r="O79" s="319" t="s">
        <v>763</v>
      </c>
      <c r="P79" s="396">
        <f>+masterTBCY[[#This Row],[Note Line]]</f>
        <v>0</v>
      </c>
      <c r="Q79" s="396" t="s">
        <v>1997</v>
      </c>
      <c r="R79" s="320">
        <f>SUMIF('TB Grouping'!$Q:$Q,'Master TB'!P79,'TB Grouping'!$O:$O)</f>
        <v>0</v>
      </c>
      <c r="S79" s="320">
        <f>SUMIF('Additional &amp; Presentation Entry'!Q:Q,masterTBCY[[#This Row],[Note Line]],'Additional &amp; Presentation Entry'!S:S)</f>
        <v>0</v>
      </c>
      <c r="T79" s="320">
        <f>SUMIF('Additional &amp; Presentation Entry'!X:X,masterTBCY[[#This Row],[Note Line]],'Additional &amp; Presentation Entry'!Z:Z)</f>
        <v>0</v>
      </c>
      <c r="U79" s="320">
        <f t="shared" si="3"/>
        <v>0</v>
      </c>
      <c r="V79" s="320">
        <f>U79/'Master Data'!$C$25</f>
        <v>0</v>
      </c>
      <c r="W79" s="400" t="str">
        <f>K72</f>
        <v>Profit and Loss A/C</v>
      </c>
    </row>
    <row r="80" spans="2:23" x14ac:dyDescent="0.3">
      <c r="B80" s="678">
        <f t="shared" si="4"/>
        <v>70</v>
      </c>
      <c r="C80" s="319" t="s">
        <v>763</v>
      </c>
      <c r="D80" s="396">
        <f>+'Qualitative Disclosures'!C646</f>
        <v>0</v>
      </c>
      <c r="E80" s="396" t="s">
        <v>1998</v>
      </c>
      <c r="F80" s="320">
        <f>+SUMIFS('TB Grouping'!F:F,'TB Grouping'!H:H,masterTBCY[[#This Row],[Note Line]])</f>
        <v>0</v>
      </c>
      <c r="G80" s="2562">
        <f ca="1">SUMIF('Additional &amp; Presentation Entry'!E:E,masterTBCY[[#This Row],[Note Line]],'Additional &amp; Presentation Entry'!G:G)</f>
        <v>0</v>
      </c>
      <c r="H80" s="2562">
        <f>SUMIF('Additional &amp; Presentation Entry'!L:L,masterTBCY[[#This Row],[Note Line]],'Additional &amp; Presentation Entry'!N:N)</f>
        <v>0</v>
      </c>
      <c r="I80" s="320">
        <f>+masterTBCY[[#This Row],[Amount as per TB]]+masterTBCY[[#This Row],[Presentation Entry]]</f>
        <v>0</v>
      </c>
      <c r="J80" s="320">
        <f>I80/'Master Data'!$C$25</f>
        <v>0</v>
      </c>
      <c r="K80" s="392" t="s">
        <v>998</v>
      </c>
      <c r="N80" s="399">
        <v>70</v>
      </c>
      <c r="O80" s="319" t="s">
        <v>763</v>
      </c>
      <c r="P80" s="396">
        <f>+masterTBCY[[#This Row],[Note Line]]</f>
        <v>0</v>
      </c>
      <c r="Q80" s="396" t="s">
        <v>1998</v>
      </c>
      <c r="R80" s="320">
        <f>SUMIF('TB Grouping'!$Q:$Q,'Master TB'!P80,'TB Grouping'!$O:$O)</f>
        <v>0</v>
      </c>
      <c r="S80" s="320">
        <f>SUMIF('Additional &amp; Presentation Entry'!Q:Q,masterTBCY[[#This Row],[Note Line]],'Additional &amp; Presentation Entry'!S:S)</f>
        <v>0</v>
      </c>
      <c r="T80" s="320">
        <f>SUMIF('Additional &amp; Presentation Entry'!X:X,masterTBCY[[#This Row],[Note Line]],'Additional &amp; Presentation Entry'!Z:Z)</f>
        <v>0</v>
      </c>
      <c r="U80" s="320">
        <f t="shared" si="3"/>
        <v>0</v>
      </c>
      <c r="V80" s="320">
        <f>U80/'Master Data'!$C$25</f>
        <v>0</v>
      </c>
      <c r="W80" s="400" t="str">
        <f>K72</f>
        <v>Profit and Loss A/C</v>
      </c>
    </row>
    <row r="81" spans="2:23" x14ac:dyDescent="0.3">
      <c r="B81" s="678">
        <f t="shared" si="4"/>
        <v>71</v>
      </c>
      <c r="C81" s="319" t="s">
        <v>763</v>
      </c>
      <c r="D81" s="396">
        <f>+'Qualitative Disclosures'!C647</f>
        <v>0</v>
      </c>
      <c r="E81" s="396" t="s">
        <v>1999</v>
      </c>
      <c r="F81" s="320">
        <f>+SUMIFS('TB Grouping'!F:F,'TB Grouping'!H:H,masterTBCY[[#This Row],[Note Line]])</f>
        <v>0</v>
      </c>
      <c r="G81" s="2562">
        <f ca="1">SUMIF('Additional &amp; Presentation Entry'!E:E,masterTBCY[[#This Row],[Note Line]],'Additional &amp; Presentation Entry'!G:G)</f>
        <v>0</v>
      </c>
      <c r="H81" s="2562">
        <f>SUMIF('Additional &amp; Presentation Entry'!L:L,masterTBCY[[#This Row],[Note Line]],'Additional &amp; Presentation Entry'!N:N)</f>
        <v>0</v>
      </c>
      <c r="I81" s="320">
        <f>+masterTBCY[[#This Row],[Amount as per TB]]+masterTBCY[[#This Row],[Presentation Entry]]</f>
        <v>0</v>
      </c>
      <c r="J81" s="320">
        <f>I81/'Master Data'!$C$25</f>
        <v>0</v>
      </c>
      <c r="K81" s="392" t="s">
        <v>998</v>
      </c>
      <c r="N81" s="399">
        <v>71</v>
      </c>
      <c r="O81" s="319" t="s">
        <v>763</v>
      </c>
      <c r="P81" s="396">
        <f>+masterTBCY[[#This Row],[Note Line]]</f>
        <v>0</v>
      </c>
      <c r="Q81" s="396" t="s">
        <v>1999</v>
      </c>
      <c r="R81" s="320">
        <f>SUMIF('TB Grouping'!$Q:$Q,'Master TB'!P81,'TB Grouping'!$O:$O)</f>
        <v>0</v>
      </c>
      <c r="S81" s="320">
        <f>SUMIF('Additional &amp; Presentation Entry'!Q:Q,masterTBCY[[#This Row],[Note Line]],'Additional &amp; Presentation Entry'!S:S)</f>
        <v>0</v>
      </c>
      <c r="T81" s="320">
        <f>SUMIF('Additional &amp; Presentation Entry'!X:X,masterTBCY[[#This Row],[Note Line]],'Additional &amp; Presentation Entry'!Z:Z)</f>
        <v>0</v>
      </c>
      <c r="U81" s="320">
        <f t="shared" si="3"/>
        <v>0</v>
      </c>
      <c r="V81" s="320">
        <f>U81/'Master Data'!$C$25</f>
        <v>0</v>
      </c>
      <c r="W81" s="400" t="str">
        <f>K72</f>
        <v>Profit and Loss A/C</v>
      </c>
    </row>
    <row r="82" spans="2:23" x14ac:dyDescent="0.3">
      <c r="B82" s="678">
        <f t="shared" si="4"/>
        <v>72</v>
      </c>
      <c r="C82" s="319" t="s">
        <v>763</v>
      </c>
      <c r="D82" s="396">
        <f>+'Qualitative Disclosures'!C648</f>
        <v>0</v>
      </c>
      <c r="E82" s="396" t="s">
        <v>2000</v>
      </c>
      <c r="F82" s="320">
        <f>+SUMIFS('TB Grouping'!F:F,'TB Grouping'!H:H,masterTBCY[[#This Row],[Note Line]])</f>
        <v>0</v>
      </c>
      <c r="G82" s="2562">
        <f ca="1">SUMIF('Additional &amp; Presentation Entry'!E:E,masterTBCY[[#This Row],[Note Line]],'Additional &amp; Presentation Entry'!G:G)</f>
        <v>0</v>
      </c>
      <c r="H82" s="2562">
        <f>SUMIF('Additional &amp; Presentation Entry'!L:L,masterTBCY[[#This Row],[Note Line]],'Additional &amp; Presentation Entry'!N:N)</f>
        <v>0</v>
      </c>
      <c r="I82" s="320">
        <f>+masterTBCY[[#This Row],[Amount as per TB]]+masterTBCY[[#This Row],[Presentation Entry]]</f>
        <v>0</v>
      </c>
      <c r="J82" s="320">
        <f>I82/'Master Data'!$C$25</f>
        <v>0</v>
      </c>
      <c r="K82" s="392" t="s">
        <v>998</v>
      </c>
      <c r="N82" s="399">
        <v>72</v>
      </c>
      <c r="O82" s="319" t="s">
        <v>763</v>
      </c>
      <c r="P82" s="396">
        <f>+masterTBCY[[#This Row],[Note Line]]</f>
        <v>0</v>
      </c>
      <c r="Q82" s="396" t="s">
        <v>2000</v>
      </c>
      <c r="R82" s="320">
        <f>SUMIF('TB Grouping'!$Q:$Q,'Master TB'!P82,'TB Grouping'!$O:$O)</f>
        <v>0</v>
      </c>
      <c r="S82" s="320">
        <f>SUMIF('Additional &amp; Presentation Entry'!Q:Q,masterTBCY[[#This Row],[Note Line]],'Additional &amp; Presentation Entry'!S:S)</f>
        <v>0</v>
      </c>
      <c r="T82" s="320">
        <f>SUMIF('Additional &amp; Presentation Entry'!X:X,masterTBCY[[#This Row],[Note Line]],'Additional &amp; Presentation Entry'!Z:Z)</f>
        <v>0</v>
      </c>
      <c r="U82" s="320">
        <f t="shared" si="1"/>
        <v>0</v>
      </c>
      <c r="V82" s="320">
        <f>U82/'Master Data'!$C$25</f>
        <v>0</v>
      </c>
      <c r="W82" s="400" t="str">
        <f t="shared" ref="W82:W113" si="5">K84</f>
        <v>Balance Sheet</v>
      </c>
    </row>
    <row r="83" spans="2:23" x14ac:dyDescent="0.3">
      <c r="B83" s="678">
        <f t="shared" si="4"/>
        <v>73</v>
      </c>
      <c r="C83" s="319" t="s">
        <v>763</v>
      </c>
      <c r="D83" s="319" t="s">
        <v>772</v>
      </c>
      <c r="E83" s="319" t="s">
        <v>1101</v>
      </c>
      <c r="F83" s="320">
        <f>+SUMIFS('TB Grouping'!F:F,'TB Grouping'!H:H,masterTBCY[[#This Row],[Note Line]])</f>
        <v>109332.02</v>
      </c>
      <c r="G83" s="2562">
        <f ca="1">SUMIF('Additional &amp; Presentation Entry'!E:E,masterTBCY[[#This Row],[Note Line]],'Additional &amp; Presentation Entry'!G:G)</f>
        <v>-560</v>
      </c>
      <c r="H83" s="2562">
        <f>SUMIF('Additional &amp; Presentation Entry'!L:L,masterTBCY[[#This Row],[Note Line]],'Additional &amp; Presentation Entry'!N:N)</f>
        <v>0</v>
      </c>
      <c r="I83" s="320">
        <f>+masterTBCY[[#This Row],[Amount as per TB]]+masterTBCY[[#This Row],[Presentation Entry]]</f>
        <v>109332.02</v>
      </c>
      <c r="J83" s="320">
        <f>I83/'Master Data'!$C$25</f>
        <v>1093.3202000000001</v>
      </c>
      <c r="K83" s="392" t="s">
        <v>998</v>
      </c>
      <c r="N83" s="399">
        <v>73</v>
      </c>
      <c r="O83" s="319" t="s">
        <v>763</v>
      </c>
      <c r="P83" s="319" t="s">
        <v>772</v>
      </c>
      <c r="Q83" s="319" t="s">
        <v>1101</v>
      </c>
      <c r="R83" s="320">
        <f>SUMIF('TB Grouping'!$Q:$Q,'Master TB'!P83,'TB Grouping'!$O:$O)</f>
        <v>71339.87000000001</v>
      </c>
      <c r="S83" s="320">
        <f>SUMIF('Additional &amp; Presentation Entry'!Q:Q,masterTBCY[[#This Row],[Note Line]],'Additional &amp; Presentation Entry'!S:S)</f>
        <v>0</v>
      </c>
      <c r="T83" s="320">
        <f>SUMIF('Additional &amp; Presentation Entry'!X:X,masterTBCY[[#This Row],[Note Line]],'Additional &amp; Presentation Entry'!Z:Z)</f>
        <v>0</v>
      </c>
      <c r="U83" s="320">
        <f t="shared" si="1"/>
        <v>71339.87000000001</v>
      </c>
      <c r="V83" s="320">
        <f>U83/'Master Data'!$C$25</f>
        <v>713.39870000000008</v>
      </c>
      <c r="W83" s="400" t="str">
        <f t="shared" si="5"/>
        <v>Balance Sheet</v>
      </c>
    </row>
    <row r="84" spans="2:23" x14ac:dyDescent="0.3">
      <c r="B84" s="678">
        <f t="shared" si="4"/>
        <v>74</v>
      </c>
      <c r="C84" s="396" t="s">
        <v>731</v>
      </c>
      <c r="D84" s="397" t="s">
        <v>732</v>
      </c>
      <c r="E84" s="397"/>
      <c r="F84" s="320">
        <f>+SUMIFS('TB Grouping'!F:F,'TB Grouping'!H:H,masterTBCY[[#This Row],[Note Line]])</f>
        <v>0</v>
      </c>
      <c r="G84" s="2562">
        <f ca="1">SUMIF('Additional &amp; Presentation Entry'!E:E,masterTBCY[[#This Row],[Note Line]],'Additional &amp; Presentation Entry'!G:G)</f>
        <v>0</v>
      </c>
      <c r="H84" s="2562">
        <f>SUMIF('Additional &amp; Presentation Entry'!L:L,masterTBCY[[#This Row],[Note Line]],'Additional &amp; Presentation Entry'!N:N)</f>
        <v>0</v>
      </c>
      <c r="I84" s="320">
        <f>+masterTBCY[[#This Row],[Amount as per TB]]+masterTBCY[[#This Row],[Presentation Entry]]</f>
        <v>0</v>
      </c>
      <c r="J84" s="320">
        <f>I84/'Master Data'!$C$25</f>
        <v>0</v>
      </c>
      <c r="K84" s="404" t="s">
        <v>1329</v>
      </c>
      <c r="N84" s="399">
        <v>74</v>
      </c>
      <c r="O84" s="396" t="s">
        <v>731</v>
      </c>
      <c r="P84" s="397" t="s">
        <v>732</v>
      </c>
      <c r="Q84" s="397"/>
      <c r="R84" s="320">
        <f>SUMIF('TB Grouping'!$Q:$Q,'Master TB'!P84,'TB Grouping'!$O:$O)</f>
        <v>0</v>
      </c>
      <c r="S84" s="320">
        <f>SUMIF('Additional &amp; Presentation Entry'!Q:Q,masterTBCY[[#This Row],[Note Line]],'Additional &amp; Presentation Entry'!S:S)</f>
        <v>0</v>
      </c>
      <c r="T84" s="320">
        <f>SUMIF('Additional &amp; Presentation Entry'!X:X,masterTBCY[[#This Row],[Note Line]],'Additional &amp; Presentation Entry'!Z:Z)</f>
        <v>0</v>
      </c>
      <c r="U84" s="320">
        <f t="shared" si="1"/>
        <v>0</v>
      </c>
      <c r="V84" s="320">
        <f>U84/'Master Data'!$C$25</f>
        <v>0</v>
      </c>
      <c r="W84" s="400" t="str">
        <f t="shared" si="5"/>
        <v>Balance Sheet</v>
      </c>
    </row>
    <row r="85" spans="2:23" x14ac:dyDescent="0.3">
      <c r="B85" s="678">
        <f t="shared" si="4"/>
        <v>75</v>
      </c>
      <c r="C85" s="396" t="s">
        <v>731</v>
      </c>
      <c r="D85" s="397" t="s">
        <v>167</v>
      </c>
      <c r="E85" s="397"/>
      <c r="F85" s="320">
        <f>+SUMIFS('TB Grouping'!F:F,'TB Grouping'!H:H,masterTBCY[[#This Row],[Note Line]])</f>
        <v>0</v>
      </c>
      <c r="G85" s="2562">
        <f ca="1">SUMIF('Additional &amp; Presentation Entry'!E:E,masterTBCY[[#This Row],[Note Line]],'Additional &amp; Presentation Entry'!G:G)</f>
        <v>0</v>
      </c>
      <c r="H85" s="2562">
        <f>SUMIF('Additional &amp; Presentation Entry'!L:L,masterTBCY[[#This Row],[Note Line]],'Additional &amp; Presentation Entry'!N:N)</f>
        <v>0</v>
      </c>
      <c r="I85" s="320">
        <f>+masterTBCY[[#This Row],[Amount as per TB]]+masterTBCY[[#This Row],[Presentation Entry]]</f>
        <v>0</v>
      </c>
      <c r="J85" s="320">
        <f>I85/'Master Data'!$C$25</f>
        <v>0</v>
      </c>
      <c r="K85" s="404" t="s">
        <v>1329</v>
      </c>
      <c r="N85" s="399">
        <v>75</v>
      </c>
      <c r="O85" s="396" t="s">
        <v>731</v>
      </c>
      <c r="P85" s="397" t="s">
        <v>167</v>
      </c>
      <c r="Q85" s="397"/>
      <c r="R85" s="320">
        <f>SUMIF('TB Grouping'!$Q:$Q,'Master TB'!P85,'TB Grouping'!$O:$O)</f>
        <v>0</v>
      </c>
      <c r="S85" s="320">
        <f>SUMIF('Additional &amp; Presentation Entry'!Q:Q,masterTBCY[[#This Row],[Note Line]],'Additional &amp; Presentation Entry'!S:S)</f>
        <v>0</v>
      </c>
      <c r="T85" s="320">
        <f>SUMIF('Additional &amp; Presentation Entry'!X:X,masterTBCY[[#This Row],[Note Line]],'Additional &amp; Presentation Entry'!Z:Z)</f>
        <v>0</v>
      </c>
      <c r="U85" s="320">
        <f t="shared" si="1"/>
        <v>0</v>
      </c>
      <c r="V85" s="320">
        <f>U85/'Master Data'!$C$25</f>
        <v>0</v>
      </c>
      <c r="W85" s="400" t="str">
        <f t="shared" si="5"/>
        <v>Balance Sheet</v>
      </c>
    </row>
    <row r="86" spans="2:23" x14ac:dyDescent="0.3">
      <c r="B86" s="678">
        <f t="shared" si="4"/>
        <v>76</v>
      </c>
      <c r="C86" s="396" t="s">
        <v>731</v>
      </c>
      <c r="D86" s="397" t="s">
        <v>1170</v>
      </c>
      <c r="E86" s="397"/>
      <c r="F86" s="320">
        <f>+SUMIFS('TB Grouping'!F:F,'TB Grouping'!H:H,masterTBCY[[#This Row],[Note Line]])</f>
        <v>0</v>
      </c>
      <c r="G86" s="2562">
        <f ca="1">SUMIF('Additional &amp; Presentation Entry'!E:E,masterTBCY[[#This Row],[Note Line]],'Additional &amp; Presentation Entry'!G:G)</f>
        <v>0</v>
      </c>
      <c r="H86" s="2562">
        <f>SUMIF('Additional &amp; Presentation Entry'!L:L,masterTBCY[[#This Row],[Note Line]],'Additional &amp; Presentation Entry'!N:N)</f>
        <v>0</v>
      </c>
      <c r="I86" s="320">
        <f>+masterTBCY[[#This Row],[Amount as per TB]]+masterTBCY[[#This Row],[Presentation Entry]]</f>
        <v>0</v>
      </c>
      <c r="J86" s="320">
        <f>I86/'Master Data'!$C$25</f>
        <v>0</v>
      </c>
      <c r="K86" s="404" t="s">
        <v>1329</v>
      </c>
      <c r="N86" s="399">
        <v>76</v>
      </c>
      <c r="O86" s="396" t="s">
        <v>731</v>
      </c>
      <c r="P86" s="397" t="s">
        <v>1170</v>
      </c>
      <c r="Q86" s="397"/>
      <c r="R86" s="320">
        <f>SUMIF('TB Grouping'!$Q:$Q,'Master TB'!P86,'TB Grouping'!$O:$O)</f>
        <v>0</v>
      </c>
      <c r="S86" s="320">
        <f>SUMIF('Additional &amp; Presentation Entry'!Q:Q,masterTBCY[[#This Row],[Note Line]],'Additional &amp; Presentation Entry'!S:S)</f>
        <v>0</v>
      </c>
      <c r="T86" s="320">
        <f>SUMIF('Additional &amp; Presentation Entry'!X:X,masterTBCY[[#This Row],[Note Line]],'Additional &amp; Presentation Entry'!Z:Z)</f>
        <v>0</v>
      </c>
      <c r="U86" s="320">
        <f t="shared" ref="U86:U149" si="6">SUM(R86:T86)</f>
        <v>0</v>
      </c>
      <c r="V86" s="320">
        <f>U86/'Master Data'!$C$25</f>
        <v>0</v>
      </c>
      <c r="W86" s="400" t="str">
        <f t="shared" si="5"/>
        <v>Balance Sheet</v>
      </c>
    </row>
    <row r="87" spans="2:23" x14ac:dyDescent="0.3">
      <c r="B87" s="678">
        <f t="shared" si="4"/>
        <v>77</v>
      </c>
      <c r="C87" s="396" t="s">
        <v>731</v>
      </c>
      <c r="D87" s="397" t="s">
        <v>168</v>
      </c>
      <c r="E87" s="397"/>
      <c r="F87" s="320">
        <f>+SUMIFS('TB Grouping'!F:F,'TB Grouping'!H:H,masterTBCY[[#This Row],[Note Line]])</f>
        <v>0</v>
      </c>
      <c r="G87" s="2562">
        <f ca="1">SUMIF('Additional &amp; Presentation Entry'!E:E,masterTBCY[[#This Row],[Note Line]],'Additional &amp; Presentation Entry'!G:G)</f>
        <v>0</v>
      </c>
      <c r="H87" s="2562">
        <f>SUMIF('Additional &amp; Presentation Entry'!L:L,masterTBCY[[#This Row],[Note Line]],'Additional &amp; Presentation Entry'!N:N)</f>
        <v>0</v>
      </c>
      <c r="I87" s="320">
        <f>+masterTBCY[[#This Row],[Amount as per TB]]+masterTBCY[[#This Row],[Presentation Entry]]</f>
        <v>0</v>
      </c>
      <c r="J87" s="320">
        <f>I87/'Master Data'!$C$25</f>
        <v>0</v>
      </c>
      <c r="K87" s="404" t="s">
        <v>1329</v>
      </c>
      <c r="N87" s="399">
        <v>77</v>
      </c>
      <c r="O87" s="396" t="s">
        <v>731</v>
      </c>
      <c r="P87" s="397" t="s">
        <v>168</v>
      </c>
      <c r="Q87" s="397"/>
      <c r="R87" s="320">
        <f>SUMIF('TB Grouping'!$Q:$Q,'Master TB'!P87,'TB Grouping'!$O:$O)</f>
        <v>0</v>
      </c>
      <c r="S87" s="320">
        <f>SUMIF('Additional &amp; Presentation Entry'!Q:Q,masterTBCY[[#This Row],[Note Line]],'Additional &amp; Presentation Entry'!S:S)</f>
        <v>0</v>
      </c>
      <c r="T87" s="320">
        <f>SUMIF('Additional &amp; Presentation Entry'!X:X,masterTBCY[[#This Row],[Note Line]],'Additional &amp; Presentation Entry'!Z:Z)</f>
        <v>0</v>
      </c>
      <c r="U87" s="320">
        <f t="shared" si="6"/>
        <v>0</v>
      </c>
      <c r="V87" s="320">
        <f>U87/'Master Data'!$C$25</f>
        <v>0</v>
      </c>
      <c r="W87" s="400" t="str">
        <f t="shared" si="5"/>
        <v>Balance Sheet</v>
      </c>
    </row>
    <row r="88" spans="2:23" x14ac:dyDescent="0.3">
      <c r="B88" s="678">
        <f t="shared" si="4"/>
        <v>78</v>
      </c>
      <c r="C88" s="396" t="s">
        <v>731</v>
      </c>
      <c r="D88" s="397" t="s">
        <v>1171</v>
      </c>
      <c r="E88" s="397"/>
      <c r="F88" s="320">
        <f>+SUMIFS('TB Grouping'!F:F,'TB Grouping'!H:H,masterTBCY[[#This Row],[Note Line]])</f>
        <v>0</v>
      </c>
      <c r="G88" s="2562">
        <f ca="1">SUMIF('Additional &amp; Presentation Entry'!E:E,masterTBCY[[#This Row],[Note Line]],'Additional &amp; Presentation Entry'!G:G)</f>
        <v>0</v>
      </c>
      <c r="H88" s="2562">
        <f>SUMIF('Additional &amp; Presentation Entry'!L:L,masterTBCY[[#This Row],[Note Line]],'Additional &amp; Presentation Entry'!N:N)</f>
        <v>0</v>
      </c>
      <c r="I88" s="320">
        <f>+masterTBCY[[#This Row],[Amount as per TB]]+masterTBCY[[#This Row],[Presentation Entry]]</f>
        <v>0</v>
      </c>
      <c r="J88" s="320">
        <f>I88/'Master Data'!$C$25</f>
        <v>0</v>
      </c>
      <c r="K88" s="404" t="s">
        <v>1329</v>
      </c>
      <c r="N88" s="399">
        <v>78</v>
      </c>
      <c r="O88" s="396" t="s">
        <v>731</v>
      </c>
      <c r="P88" s="397" t="s">
        <v>1171</v>
      </c>
      <c r="Q88" s="397"/>
      <c r="R88" s="320">
        <f>SUMIF('TB Grouping'!$Q:$Q,'Master TB'!P88,'TB Grouping'!$O:$O)</f>
        <v>0</v>
      </c>
      <c r="S88" s="320">
        <f>SUMIF('Additional &amp; Presentation Entry'!Q:Q,masterTBCY[[#This Row],[Note Line]],'Additional &amp; Presentation Entry'!S:S)</f>
        <v>0</v>
      </c>
      <c r="T88" s="320">
        <f>SUMIF('Additional &amp; Presentation Entry'!X:X,masterTBCY[[#This Row],[Note Line]],'Additional &amp; Presentation Entry'!Z:Z)</f>
        <v>0</v>
      </c>
      <c r="U88" s="320">
        <f t="shared" si="6"/>
        <v>0</v>
      </c>
      <c r="V88" s="320">
        <f>U88/'Master Data'!$C$25</f>
        <v>0</v>
      </c>
      <c r="W88" s="400" t="str">
        <f t="shared" si="5"/>
        <v>Balance Sheet</v>
      </c>
    </row>
    <row r="89" spans="2:23" x14ac:dyDescent="0.3">
      <c r="B89" s="678">
        <f t="shared" si="4"/>
        <v>79</v>
      </c>
      <c r="C89" s="396" t="s">
        <v>731</v>
      </c>
      <c r="D89" s="397" t="s">
        <v>1172</v>
      </c>
      <c r="E89" s="397"/>
      <c r="F89" s="320">
        <f>+SUMIFS('TB Grouping'!F:F,'TB Grouping'!H:H,masterTBCY[[#This Row],[Note Line]])</f>
        <v>0</v>
      </c>
      <c r="G89" s="2562">
        <f ca="1">SUMIF('Additional &amp; Presentation Entry'!E:E,masterTBCY[[#This Row],[Note Line]],'Additional &amp; Presentation Entry'!G:G)</f>
        <v>0</v>
      </c>
      <c r="H89" s="2562">
        <f>SUMIF('Additional &amp; Presentation Entry'!L:L,masterTBCY[[#This Row],[Note Line]],'Additional &amp; Presentation Entry'!N:N)</f>
        <v>0</v>
      </c>
      <c r="I89" s="320">
        <f>+masterTBCY[[#This Row],[Amount as per TB]]+masterTBCY[[#This Row],[Presentation Entry]]</f>
        <v>0</v>
      </c>
      <c r="J89" s="320">
        <f>I89/'Master Data'!$C$25</f>
        <v>0</v>
      </c>
      <c r="K89" s="404" t="s">
        <v>1329</v>
      </c>
      <c r="N89" s="399">
        <v>79</v>
      </c>
      <c r="O89" s="396" t="s">
        <v>731</v>
      </c>
      <c r="P89" s="397" t="s">
        <v>1172</v>
      </c>
      <c r="Q89" s="397"/>
      <c r="R89" s="320">
        <f>SUMIF('TB Grouping'!$Q:$Q,'Master TB'!P89,'TB Grouping'!$O:$O)</f>
        <v>0</v>
      </c>
      <c r="S89" s="320">
        <f>SUMIF('Additional &amp; Presentation Entry'!Q:Q,masterTBCY[[#This Row],[Note Line]],'Additional &amp; Presentation Entry'!S:S)</f>
        <v>0</v>
      </c>
      <c r="T89" s="320">
        <f>SUMIF('Additional &amp; Presentation Entry'!X:X,masterTBCY[[#This Row],[Note Line]],'Additional &amp; Presentation Entry'!Z:Z)</f>
        <v>0</v>
      </c>
      <c r="U89" s="320">
        <f t="shared" si="6"/>
        <v>0</v>
      </c>
      <c r="V89" s="320">
        <f>U89/'Master Data'!$C$25</f>
        <v>0</v>
      </c>
      <c r="W89" s="400" t="str">
        <f t="shared" si="5"/>
        <v>Balance Sheet</v>
      </c>
    </row>
    <row r="90" spans="2:23" x14ac:dyDescent="0.3">
      <c r="B90" s="678">
        <f t="shared" si="4"/>
        <v>80</v>
      </c>
      <c r="C90" s="396" t="s">
        <v>731</v>
      </c>
      <c r="D90" s="397" t="s">
        <v>164</v>
      </c>
      <c r="E90" s="397"/>
      <c r="F90" s="320">
        <f>+SUMIFS('TB Grouping'!F:F,'TB Grouping'!H:H,masterTBCY[[#This Row],[Note Line]])</f>
        <v>0</v>
      </c>
      <c r="G90" s="2562">
        <f ca="1">SUMIF('Additional &amp; Presentation Entry'!E:E,masterTBCY[[#This Row],[Note Line]],'Additional &amp; Presentation Entry'!G:G)</f>
        <v>0</v>
      </c>
      <c r="H90" s="2562">
        <f>SUMIF('Additional &amp; Presentation Entry'!L:L,masterTBCY[[#This Row],[Note Line]],'Additional &amp; Presentation Entry'!N:N)</f>
        <v>0</v>
      </c>
      <c r="I90" s="320">
        <f>+masterTBCY[[#This Row],[Amount as per TB]]+masterTBCY[[#This Row],[Presentation Entry]]</f>
        <v>0</v>
      </c>
      <c r="J90" s="320">
        <f>I90/'Master Data'!$C$25</f>
        <v>0</v>
      </c>
      <c r="K90" s="404" t="s">
        <v>1329</v>
      </c>
      <c r="N90" s="399">
        <v>80</v>
      </c>
      <c r="O90" s="396" t="s">
        <v>731</v>
      </c>
      <c r="P90" s="397" t="s">
        <v>164</v>
      </c>
      <c r="Q90" s="397"/>
      <c r="R90" s="320">
        <f>SUMIF('TB Grouping'!$Q:$Q,'Master TB'!P90,'TB Grouping'!$O:$O)</f>
        <v>0</v>
      </c>
      <c r="S90" s="320">
        <f>SUMIF('Additional &amp; Presentation Entry'!Q:Q,masterTBCY[[#This Row],[Note Line]],'Additional &amp; Presentation Entry'!S:S)</f>
        <v>0</v>
      </c>
      <c r="T90" s="320">
        <f>SUMIF('Additional &amp; Presentation Entry'!X:X,masterTBCY[[#This Row],[Note Line]],'Additional &amp; Presentation Entry'!Z:Z)</f>
        <v>0</v>
      </c>
      <c r="U90" s="320">
        <f t="shared" si="6"/>
        <v>0</v>
      </c>
      <c r="V90" s="320">
        <f>U90/'Master Data'!$C$25</f>
        <v>0</v>
      </c>
      <c r="W90" s="400" t="str">
        <f t="shared" si="5"/>
        <v>Balance Sheet</v>
      </c>
    </row>
    <row r="91" spans="2:23" x14ac:dyDescent="0.3">
      <c r="B91" s="678">
        <f t="shared" si="4"/>
        <v>81</v>
      </c>
      <c r="C91" s="396" t="s">
        <v>731</v>
      </c>
      <c r="D91" s="397" t="s">
        <v>1177</v>
      </c>
      <c r="E91" s="397"/>
      <c r="F91" s="320">
        <f>+SUMIFS('TB Grouping'!F:F,'TB Grouping'!H:H,masterTBCY[[#This Row],[Note Line]])</f>
        <v>0</v>
      </c>
      <c r="G91" s="2562">
        <f ca="1">SUMIF('Additional &amp; Presentation Entry'!E:E,masterTBCY[[#This Row],[Note Line]],'Additional &amp; Presentation Entry'!G:G)</f>
        <v>0</v>
      </c>
      <c r="H91" s="2562">
        <f>SUMIF('Additional &amp; Presentation Entry'!L:L,masterTBCY[[#This Row],[Note Line]],'Additional &amp; Presentation Entry'!N:N)</f>
        <v>0</v>
      </c>
      <c r="I91" s="320">
        <f>+masterTBCY[[#This Row],[Amount as per TB]]+masterTBCY[[#This Row],[Presentation Entry]]</f>
        <v>0</v>
      </c>
      <c r="J91" s="320">
        <f>I91/'Master Data'!$C$25</f>
        <v>0</v>
      </c>
      <c r="K91" s="404" t="s">
        <v>1329</v>
      </c>
      <c r="N91" s="399">
        <v>81</v>
      </c>
      <c r="O91" s="396" t="s">
        <v>731</v>
      </c>
      <c r="P91" s="397" t="s">
        <v>1177</v>
      </c>
      <c r="Q91" s="397"/>
      <c r="R91" s="320">
        <f>SUMIF('TB Grouping'!$Q:$Q,'Master TB'!P91,'TB Grouping'!$O:$O)</f>
        <v>0</v>
      </c>
      <c r="S91" s="320">
        <f>SUMIF('Additional &amp; Presentation Entry'!Q:Q,masterTBCY[[#This Row],[Note Line]],'Additional &amp; Presentation Entry'!S:S)</f>
        <v>0</v>
      </c>
      <c r="T91" s="320">
        <f>SUMIF('Additional &amp; Presentation Entry'!X:X,masterTBCY[[#This Row],[Note Line]],'Additional &amp; Presentation Entry'!Z:Z)</f>
        <v>0</v>
      </c>
      <c r="U91" s="320">
        <f t="shared" si="6"/>
        <v>0</v>
      </c>
      <c r="V91" s="320">
        <f>U91/'Master Data'!$C$25</f>
        <v>0</v>
      </c>
      <c r="W91" s="400" t="str">
        <f t="shared" si="5"/>
        <v>Balance Sheet</v>
      </c>
    </row>
    <row r="92" spans="2:23" x14ac:dyDescent="0.3">
      <c r="B92" s="678">
        <f t="shared" si="4"/>
        <v>82</v>
      </c>
      <c r="C92" s="396" t="s">
        <v>731</v>
      </c>
      <c r="D92" s="397" t="s">
        <v>1178</v>
      </c>
      <c r="E92" s="397"/>
      <c r="F92" s="320">
        <f>+SUMIFS('TB Grouping'!F:F,'TB Grouping'!H:H,masterTBCY[[#This Row],[Note Line]])</f>
        <v>0</v>
      </c>
      <c r="G92" s="2562">
        <f ca="1">SUMIF('Additional &amp; Presentation Entry'!E:E,masterTBCY[[#This Row],[Note Line]],'Additional &amp; Presentation Entry'!G:G)</f>
        <v>0</v>
      </c>
      <c r="H92" s="2562">
        <f>SUMIF('Additional &amp; Presentation Entry'!L:L,masterTBCY[[#This Row],[Note Line]],'Additional &amp; Presentation Entry'!N:N)</f>
        <v>0</v>
      </c>
      <c r="I92" s="320">
        <f>+masterTBCY[[#This Row],[Amount as per TB]]+masterTBCY[[#This Row],[Presentation Entry]]</f>
        <v>0</v>
      </c>
      <c r="J92" s="320">
        <f>I92/'Master Data'!$C$25</f>
        <v>0</v>
      </c>
      <c r="K92" s="404" t="s">
        <v>1329</v>
      </c>
      <c r="N92" s="399">
        <v>82</v>
      </c>
      <c r="O92" s="396" t="s">
        <v>731</v>
      </c>
      <c r="P92" s="397" t="s">
        <v>1178</v>
      </c>
      <c r="Q92" s="397"/>
      <c r="R92" s="320">
        <f>SUMIF('TB Grouping'!$Q:$Q,'Master TB'!P92,'TB Grouping'!$O:$O)</f>
        <v>0</v>
      </c>
      <c r="S92" s="320">
        <f>SUMIF('Additional &amp; Presentation Entry'!Q:Q,masterTBCY[[#This Row],[Note Line]],'Additional &amp; Presentation Entry'!S:S)</f>
        <v>0</v>
      </c>
      <c r="T92" s="320">
        <f>SUMIF('Additional &amp; Presentation Entry'!X:X,masterTBCY[[#This Row],[Note Line]],'Additional &amp; Presentation Entry'!Z:Z)</f>
        <v>0</v>
      </c>
      <c r="U92" s="320">
        <f t="shared" si="6"/>
        <v>0</v>
      </c>
      <c r="V92" s="320">
        <f>U92/'Master Data'!$C$25</f>
        <v>0</v>
      </c>
      <c r="W92" s="400" t="str">
        <f t="shared" si="5"/>
        <v>Balance Sheet</v>
      </c>
    </row>
    <row r="93" spans="2:23" x14ac:dyDescent="0.3">
      <c r="B93" s="678">
        <f t="shared" si="4"/>
        <v>83</v>
      </c>
      <c r="C93" s="396" t="s">
        <v>731</v>
      </c>
      <c r="D93" s="397" t="s">
        <v>1179</v>
      </c>
      <c r="E93" s="397"/>
      <c r="F93" s="320">
        <f>+SUMIFS('TB Grouping'!F:F,'TB Grouping'!H:H,masterTBCY[[#This Row],[Note Line]])</f>
        <v>0</v>
      </c>
      <c r="G93" s="2562">
        <f ca="1">SUMIF('Additional &amp; Presentation Entry'!E:E,masterTBCY[[#This Row],[Note Line]],'Additional &amp; Presentation Entry'!G:G)</f>
        <v>0</v>
      </c>
      <c r="H93" s="2562">
        <f>SUMIF('Additional &amp; Presentation Entry'!L:L,masterTBCY[[#This Row],[Note Line]],'Additional &amp; Presentation Entry'!N:N)</f>
        <v>0</v>
      </c>
      <c r="I93" s="320">
        <f>+masterTBCY[[#This Row],[Amount as per TB]]+masterTBCY[[#This Row],[Presentation Entry]]</f>
        <v>0</v>
      </c>
      <c r="J93" s="320">
        <f>I93/'Master Data'!$C$25</f>
        <v>0</v>
      </c>
      <c r="K93" s="404" t="s">
        <v>1329</v>
      </c>
      <c r="N93" s="399">
        <v>83</v>
      </c>
      <c r="O93" s="396" t="s">
        <v>731</v>
      </c>
      <c r="P93" s="397" t="s">
        <v>1179</v>
      </c>
      <c r="Q93" s="397"/>
      <c r="R93" s="320">
        <f>SUMIF('TB Grouping'!$Q:$Q,'Master TB'!P93,'TB Grouping'!$O:$O)</f>
        <v>0</v>
      </c>
      <c r="S93" s="320">
        <f>SUMIF('Additional &amp; Presentation Entry'!Q:Q,masterTBCY[[#This Row],[Note Line]],'Additional &amp; Presentation Entry'!S:S)</f>
        <v>0</v>
      </c>
      <c r="T93" s="320">
        <f>SUMIF('Additional &amp; Presentation Entry'!X:X,masterTBCY[[#This Row],[Note Line]],'Additional &amp; Presentation Entry'!Z:Z)</f>
        <v>0</v>
      </c>
      <c r="U93" s="320">
        <f t="shared" si="6"/>
        <v>0</v>
      </c>
      <c r="V93" s="320">
        <f>U93/'Master Data'!$C$25</f>
        <v>0</v>
      </c>
      <c r="W93" s="400" t="str">
        <f t="shared" si="5"/>
        <v>Balance Sheet</v>
      </c>
    </row>
    <row r="94" spans="2:23" x14ac:dyDescent="0.3">
      <c r="B94" s="678">
        <f t="shared" si="4"/>
        <v>84</v>
      </c>
      <c r="C94" s="396" t="s">
        <v>731</v>
      </c>
      <c r="D94" s="397" t="s">
        <v>1180</v>
      </c>
      <c r="E94" s="397"/>
      <c r="F94" s="320">
        <f>+SUMIFS('TB Grouping'!F:F,'TB Grouping'!H:H,masterTBCY[[#This Row],[Note Line]])</f>
        <v>0</v>
      </c>
      <c r="G94" s="2562">
        <f ca="1">SUMIF('Additional &amp; Presentation Entry'!E:E,masterTBCY[[#This Row],[Note Line]],'Additional &amp; Presentation Entry'!G:G)</f>
        <v>0</v>
      </c>
      <c r="H94" s="2562">
        <f>SUMIF('Additional &amp; Presentation Entry'!L:L,masterTBCY[[#This Row],[Note Line]],'Additional &amp; Presentation Entry'!N:N)</f>
        <v>0</v>
      </c>
      <c r="I94" s="320">
        <f>+masterTBCY[[#This Row],[Amount as per TB]]+masterTBCY[[#This Row],[Presentation Entry]]</f>
        <v>0</v>
      </c>
      <c r="J94" s="320">
        <f>I94/'Master Data'!$C$25</f>
        <v>0</v>
      </c>
      <c r="K94" s="404" t="s">
        <v>1329</v>
      </c>
      <c r="N94" s="399">
        <v>84</v>
      </c>
      <c r="O94" s="396" t="s">
        <v>731</v>
      </c>
      <c r="P94" s="397" t="s">
        <v>1180</v>
      </c>
      <c r="Q94" s="397"/>
      <c r="R94" s="320">
        <f>SUMIF('TB Grouping'!$Q:$Q,'Master TB'!P94,'TB Grouping'!$O:$O)</f>
        <v>0</v>
      </c>
      <c r="S94" s="320">
        <f>SUMIF('Additional &amp; Presentation Entry'!Q:Q,masterTBCY[[#This Row],[Note Line]],'Additional &amp; Presentation Entry'!S:S)</f>
        <v>0</v>
      </c>
      <c r="T94" s="320">
        <f>SUMIF('Additional &amp; Presentation Entry'!X:X,masterTBCY[[#This Row],[Note Line]],'Additional &amp; Presentation Entry'!Z:Z)</f>
        <v>0</v>
      </c>
      <c r="U94" s="320">
        <f t="shared" si="6"/>
        <v>0</v>
      </c>
      <c r="V94" s="320">
        <f>U94/'Master Data'!$C$25</f>
        <v>0</v>
      </c>
      <c r="W94" s="400" t="str">
        <f t="shared" si="5"/>
        <v>Balance Sheet</v>
      </c>
    </row>
    <row r="95" spans="2:23" x14ac:dyDescent="0.3">
      <c r="B95" s="678">
        <f t="shared" si="4"/>
        <v>85</v>
      </c>
      <c r="C95" s="396" t="s">
        <v>364</v>
      </c>
      <c r="D95" s="397" t="s">
        <v>1189</v>
      </c>
      <c r="E95" s="397" t="s">
        <v>1190</v>
      </c>
      <c r="F95" s="320">
        <f>+SUMIFS('TB Grouping'!F:F,'TB Grouping'!H:H,masterTBCY[[#This Row],[Note Line]])</f>
        <v>0</v>
      </c>
      <c r="G95" s="2562">
        <f ca="1">SUMIF('Additional &amp; Presentation Entry'!E:E,masterTBCY[[#This Row],[Note Line]],'Additional &amp; Presentation Entry'!G:G)</f>
        <v>0</v>
      </c>
      <c r="H95" s="2562">
        <f>SUMIF('Additional &amp; Presentation Entry'!L:L,masterTBCY[[#This Row],[Note Line]],'Additional &amp; Presentation Entry'!N:N)</f>
        <v>0</v>
      </c>
      <c r="I95" s="320">
        <f>+masterTBCY[[#This Row],[Amount as per TB]]+masterTBCY[[#This Row],[Presentation Entry]]</f>
        <v>0</v>
      </c>
      <c r="J95" s="320">
        <f>I95/'Master Data'!$C$25</f>
        <v>0</v>
      </c>
      <c r="K95" s="404" t="s">
        <v>1329</v>
      </c>
      <c r="N95" s="399">
        <v>85</v>
      </c>
      <c r="O95" s="396" t="s">
        <v>364</v>
      </c>
      <c r="P95" s="397" t="s">
        <v>1189</v>
      </c>
      <c r="Q95" s="397" t="s">
        <v>1190</v>
      </c>
      <c r="R95" s="320">
        <f>SUMIF('TB Grouping'!$Q:$Q,'Master TB'!P95,'TB Grouping'!$O:$O)</f>
        <v>0</v>
      </c>
      <c r="S95" s="320">
        <f>SUMIF('Additional &amp; Presentation Entry'!Q:Q,masterTBCY[[#This Row],[Note Line]],'Additional &amp; Presentation Entry'!S:S)</f>
        <v>0</v>
      </c>
      <c r="T95" s="320">
        <f>SUMIF('Additional &amp; Presentation Entry'!X:X,masterTBCY[[#This Row],[Note Line]],'Additional &amp; Presentation Entry'!Z:Z)</f>
        <v>0</v>
      </c>
      <c r="U95" s="320">
        <f t="shared" si="6"/>
        <v>0</v>
      </c>
      <c r="V95" s="320">
        <f>U95/'Master Data'!$C$25</f>
        <v>0</v>
      </c>
      <c r="W95" s="400" t="str">
        <f t="shared" si="5"/>
        <v>Balance Sheet</v>
      </c>
    </row>
    <row r="96" spans="2:23" x14ac:dyDescent="0.3">
      <c r="B96" s="678">
        <f t="shared" si="4"/>
        <v>86</v>
      </c>
      <c r="C96" s="396" t="s">
        <v>364</v>
      </c>
      <c r="D96" s="397" t="s">
        <v>1188</v>
      </c>
      <c r="E96" s="397" t="s">
        <v>1191</v>
      </c>
      <c r="F96" s="320">
        <f>+SUMIFS('TB Grouping'!F:F,'TB Grouping'!H:H,masterTBCY[[#This Row],[Note Line]])</f>
        <v>0</v>
      </c>
      <c r="G96" s="2562">
        <f ca="1">SUMIF('Additional &amp; Presentation Entry'!E:E,masterTBCY[[#This Row],[Note Line]],'Additional &amp; Presentation Entry'!G:G)</f>
        <v>0</v>
      </c>
      <c r="H96" s="2562">
        <f>SUMIF('Additional &amp; Presentation Entry'!L:L,masterTBCY[[#This Row],[Note Line]],'Additional &amp; Presentation Entry'!N:N)</f>
        <v>0</v>
      </c>
      <c r="I96" s="320">
        <f>+masterTBCY[[#This Row],[Amount as per TB]]+masterTBCY[[#This Row],[Presentation Entry]]</f>
        <v>0</v>
      </c>
      <c r="J96" s="320">
        <f>I96/'Master Data'!$C$25</f>
        <v>0</v>
      </c>
      <c r="K96" s="404" t="s">
        <v>1329</v>
      </c>
      <c r="N96" s="399">
        <v>86</v>
      </c>
      <c r="O96" s="396" t="s">
        <v>364</v>
      </c>
      <c r="P96" s="397" t="s">
        <v>1188</v>
      </c>
      <c r="Q96" s="397" t="s">
        <v>1191</v>
      </c>
      <c r="R96" s="320">
        <f>SUMIF('TB Grouping'!$Q:$Q,'Master TB'!P96,'TB Grouping'!$O:$O)</f>
        <v>0</v>
      </c>
      <c r="S96" s="320">
        <f>SUMIF('Additional &amp; Presentation Entry'!Q:Q,masterTBCY[[#This Row],[Note Line]],'Additional &amp; Presentation Entry'!S:S)</f>
        <v>0</v>
      </c>
      <c r="T96" s="320">
        <f>SUMIF('Additional &amp; Presentation Entry'!X:X,masterTBCY[[#This Row],[Note Line]],'Additional &amp; Presentation Entry'!Z:Z)</f>
        <v>0</v>
      </c>
      <c r="U96" s="320">
        <f t="shared" si="6"/>
        <v>0</v>
      </c>
      <c r="V96" s="320">
        <f>U96/'Master Data'!$C$25</f>
        <v>0</v>
      </c>
      <c r="W96" s="400" t="str">
        <f t="shared" si="5"/>
        <v>Balance Sheet</v>
      </c>
    </row>
    <row r="97" spans="2:23" x14ac:dyDescent="0.3">
      <c r="B97" s="678">
        <f t="shared" si="4"/>
        <v>87</v>
      </c>
      <c r="C97" s="396" t="s">
        <v>364</v>
      </c>
      <c r="D97" s="397" t="s">
        <v>1182</v>
      </c>
      <c r="E97" s="397" t="s">
        <v>1194</v>
      </c>
      <c r="F97" s="320">
        <f>+SUMIFS('TB Grouping'!F:F,'TB Grouping'!H:H,masterTBCY[[#This Row],[Note Line]])</f>
        <v>0</v>
      </c>
      <c r="G97" s="2562">
        <f ca="1">SUMIF('Additional &amp; Presentation Entry'!E:E,masterTBCY[[#This Row],[Note Line]],'Additional &amp; Presentation Entry'!G:G)</f>
        <v>0</v>
      </c>
      <c r="H97" s="2562">
        <f>SUMIF('Additional &amp; Presentation Entry'!L:L,masterTBCY[[#This Row],[Note Line]],'Additional &amp; Presentation Entry'!N:N)</f>
        <v>0</v>
      </c>
      <c r="I97" s="320">
        <f>+masterTBCY[[#This Row],[Amount as per TB]]+masterTBCY[[#This Row],[Presentation Entry]]</f>
        <v>0</v>
      </c>
      <c r="J97" s="320">
        <f>I97/'Master Data'!$C$25</f>
        <v>0</v>
      </c>
      <c r="K97" s="404" t="s">
        <v>1329</v>
      </c>
      <c r="N97" s="399">
        <v>87</v>
      </c>
      <c r="O97" s="396" t="s">
        <v>364</v>
      </c>
      <c r="P97" s="397" t="s">
        <v>1182</v>
      </c>
      <c r="Q97" s="397" t="s">
        <v>1194</v>
      </c>
      <c r="R97" s="320">
        <f>SUMIF('TB Grouping'!$Q:$Q,'Master TB'!P97,'TB Grouping'!$O:$O)</f>
        <v>0</v>
      </c>
      <c r="S97" s="320">
        <f>SUMIF('Additional &amp; Presentation Entry'!Q:Q,masterTBCY[[#This Row],[Note Line]],'Additional &amp; Presentation Entry'!S:S)</f>
        <v>0</v>
      </c>
      <c r="T97" s="320">
        <f>SUMIF('Additional &amp; Presentation Entry'!X:X,masterTBCY[[#This Row],[Note Line]],'Additional &amp; Presentation Entry'!Z:Z)</f>
        <v>0</v>
      </c>
      <c r="U97" s="320">
        <f t="shared" si="6"/>
        <v>0</v>
      </c>
      <c r="V97" s="320">
        <f>U97/'Master Data'!$C$25</f>
        <v>0</v>
      </c>
      <c r="W97" s="400" t="str">
        <f t="shared" si="5"/>
        <v>Balance Sheet</v>
      </c>
    </row>
    <row r="98" spans="2:23" x14ac:dyDescent="0.3">
      <c r="B98" s="678">
        <f t="shared" si="4"/>
        <v>88</v>
      </c>
      <c r="C98" s="396" t="s">
        <v>364</v>
      </c>
      <c r="D98" s="397" t="s">
        <v>1183</v>
      </c>
      <c r="E98" s="397" t="s">
        <v>1195</v>
      </c>
      <c r="F98" s="320">
        <f>+SUMIFS('TB Grouping'!F:F,'TB Grouping'!H:H,masterTBCY[[#This Row],[Note Line]])</f>
        <v>0</v>
      </c>
      <c r="G98" s="2562">
        <f ca="1">SUMIF('Additional &amp; Presentation Entry'!E:E,masterTBCY[[#This Row],[Note Line]],'Additional &amp; Presentation Entry'!G:G)</f>
        <v>0</v>
      </c>
      <c r="H98" s="2562">
        <f>SUMIF('Additional &amp; Presentation Entry'!L:L,masterTBCY[[#This Row],[Note Line]],'Additional &amp; Presentation Entry'!N:N)</f>
        <v>0</v>
      </c>
      <c r="I98" s="320">
        <f>+masterTBCY[[#This Row],[Amount as per TB]]+masterTBCY[[#This Row],[Presentation Entry]]</f>
        <v>0</v>
      </c>
      <c r="J98" s="320">
        <f>I98/'Master Data'!$C$25</f>
        <v>0</v>
      </c>
      <c r="K98" s="404" t="s">
        <v>1329</v>
      </c>
      <c r="N98" s="399">
        <v>88</v>
      </c>
      <c r="O98" s="396" t="s">
        <v>364</v>
      </c>
      <c r="P98" s="397" t="s">
        <v>1183</v>
      </c>
      <c r="Q98" s="397" t="s">
        <v>1195</v>
      </c>
      <c r="R98" s="320">
        <f>SUMIF('TB Grouping'!$Q:$Q,'Master TB'!P98,'TB Grouping'!$O:$O)</f>
        <v>0</v>
      </c>
      <c r="S98" s="320">
        <f>SUMIF('Additional &amp; Presentation Entry'!Q:Q,masterTBCY[[#This Row],[Note Line]],'Additional &amp; Presentation Entry'!S:S)</f>
        <v>0</v>
      </c>
      <c r="T98" s="320">
        <f>SUMIF('Additional &amp; Presentation Entry'!X:X,masterTBCY[[#This Row],[Note Line]],'Additional &amp; Presentation Entry'!Z:Z)</f>
        <v>0</v>
      </c>
      <c r="U98" s="320">
        <f t="shared" si="6"/>
        <v>0</v>
      </c>
      <c r="V98" s="320">
        <f>U98/'Master Data'!$C$25</f>
        <v>0</v>
      </c>
      <c r="W98" s="400" t="str">
        <f t="shared" si="5"/>
        <v>Balance Sheet</v>
      </c>
    </row>
    <row r="99" spans="2:23" x14ac:dyDescent="0.3">
      <c r="B99" s="678">
        <f t="shared" si="4"/>
        <v>89</v>
      </c>
      <c r="C99" s="396" t="s">
        <v>364</v>
      </c>
      <c r="D99" s="397" t="s">
        <v>1184</v>
      </c>
      <c r="E99" s="397" t="s">
        <v>1196</v>
      </c>
      <c r="F99" s="320">
        <f>+SUMIFS('TB Grouping'!F:F,'TB Grouping'!H:H,masterTBCY[[#This Row],[Note Line]])</f>
        <v>0</v>
      </c>
      <c r="G99" s="2562">
        <f ca="1">SUMIF('Additional &amp; Presentation Entry'!E:E,masterTBCY[[#This Row],[Note Line]],'Additional &amp; Presentation Entry'!G:G)</f>
        <v>0</v>
      </c>
      <c r="H99" s="2562">
        <f>SUMIF('Additional &amp; Presentation Entry'!L:L,masterTBCY[[#This Row],[Note Line]],'Additional &amp; Presentation Entry'!N:N)</f>
        <v>0</v>
      </c>
      <c r="I99" s="320">
        <f>+masterTBCY[[#This Row],[Amount as per TB]]+masterTBCY[[#This Row],[Presentation Entry]]</f>
        <v>0</v>
      </c>
      <c r="J99" s="320">
        <f>I99/'Master Data'!$C$25</f>
        <v>0</v>
      </c>
      <c r="K99" s="404" t="s">
        <v>1329</v>
      </c>
      <c r="N99" s="399">
        <v>89</v>
      </c>
      <c r="O99" s="396" t="s">
        <v>364</v>
      </c>
      <c r="P99" s="397" t="s">
        <v>1184</v>
      </c>
      <c r="Q99" s="397" t="s">
        <v>1196</v>
      </c>
      <c r="R99" s="320">
        <f>SUMIF('TB Grouping'!$Q:$Q,'Master TB'!P99,'TB Grouping'!$O:$O)</f>
        <v>0</v>
      </c>
      <c r="S99" s="320">
        <f>SUMIF('Additional &amp; Presentation Entry'!Q:Q,masterTBCY[[#This Row],[Note Line]],'Additional &amp; Presentation Entry'!S:S)</f>
        <v>0</v>
      </c>
      <c r="T99" s="320">
        <f>SUMIF('Additional &amp; Presentation Entry'!X:X,masterTBCY[[#This Row],[Note Line]],'Additional &amp; Presentation Entry'!Z:Z)</f>
        <v>0</v>
      </c>
      <c r="U99" s="320">
        <f t="shared" si="6"/>
        <v>0</v>
      </c>
      <c r="V99" s="320">
        <f>U99/'Master Data'!$C$25</f>
        <v>0</v>
      </c>
      <c r="W99" s="400" t="str">
        <f t="shared" si="5"/>
        <v>Balance Sheet</v>
      </c>
    </row>
    <row r="100" spans="2:23" x14ac:dyDescent="0.3">
      <c r="B100" s="678">
        <f t="shared" si="4"/>
        <v>90</v>
      </c>
      <c r="C100" s="396" t="s">
        <v>364</v>
      </c>
      <c r="D100" s="397" t="s">
        <v>1185</v>
      </c>
      <c r="E100" s="397" t="s">
        <v>1197</v>
      </c>
      <c r="F100" s="320">
        <f>+SUMIFS('TB Grouping'!F:F,'TB Grouping'!H:H,masterTBCY[[#This Row],[Note Line]])</f>
        <v>0</v>
      </c>
      <c r="G100" s="2562">
        <f ca="1">SUMIF('Additional &amp; Presentation Entry'!E:E,masterTBCY[[#This Row],[Note Line]],'Additional &amp; Presentation Entry'!G:G)</f>
        <v>0</v>
      </c>
      <c r="H100" s="2562">
        <f>SUMIF('Additional &amp; Presentation Entry'!L:L,masterTBCY[[#This Row],[Note Line]],'Additional &amp; Presentation Entry'!N:N)</f>
        <v>0</v>
      </c>
      <c r="I100" s="320">
        <f>+masterTBCY[[#This Row],[Amount as per TB]]+masterTBCY[[#This Row],[Presentation Entry]]</f>
        <v>0</v>
      </c>
      <c r="J100" s="320">
        <f>I100/'Master Data'!$C$25</f>
        <v>0</v>
      </c>
      <c r="K100" s="404" t="s">
        <v>1329</v>
      </c>
      <c r="N100" s="399">
        <v>90</v>
      </c>
      <c r="O100" s="396" t="s">
        <v>364</v>
      </c>
      <c r="P100" s="397" t="s">
        <v>1185</v>
      </c>
      <c r="Q100" s="397" t="s">
        <v>1197</v>
      </c>
      <c r="R100" s="320">
        <f>SUMIF('TB Grouping'!$Q:$Q,'Master TB'!P100,'TB Grouping'!$O:$O)</f>
        <v>0</v>
      </c>
      <c r="S100" s="320">
        <f>SUMIF('Additional &amp; Presentation Entry'!Q:Q,masterTBCY[[#This Row],[Note Line]],'Additional &amp; Presentation Entry'!S:S)</f>
        <v>0</v>
      </c>
      <c r="T100" s="320">
        <f>SUMIF('Additional &amp; Presentation Entry'!X:X,masterTBCY[[#This Row],[Note Line]],'Additional &amp; Presentation Entry'!Z:Z)</f>
        <v>0</v>
      </c>
      <c r="U100" s="320">
        <f t="shared" si="6"/>
        <v>0</v>
      </c>
      <c r="V100" s="320">
        <f>U100/'Master Data'!$C$25</f>
        <v>0</v>
      </c>
      <c r="W100" s="400" t="str">
        <f t="shared" si="5"/>
        <v>Balance Sheet</v>
      </c>
    </row>
    <row r="101" spans="2:23" x14ac:dyDescent="0.3">
      <c r="B101" s="678">
        <f t="shared" si="4"/>
        <v>91</v>
      </c>
      <c r="C101" s="396" t="s">
        <v>364</v>
      </c>
      <c r="D101" s="397" t="s">
        <v>1200</v>
      </c>
      <c r="E101" s="397" t="s">
        <v>1192</v>
      </c>
      <c r="F101" s="320">
        <f>+SUMIFS('TB Grouping'!F:F,'TB Grouping'!H:H,masterTBCY[[#This Row],[Note Line]])</f>
        <v>0</v>
      </c>
      <c r="G101" s="2562">
        <f ca="1">SUMIF('Additional &amp; Presentation Entry'!E:E,masterTBCY[[#This Row],[Note Line]],'Additional &amp; Presentation Entry'!G:G)</f>
        <v>0</v>
      </c>
      <c r="H101" s="2562">
        <f>SUMIF('Additional &amp; Presentation Entry'!L:L,masterTBCY[[#This Row],[Note Line]],'Additional &amp; Presentation Entry'!N:N)</f>
        <v>0</v>
      </c>
      <c r="I101" s="320">
        <f>+masterTBCY[[#This Row],[Amount as per TB]]+masterTBCY[[#This Row],[Presentation Entry]]</f>
        <v>0</v>
      </c>
      <c r="J101" s="320">
        <f>I101/'Master Data'!$C$25</f>
        <v>0</v>
      </c>
      <c r="K101" s="404" t="s">
        <v>1329</v>
      </c>
      <c r="N101" s="399">
        <v>91</v>
      </c>
      <c r="O101" s="396" t="s">
        <v>364</v>
      </c>
      <c r="P101" s="397" t="s">
        <v>1200</v>
      </c>
      <c r="Q101" s="397" t="s">
        <v>1192</v>
      </c>
      <c r="R101" s="320">
        <f>SUMIF('TB Grouping'!$Q:$Q,'Master TB'!P101,'TB Grouping'!$O:$O)</f>
        <v>0</v>
      </c>
      <c r="S101" s="320">
        <f>SUMIF('Additional &amp; Presentation Entry'!Q:Q,masterTBCY[[#This Row],[Note Line]],'Additional &amp; Presentation Entry'!S:S)</f>
        <v>0</v>
      </c>
      <c r="T101" s="320">
        <f>SUMIF('Additional &amp; Presentation Entry'!X:X,masterTBCY[[#This Row],[Note Line]],'Additional &amp; Presentation Entry'!Z:Z)</f>
        <v>0</v>
      </c>
      <c r="U101" s="320">
        <f t="shared" si="6"/>
        <v>0</v>
      </c>
      <c r="V101" s="320">
        <f>U101/'Master Data'!$C$25</f>
        <v>0</v>
      </c>
      <c r="W101" s="400" t="str">
        <f t="shared" si="5"/>
        <v>Balance Sheet</v>
      </c>
    </row>
    <row r="102" spans="2:23" x14ac:dyDescent="0.3">
      <c r="B102" s="678">
        <f t="shared" si="4"/>
        <v>92</v>
      </c>
      <c r="C102" s="396" t="s">
        <v>364</v>
      </c>
      <c r="D102" s="397" t="s">
        <v>1201</v>
      </c>
      <c r="E102" s="397" t="s">
        <v>1193</v>
      </c>
      <c r="F102" s="320">
        <f>+SUMIFS('TB Grouping'!F:F,'TB Grouping'!H:H,masterTBCY[[#This Row],[Note Line]])</f>
        <v>0</v>
      </c>
      <c r="G102" s="2562">
        <f ca="1">SUMIF('Additional &amp; Presentation Entry'!E:E,masterTBCY[[#This Row],[Note Line]],'Additional &amp; Presentation Entry'!G:G)</f>
        <v>0</v>
      </c>
      <c r="H102" s="2562">
        <f>SUMIF('Additional &amp; Presentation Entry'!L:L,masterTBCY[[#This Row],[Note Line]],'Additional &amp; Presentation Entry'!N:N)</f>
        <v>0</v>
      </c>
      <c r="I102" s="320">
        <f>+masterTBCY[[#This Row],[Amount as per TB]]+masterTBCY[[#This Row],[Presentation Entry]]</f>
        <v>0</v>
      </c>
      <c r="J102" s="320">
        <f>I102/'Master Data'!$C$25</f>
        <v>0</v>
      </c>
      <c r="K102" s="404" t="s">
        <v>1329</v>
      </c>
      <c r="N102" s="399">
        <v>92</v>
      </c>
      <c r="O102" s="396" t="s">
        <v>364</v>
      </c>
      <c r="P102" s="397" t="s">
        <v>1201</v>
      </c>
      <c r="Q102" s="397" t="s">
        <v>1193</v>
      </c>
      <c r="R102" s="320">
        <f>SUMIF('TB Grouping'!$Q:$Q,'Master TB'!P102,'TB Grouping'!$O:$O)</f>
        <v>0</v>
      </c>
      <c r="S102" s="320">
        <f>SUMIF('Additional &amp; Presentation Entry'!Q:Q,masterTBCY[[#This Row],[Note Line]],'Additional &amp; Presentation Entry'!S:S)</f>
        <v>0</v>
      </c>
      <c r="T102" s="320">
        <f>SUMIF('Additional &amp; Presentation Entry'!X:X,masterTBCY[[#This Row],[Note Line]],'Additional &amp; Presentation Entry'!Z:Z)</f>
        <v>0</v>
      </c>
      <c r="U102" s="320">
        <f t="shared" si="6"/>
        <v>0</v>
      </c>
      <c r="V102" s="320">
        <f>U102/'Master Data'!$C$25</f>
        <v>0</v>
      </c>
      <c r="W102" s="400" t="str">
        <f t="shared" si="5"/>
        <v>Balance Sheet</v>
      </c>
    </row>
    <row r="103" spans="2:23" x14ac:dyDescent="0.3">
      <c r="B103" s="678">
        <f t="shared" si="4"/>
        <v>93</v>
      </c>
      <c r="C103" s="396" t="s">
        <v>364</v>
      </c>
      <c r="D103" s="397" t="s">
        <v>1202</v>
      </c>
      <c r="E103" s="397" t="s">
        <v>1198</v>
      </c>
      <c r="F103" s="320">
        <f>+SUMIFS('TB Grouping'!F:F,'TB Grouping'!H:H,masterTBCY[[#This Row],[Note Line]])</f>
        <v>0</v>
      </c>
      <c r="G103" s="2562">
        <f ca="1">SUMIF('Additional &amp; Presentation Entry'!E:E,masterTBCY[[#This Row],[Note Line]],'Additional &amp; Presentation Entry'!G:G)</f>
        <v>0</v>
      </c>
      <c r="H103" s="2562">
        <f>SUMIF('Additional &amp; Presentation Entry'!L:L,masterTBCY[[#This Row],[Note Line]],'Additional &amp; Presentation Entry'!N:N)</f>
        <v>0</v>
      </c>
      <c r="I103" s="320">
        <f>+masterTBCY[[#This Row],[Amount as per TB]]+masterTBCY[[#This Row],[Presentation Entry]]</f>
        <v>0</v>
      </c>
      <c r="J103" s="320">
        <f>I103/'Master Data'!$C$25</f>
        <v>0</v>
      </c>
      <c r="K103" s="404" t="s">
        <v>1329</v>
      </c>
      <c r="N103" s="399">
        <v>93</v>
      </c>
      <c r="O103" s="396" t="s">
        <v>364</v>
      </c>
      <c r="P103" s="397" t="s">
        <v>1202</v>
      </c>
      <c r="Q103" s="397" t="s">
        <v>1198</v>
      </c>
      <c r="R103" s="320">
        <f>SUMIF('TB Grouping'!$Q:$Q,'Master TB'!P103,'TB Grouping'!$O:$O)</f>
        <v>0</v>
      </c>
      <c r="S103" s="320">
        <f>SUMIF('Additional &amp; Presentation Entry'!Q:Q,masterTBCY[[#This Row],[Note Line]],'Additional &amp; Presentation Entry'!S:S)</f>
        <v>0</v>
      </c>
      <c r="T103" s="320">
        <f>SUMIF('Additional &amp; Presentation Entry'!X:X,masterTBCY[[#This Row],[Note Line]],'Additional &amp; Presentation Entry'!Z:Z)</f>
        <v>0</v>
      </c>
      <c r="U103" s="320">
        <f t="shared" si="6"/>
        <v>0</v>
      </c>
      <c r="V103" s="320">
        <f>U103/'Master Data'!$C$25</f>
        <v>0</v>
      </c>
      <c r="W103" s="400" t="str">
        <f t="shared" si="5"/>
        <v>Balance Sheet</v>
      </c>
    </row>
    <row r="104" spans="2:23" x14ac:dyDescent="0.3">
      <c r="B104" s="678">
        <f t="shared" si="4"/>
        <v>94</v>
      </c>
      <c r="C104" s="396" t="s">
        <v>364</v>
      </c>
      <c r="D104" s="397" t="s">
        <v>1203</v>
      </c>
      <c r="E104" s="397" t="s">
        <v>1199</v>
      </c>
      <c r="F104" s="320">
        <f>+SUMIFS('TB Grouping'!F:F,'TB Grouping'!H:H,masterTBCY[[#This Row],[Note Line]])</f>
        <v>0</v>
      </c>
      <c r="G104" s="2562">
        <f ca="1">SUMIF('Additional &amp; Presentation Entry'!E:E,masterTBCY[[#This Row],[Note Line]],'Additional &amp; Presentation Entry'!G:G)</f>
        <v>0</v>
      </c>
      <c r="H104" s="2562">
        <f>SUMIF('Additional &amp; Presentation Entry'!L:L,masterTBCY[[#This Row],[Note Line]],'Additional &amp; Presentation Entry'!N:N)</f>
        <v>0</v>
      </c>
      <c r="I104" s="320">
        <f>+masterTBCY[[#This Row],[Amount as per TB]]+masterTBCY[[#This Row],[Presentation Entry]]</f>
        <v>0</v>
      </c>
      <c r="J104" s="320">
        <f>I104/'Master Data'!$C$25</f>
        <v>0</v>
      </c>
      <c r="K104" s="404" t="s">
        <v>1329</v>
      </c>
      <c r="N104" s="399">
        <v>94</v>
      </c>
      <c r="O104" s="396" t="s">
        <v>364</v>
      </c>
      <c r="P104" s="397" t="s">
        <v>1203</v>
      </c>
      <c r="Q104" s="397" t="s">
        <v>1199</v>
      </c>
      <c r="R104" s="320">
        <f>SUMIF('TB Grouping'!$Q:$Q,'Master TB'!P104,'TB Grouping'!$O:$O)</f>
        <v>0</v>
      </c>
      <c r="S104" s="320">
        <f>SUMIF('Additional &amp; Presentation Entry'!Q:Q,masterTBCY[[#This Row],[Note Line]],'Additional &amp; Presentation Entry'!S:S)</f>
        <v>0</v>
      </c>
      <c r="T104" s="320">
        <f>SUMIF('Additional &amp; Presentation Entry'!X:X,masterTBCY[[#This Row],[Note Line]],'Additional &amp; Presentation Entry'!Z:Z)</f>
        <v>0</v>
      </c>
      <c r="U104" s="320">
        <f t="shared" si="6"/>
        <v>0</v>
      </c>
      <c r="V104" s="320">
        <f>U104/'Master Data'!$C$25</f>
        <v>0</v>
      </c>
      <c r="W104" s="400" t="str">
        <f t="shared" si="5"/>
        <v>Balance Sheet</v>
      </c>
    </row>
    <row r="105" spans="2:23" x14ac:dyDescent="0.3">
      <c r="B105" s="678">
        <f t="shared" si="4"/>
        <v>95</v>
      </c>
      <c r="C105" s="396" t="s">
        <v>364</v>
      </c>
      <c r="D105" s="397" t="s">
        <v>1186</v>
      </c>
      <c r="E105" s="397" t="s">
        <v>1215</v>
      </c>
      <c r="F105" s="320">
        <f>+SUMIFS('TB Grouping'!F:F,'TB Grouping'!H:H,masterTBCY[[#This Row],[Note Line]])</f>
        <v>0</v>
      </c>
      <c r="G105" s="2562">
        <f ca="1">SUMIF('Additional &amp; Presentation Entry'!E:E,masterTBCY[[#This Row],[Note Line]],'Additional &amp; Presentation Entry'!G:G)</f>
        <v>0</v>
      </c>
      <c r="H105" s="2562">
        <f>SUMIF('Additional &amp; Presentation Entry'!L:L,masterTBCY[[#This Row],[Note Line]],'Additional &amp; Presentation Entry'!N:N)</f>
        <v>0</v>
      </c>
      <c r="I105" s="320">
        <f>+masterTBCY[[#This Row],[Amount as per TB]]+masterTBCY[[#This Row],[Presentation Entry]]</f>
        <v>0</v>
      </c>
      <c r="J105" s="320">
        <f>I105/'Master Data'!$C$25</f>
        <v>0</v>
      </c>
      <c r="K105" s="404" t="s">
        <v>1329</v>
      </c>
      <c r="N105" s="399">
        <v>95</v>
      </c>
      <c r="O105" s="396" t="s">
        <v>364</v>
      </c>
      <c r="P105" s="397" t="s">
        <v>1186</v>
      </c>
      <c r="Q105" s="397" t="s">
        <v>1215</v>
      </c>
      <c r="R105" s="320">
        <f>SUMIF('TB Grouping'!$Q:$Q,'Master TB'!P105,'TB Grouping'!$O:$O)</f>
        <v>0</v>
      </c>
      <c r="S105" s="320">
        <f>SUMIF('Additional &amp; Presentation Entry'!Q:Q,masterTBCY[[#This Row],[Note Line]],'Additional &amp; Presentation Entry'!S:S)</f>
        <v>0</v>
      </c>
      <c r="T105" s="320">
        <f>SUMIF('Additional &amp; Presentation Entry'!X:X,masterTBCY[[#This Row],[Note Line]],'Additional &amp; Presentation Entry'!Z:Z)</f>
        <v>0</v>
      </c>
      <c r="U105" s="320">
        <f t="shared" si="6"/>
        <v>0</v>
      </c>
      <c r="V105" s="320">
        <f>U105/'Master Data'!$C$25</f>
        <v>0</v>
      </c>
      <c r="W105" s="400" t="str">
        <f t="shared" si="5"/>
        <v>Balance Sheet</v>
      </c>
    </row>
    <row r="106" spans="2:23" x14ac:dyDescent="0.3">
      <c r="B106" s="678">
        <f t="shared" si="4"/>
        <v>96</v>
      </c>
      <c r="C106" s="396" t="s">
        <v>364</v>
      </c>
      <c r="D106" s="397" t="s">
        <v>1187</v>
      </c>
      <c r="E106" s="397" t="s">
        <v>1216</v>
      </c>
      <c r="F106" s="320">
        <f>+SUMIFS('TB Grouping'!F:F,'TB Grouping'!H:H,masterTBCY[[#This Row],[Note Line]])</f>
        <v>0</v>
      </c>
      <c r="G106" s="2562">
        <f ca="1">SUMIF('Additional &amp; Presentation Entry'!E:E,masterTBCY[[#This Row],[Note Line]],'Additional &amp; Presentation Entry'!G:G)</f>
        <v>0</v>
      </c>
      <c r="H106" s="2562">
        <f>SUMIF('Additional &amp; Presentation Entry'!L:L,masterTBCY[[#This Row],[Note Line]],'Additional &amp; Presentation Entry'!N:N)</f>
        <v>0</v>
      </c>
      <c r="I106" s="320">
        <f>+masterTBCY[[#This Row],[Amount as per TB]]+masterTBCY[[#This Row],[Presentation Entry]]</f>
        <v>0</v>
      </c>
      <c r="J106" s="320">
        <f>I106/'Master Data'!$C$25</f>
        <v>0</v>
      </c>
      <c r="K106" s="404" t="s">
        <v>1329</v>
      </c>
      <c r="N106" s="399">
        <v>96</v>
      </c>
      <c r="O106" s="396" t="s">
        <v>364</v>
      </c>
      <c r="P106" s="397" t="s">
        <v>1187</v>
      </c>
      <c r="Q106" s="397" t="s">
        <v>1216</v>
      </c>
      <c r="R106" s="320">
        <f>SUMIF('TB Grouping'!$Q:$Q,'Master TB'!P106,'TB Grouping'!$O:$O)</f>
        <v>0</v>
      </c>
      <c r="S106" s="320">
        <f>SUMIF('Additional &amp; Presentation Entry'!Q:Q,masterTBCY[[#This Row],[Note Line]],'Additional &amp; Presentation Entry'!S:S)</f>
        <v>0</v>
      </c>
      <c r="T106" s="320">
        <f>SUMIF('Additional &amp; Presentation Entry'!X:X,masterTBCY[[#This Row],[Note Line]],'Additional &amp; Presentation Entry'!Z:Z)</f>
        <v>0</v>
      </c>
      <c r="U106" s="320">
        <f t="shared" si="6"/>
        <v>0</v>
      </c>
      <c r="V106" s="320">
        <f>U106/'Master Data'!$C$25</f>
        <v>0</v>
      </c>
      <c r="W106" s="400" t="str">
        <f t="shared" si="5"/>
        <v>Balance Sheet</v>
      </c>
    </row>
    <row r="107" spans="2:23" x14ac:dyDescent="0.3">
      <c r="B107" s="678">
        <f t="shared" si="4"/>
        <v>97</v>
      </c>
      <c r="C107" s="396" t="s">
        <v>364</v>
      </c>
      <c r="D107" s="397" t="s">
        <v>1230</v>
      </c>
      <c r="E107" s="397" t="s">
        <v>1206</v>
      </c>
      <c r="F107" s="320">
        <f>+SUMIFS('TB Grouping'!F:F,'TB Grouping'!H:H,masterTBCY[[#This Row],[Note Line]])</f>
        <v>0</v>
      </c>
      <c r="G107" s="2562">
        <f ca="1">SUMIF('Additional &amp; Presentation Entry'!E:E,masterTBCY[[#This Row],[Note Line]],'Additional &amp; Presentation Entry'!G:G)</f>
        <v>0</v>
      </c>
      <c r="H107" s="2562">
        <f>SUMIF('Additional &amp; Presentation Entry'!L:L,masterTBCY[[#This Row],[Note Line]],'Additional &amp; Presentation Entry'!N:N)</f>
        <v>0</v>
      </c>
      <c r="I107" s="320">
        <f>+masterTBCY[[#This Row],[Amount as per TB]]+masterTBCY[[#This Row],[Presentation Entry]]</f>
        <v>0</v>
      </c>
      <c r="J107" s="320">
        <f>I107/'Master Data'!$C$25</f>
        <v>0</v>
      </c>
      <c r="K107" s="404" t="s">
        <v>1329</v>
      </c>
      <c r="N107" s="399">
        <v>97</v>
      </c>
      <c r="O107" s="396" t="s">
        <v>364</v>
      </c>
      <c r="P107" s="397" t="s">
        <v>1230</v>
      </c>
      <c r="Q107" s="397" t="s">
        <v>1206</v>
      </c>
      <c r="R107" s="320">
        <f>SUMIF('TB Grouping'!$Q:$Q,'Master TB'!P107,'TB Grouping'!$O:$O)</f>
        <v>0</v>
      </c>
      <c r="S107" s="320">
        <f>SUMIF('Additional &amp; Presentation Entry'!Q:Q,masterTBCY[[#This Row],[Note Line]],'Additional &amp; Presentation Entry'!S:S)</f>
        <v>0</v>
      </c>
      <c r="T107" s="320">
        <f>SUMIF('Additional &amp; Presentation Entry'!X:X,masterTBCY[[#This Row],[Note Line]],'Additional &amp; Presentation Entry'!Z:Z)</f>
        <v>0</v>
      </c>
      <c r="U107" s="320">
        <f t="shared" si="6"/>
        <v>0</v>
      </c>
      <c r="V107" s="320">
        <f>U107/'Master Data'!$C$25</f>
        <v>0</v>
      </c>
      <c r="W107" s="400" t="str">
        <f t="shared" si="5"/>
        <v>Balance Sheet</v>
      </c>
    </row>
    <row r="108" spans="2:23" x14ac:dyDescent="0.3">
      <c r="B108" s="678">
        <f t="shared" si="4"/>
        <v>98</v>
      </c>
      <c r="C108" s="396" t="s">
        <v>364</v>
      </c>
      <c r="D108" s="397" t="s">
        <v>1231</v>
      </c>
      <c r="E108" s="397" t="s">
        <v>1207</v>
      </c>
      <c r="F108" s="320">
        <f>+SUMIFS('TB Grouping'!F:F,'TB Grouping'!H:H,masterTBCY[[#This Row],[Note Line]])</f>
        <v>0</v>
      </c>
      <c r="G108" s="2562">
        <f ca="1">SUMIF('Additional &amp; Presentation Entry'!E:E,masterTBCY[[#This Row],[Note Line]],'Additional &amp; Presentation Entry'!G:G)</f>
        <v>0</v>
      </c>
      <c r="H108" s="2562">
        <f>SUMIF('Additional &amp; Presentation Entry'!L:L,masterTBCY[[#This Row],[Note Line]],'Additional &amp; Presentation Entry'!N:N)</f>
        <v>0</v>
      </c>
      <c r="I108" s="320">
        <f>+masterTBCY[[#This Row],[Amount as per TB]]+masterTBCY[[#This Row],[Presentation Entry]]</f>
        <v>0</v>
      </c>
      <c r="J108" s="320">
        <f>I108/'Master Data'!$C$25</f>
        <v>0</v>
      </c>
      <c r="K108" s="404" t="s">
        <v>1329</v>
      </c>
      <c r="N108" s="399">
        <v>98</v>
      </c>
      <c r="O108" s="396" t="s">
        <v>364</v>
      </c>
      <c r="P108" s="397" t="s">
        <v>1231</v>
      </c>
      <c r="Q108" s="397" t="s">
        <v>1207</v>
      </c>
      <c r="R108" s="320">
        <f>SUMIF('TB Grouping'!$Q:$Q,'Master TB'!P108,'TB Grouping'!$O:$O)</f>
        <v>0</v>
      </c>
      <c r="S108" s="320">
        <f>SUMIF('Additional &amp; Presentation Entry'!Q:Q,masterTBCY[[#This Row],[Note Line]],'Additional &amp; Presentation Entry'!S:S)</f>
        <v>0</v>
      </c>
      <c r="T108" s="320">
        <f>SUMIF('Additional &amp; Presentation Entry'!X:X,masterTBCY[[#This Row],[Note Line]],'Additional &amp; Presentation Entry'!Z:Z)</f>
        <v>0</v>
      </c>
      <c r="U108" s="320">
        <f t="shared" si="6"/>
        <v>0</v>
      </c>
      <c r="V108" s="320">
        <f>U108/'Master Data'!$C$25</f>
        <v>0</v>
      </c>
      <c r="W108" s="400" t="str">
        <f t="shared" si="5"/>
        <v>Balance Sheet</v>
      </c>
    </row>
    <row r="109" spans="2:23" x14ac:dyDescent="0.3">
      <c r="B109" s="678">
        <f t="shared" si="4"/>
        <v>99</v>
      </c>
      <c r="C109" s="396" t="s">
        <v>364</v>
      </c>
      <c r="D109" s="397" t="s">
        <v>1204</v>
      </c>
      <c r="E109" s="397" t="s">
        <v>1208</v>
      </c>
      <c r="F109" s="320">
        <f>+SUMIFS('TB Grouping'!F:F,'TB Grouping'!H:H,masterTBCY[[#This Row],[Note Line]])</f>
        <v>0</v>
      </c>
      <c r="G109" s="2562">
        <f ca="1">SUMIF('Additional &amp; Presentation Entry'!E:E,masterTBCY[[#This Row],[Note Line]],'Additional &amp; Presentation Entry'!G:G)</f>
        <v>0</v>
      </c>
      <c r="H109" s="2562">
        <f>SUMIF('Additional &amp; Presentation Entry'!L:L,masterTBCY[[#This Row],[Note Line]],'Additional &amp; Presentation Entry'!N:N)</f>
        <v>0</v>
      </c>
      <c r="I109" s="320">
        <f>+masterTBCY[[#This Row],[Amount as per TB]]+masterTBCY[[#This Row],[Presentation Entry]]</f>
        <v>0</v>
      </c>
      <c r="J109" s="320">
        <f>I109/'Master Data'!$C$25</f>
        <v>0</v>
      </c>
      <c r="K109" s="404" t="s">
        <v>1329</v>
      </c>
      <c r="N109" s="399">
        <v>99</v>
      </c>
      <c r="O109" s="396" t="s">
        <v>364</v>
      </c>
      <c r="P109" s="397" t="s">
        <v>1204</v>
      </c>
      <c r="Q109" s="397" t="s">
        <v>1208</v>
      </c>
      <c r="R109" s="320">
        <f>SUMIF('TB Grouping'!$Q:$Q,'Master TB'!P109,'TB Grouping'!$O:$O)</f>
        <v>0</v>
      </c>
      <c r="S109" s="320">
        <f>SUMIF('Additional &amp; Presentation Entry'!Q:Q,masterTBCY[[#This Row],[Note Line]],'Additional &amp; Presentation Entry'!S:S)</f>
        <v>0</v>
      </c>
      <c r="T109" s="320">
        <f>SUMIF('Additional &amp; Presentation Entry'!X:X,masterTBCY[[#This Row],[Note Line]],'Additional &amp; Presentation Entry'!Z:Z)</f>
        <v>0</v>
      </c>
      <c r="U109" s="320">
        <f t="shared" si="6"/>
        <v>0</v>
      </c>
      <c r="V109" s="320">
        <f>U109/'Master Data'!$C$25</f>
        <v>0</v>
      </c>
      <c r="W109" s="400" t="str">
        <f t="shared" si="5"/>
        <v>Balance Sheet</v>
      </c>
    </row>
    <row r="110" spans="2:23" x14ac:dyDescent="0.3">
      <c r="B110" s="678">
        <f t="shared" si="4"/>
        <v>100</v>
      </c>
      <c r="C110" s="396" t="s">
        <v>364</v>
      </c>
      <c r="D110" s="397" t="s">
        <v>1205</v>
      </c>
      <c r="E110" s="397" t="s">
        <v>1209</v>
      </c>
      <c r="F110" s="320">
        <f>+SUMIFS('TB Grouping'!F:F,'TB Grouping'!H:H,masterTBCY[[#This Row],[Note Line]])</f>
        <v>0</v>
      </c>
      <c r="G110" s="2562">
        <f ca="1">SUMIF('Additional &amp; Presentation Entry'!E:E,masterTBCY[[#This Row],[Note Line]],'Additional &amp; Presentation Entry'!G:G)</f>
        <v>0</v>
      </c>
      <c r="H110" s="2562">
        <f>SUMIF('Additional &amp; Presentation Entry'!L:L,masterTBCY[[#This Row],[Note Line]],'Additional &amp; Presentation Entry'!N:N)</f>
        <v>0</v>
      </c>
      <c r="I110" s="320">
        <f>+masterTBCY[[#This Row],[Amount as per TB]]+masterTBCY[[#This Row],[Presentation Entry]]</f>
        <v>0</v>
      </c>
      <c r="J110" s="320">
        <f>I110/'Master Data'!$C$25</f>
        <v>0</v>
      </c>
      <c r="K110" s="404" t="s">
        <v>1329</v>
      </c>
      <c r="N110" s="399">
        <v>100</v>
      </c>
      <c r="O110" s="396" t="s">
        <v>364</v>
      </c>
      <c r="P110" s="397" t="s">
        <v>1205</v>
      </c>
      <c r="Q110" s="397" t="s">
        <v>1209</v>
      </c>
      <c r="R110" s="320">
        <f>SUMIF('TB Grouping'!$Q:$Q,'Master TB'!P110,'TB Grouping'!$O:$O)</f>
        <v>0</v>
      </c>
      <c r="S110" s="320">
        <f>SUMIF('Additional &amp; Presentation Entry'!Q:Q,masterTBCY[[#This Row],[Note Line]],'Additional &amp; Presentation Entry'!S:S)</f>
        <v>0</v>
      </c>
      <c r="T110" s="320">
        <f>SUMIF('Additional &amp; Presentation Entry'!X:X,masterTBCY[[#This Row],[Note Line]],'Additional &amp; Presentation Entry'!Z:Z)</f>
        <v>0</v>
      </c>
      <c r="U110" s="320">
        <f t="shared" si="6"/>
        <v>0</v>
      </c>
      <c r="V110" s="320">
        <f>U110/'Master Data'!$C$25</f>
        <v>0</v>
      </c>
      <c r="W110" s="400" t="str">
        <f t="shared" si="5"/>
        <v>Balance Sheet</v>
      </c>
    </row>
    <row r="111" spans="2:23" x14ac:dyDescent="0.3">
      <c r="B111" s="678">
        <f t="shared" si="4"/>
        <v>101</v>
      </c>
      <c r="C111" s="396" t="s">
        <v>364</v>
      </c>
      <c r="D111" s="397" t="s">
        <v>1232</v>
      </c>
      <c r="E111" s="397" t="s">
        <v>1210</v>
      </c>
      <c r="F111" s="320">
        <f>+SUMIFS('TB Grouping'!F:F,'TB Grouping'!H:H,masterTBCY[[#This Row],[Note Line]])</f>
        <v>0</v>
      </c>
      <c r="G111" s="2562">
        <f ca="1">SUMIF('Additional &amp; Presentation Entry'!E:E,masterTBCY[[#This Row],[Note Line]],'Additional &amp; Presentation Entry'!G:G)</f>
        <v>0</v>
      </c>
      <c r="H111" s="2562">
        <f>SUMIF('Additional &amp; Presentation Entry'!L:L,masterTBCY[[#This Row],[Note Line]],'Additional &amp; Presentation Entry'!N:N)</f>
        <v>0</v>
      </c>
      <c r="I111" s="320">
        <f>+masterTBCY[[#This Row],[Amount as per TB]]+masterTBCY[[#This Row],[Presentation Entry]]</f>
        <v>0</v>
      </c>
      <c r="J111" s="320">
        <f>I111/'Master Data'!$C$25</f>
        <v>0</v>
      </c>
      <c r="K111" s="404" t="s">
        <v>1329</v>
      </c>
      <c r="N111" s="399">
        <v>101</v>
      </c>
      <c r="O111" s="396" t="s">
        <v>364</v>
      </c>
      <c r="P111" s="397" t="s">
        <v>1232</v>
      </c>
      <c r="Q111" s="397" t="s">
        <v>1210</v>
      </c>
      <c r="R111" s="320">
        <f>SUMIF('TB Grouping'!$Q:$Q,'Master TB'!P111,'TB Grouping'!$O:$O)</f>
        <v>0</v>
      </c>
      <c r="S111" s="320">
        <f>SUMIF('Additional &amp; Presentation Entry'!Q:Q,masterTBCY[[#This Row],[Note Line]],'Additional &amp; Presentation Entry'!S:S)</f>
        <v>0</v>
      </c>
      <c r="T111" s="320">
        <f>SUMIF('Additional &amp; Presentation Entry'!X:X,masterTBCY[[#This Row],[Note Line]],'Additional &amp; Presentation Entry'!Z:Z)</f>
        <v>0</v>
      </c>
      <c r="U111" s="320">
        <f t="shared" si="6"/>
        <v>0</v>
      </c>
      <c r="V111" s="320">
        <f>U111/'Master Data'!$C$25</f>
        <v>0</v>
      </c>
      <c r="W111" s="400" t="str">
        <f t="shared" si="5"/>
        <v>Balance Sheet</v>
      </c>
    </row>
    <row r="112" spans="2:23" x14ac:dyDescent="0.3">
      <c r="B112" s="678">
        <f t="shared" si="4"/>
        <v>102</v>
      </c>
      <c r="C112" s="396" t="s">
        <v>364</v>
      </c>
      <c r="D112" s="397" t="s">
        <v>1233</v>
      </c>
      <c r="E112" s="397" t="s">
        <v>1211</v>
      </c>
      <c r="F112" s="320">
        <f>+SUMIFS('TB Grouping'!F:F,'TB Grouping'!H:H,masterTBCY[[#This Row],[Note Line]])</f>
        <v>0</v>
      </c>
      <c r="G112" s="2562">
        <f ca="1">SUMIF('Additional &amp; Presentation Entry'!E:E,masterTBCY[[#This Row],[Note Line]],'Additional &amp; Presentation Entry'!G:G)</f>
        <v>0</v>
      </c>
      <c r="H112" s="2562">
        <f>SUMIF('Additional &amp; Presentation Entry'!L:L,masterTBCY[[#This Row],[Note Line]],'Additional &amp; Presentation Entry'!N:N)</f>
        <v>0</v>
      </c>
      <c r="I112" s="320">
        <f>+masterTBCY[[#This Row],[Amount as per TB]]+masterTBCY[[#This Row],[Presentation Entry]]</f>
        <v>0</v>
      </c>
      <c r="J112" s="320">
        <f>I112/'Master Data'!$C$25</f>
        <v>0</v>
      </c>
      <c r="K112" s="404" t="s">
        <v>1329</v>
      </c>
      <c r="N112" s="399">
        <v>102</v>
      </c>
      <c r="O112" s="396" t="s">
        <v>364</v>
      </c>
      <c r="P112" s="397" t="s">
        <v>1233</v>
      </c>
      <c r="Q112" s="397" t="s">
        <v>1211</v>
      </c>
      <c r="R112" s="320">
        <f>SUMIF('TB Grouping'!$Q:$Q,'Master TB'!P112,'TB Grouping'!$O:$O)</f>
        <v>0</v>
      </c>
      <c r="S112" s="320">
        <f>SUMIF('Additional &amp; Presentation Entry'!Q:Q,masterTBCY[[#This Row],[Note Line]],'Additional &amp; Presentation Entry'!S:S)</f>
        <v>0</v>
      </c>
      <c r="T112" s="320">
        <f>SUMIF('Additional &amp; Presentation Entry'!X:X,masterTBCY[[#This Row],[Note Line]],'Additional &amp; Presentation Entry'!Z:Z)</f>
        <v>0</v>
      </c>
      <c r="U112" s="320">
        <f t="shared" si="6"/>
        <v>0</v>
      </c>
      <c r="V112" s="320">
        <f>U112/'Master Data'!$C$25</f>
        <v>0</v>
      </c>
      <c r="W112" s="400" t="str">
        <f t="shared" si="5"/>
        <v>Balance Sheet</v>
      </c>
    </row>
    <row r="113" spans="2:23" x14ac:dyDescent="0.3">
      <c r="B113" s="678">
        <f t="shared" si="4"/>
        <v>103</v>
      </c>
      <c r="C113" s="396" t="s">
        <v>364</v>
      </c>
      <c r="D113" s="397" t="s">
        <v>1222</v>
      </c>
      <c r="E113" s="397" t="s">
        <v>1212</v>
      </c>
      <c r="F113" s="320">
        <f>+SUMIFS('TB Grouping'!F:F,'TB Grouping'!H:H,masterTBCY[[#This Row],[Note Line]])</f>
        <v>0</v>
      </c>
      <c r="G113" s="2562">
        <f ca="1">SUMIF('Additional &amp; Presentation Entry'!E:E,masterTBCY[[#This Row],[Note Line]],'Additional &amp; Presentation Entry'!G:G)</f>
        <v>0</v>
      </c>
      <c r="H113" s="2562">
        <f>SUMIF('Additional &amp; Presentation Entry'!L:L,masterTBCY[[#This Row],[Note Line]],'Additional &amp; Presentation Entry'!N:N)</f>
        <v>0</v>
      </c>
      <c r="I113" s="320">
        <f>+masterTBCY[[#This Row],[Amount as per TB]]+masterTBCY[[#This Row],[Presentation Entry]]</f>
        <v>0</v>
      </c>
      <c r="J113" s="320">
        <f>I113/'Master Data'!$C$25</f>
        <v>0</v>
      </c>
      <c r="K113" s="404" t="s">
        <v>1329</v>
      </c>
      <c r="N113" s="399">
        <v>103</v>
      </c>
      <c r="O113" s="396" t="s">
        <v>364</v>
      </c>
      <c r="P113" s="397" t="s">
        <v>1222</v>
      </c>
      <c r="Q113" s="397" t="s">
        <v>1212</v>
      </c>
      <c r="R113" s="320">
        <f>SUMIF('TB Grouping'!$Q:$Q,'Master TB'!P113,'TB Grouping'!$O:$O)</f>
        <v>0</v>
      </c>
      <c r="S113" s="320">
        <f>SUMIF('Additional &amp; Presentation Entry'!Q:Q,masterTBCY[[#This Row],[Note Line]],'Additional &amp; Presentation Entry'!S:S)</f>
        <v>0</v>
      </c>
      <c r="T113" s="320">
        <f>SUMIF('Additional &amp; Presentation Entry'!X:X,masterTBCY[[#This Row],[Note Line]],'Additional &amp; Presentation Entry'!Z:Z)</f>
        <v>0</v>
      </c>
      <c r="U113" s="320">
        <f t="shared" si="6"/>
        <v>0</v>
      </c>
      <c r="V113" s="320">
        <f>U113/'Master Data'!$C$25</f>
        <v>0</v>
      </c>
      <c r="W113" s="400" t="str">
        <f t="shared" si="5"/>
        <v>Balance Sheet</v>
      </c>
    </row>
    <row r="114" spans="2:23" x14ac:dyDescent="0.3">
      <c r="B114" s="678">
        <f t="shared" si="4"/>
        <v>104</v>
      </c>
      <c r="C114" s="396" t="s">
        <v>364</v>
      </c>
      <c r="D114" s="397" t="s">
        <v>1223</v>
      </c>
      <c r="E114" s="397" t="s">
        <v>1213</v>
      </c>
      <c r="F114" s="320">
        <f>+SUMIFS('TB Grouping'!F:F,'TB Grouping'!H:H,masterTBCY[[#This Row],[Note Line]])</f>
        <v>0</v>
      </c>
      <c r="G114" s="2562">
        <f ca="1">SUMIF('Additional &amp; Presentation Entry'!E:E,masterTBCY[[#This Row],[Note Line]],'Additional &amp; Presentation Entry'!G:G)</f>
        <v>0</v>
      </c>
      <c r="H114" s="2562">
        <f>SUMIF('Additional &amp; Presentation Entry'!L:L,masterTBCY[[#This Row],[Note Line]],'Additional &amp; Presentation Entry'!N:N)</f>
        <v>0</v>
      </c>
      <c r="I114" s="320">
        <f>+masterTBCY[[#This Row],[Amount as per TB]]+masterTBCY[[#This Row],[Presentation Entry]]</f>
        <v>0</v>
      </c>
      <c r="J114" s="320">
        <f>I114/'Master Data'!$C$25</f>
        <v>0</v>
      </c>
      <c r="K114" s="404" t="s">
        <v>1329</v>
      </c>
      <c r="N114" s="399">
        <v>104</v>
      </c>
      <c r="O114" s="396" t="s">
        <v>364</v>
      </c>
      <c r="P114" s="397" t="s">
        <v>1223</v>
      </c>
      <c r="Q114" s="397" t="s">
        <v>1213</v>
      </c>
      <c r="R114" s="320">
        <f>SUMIF('TB Grouping'!$Q:$Q,'Master TB'!P114,'TB Grouping'!$O:$O)</f>
        <v>0</v>
      </c>
      <c r="S114" s="320">
        <f>SUMIF('Additional &amp; Presentation Entry'!Q:Q,masterTBCY[[#This Row],[Note Line]],'Additional &amp; Presentation Entry'!S:S)</f>
        <v>0</v>
      </c>
      <c r="T114" s="320">
        <f>SUMIF('Additional &amp; Presentation Entry'!X:X,masterTBCY[[#This Row],[Note Line]],'Additional &amp; Presentation Entry'!Z:Z)</f>
        <v>0</v>
      </c>
      <c r="U114" s="320">
        <f t="shared" si="6"/>
        <v>0</v>
      </c>
      <c r="V114" s="320">
        <f>U114/'Master Data'!$C$25</f>
        <v>0</v>
      </c>
      <c r="W114" s="400" t="str">
        <f t="shared" ref="W114:W145" si="7">K116</f>
        <v>Balance Sheet</v>
      </c>
    </row>
    <row r="115" spans="2:23" x14ac:dyDescent="0.3">
      <c r="B115" s="678">
        <f t="shared" si="4"/>
        <v>105</v>
      </c>
      <c r="C115" s="396" t="s">
        <v>364</v>
      </c>
      <c r="D115" s="397" t="s">
        <v>1234</v>
      </c>
      <c r="E115" s="397" t="s">
        <v>1214</v>
      </c>
      <c r="F115" s="320">
        <f>+SUMIFS('TB Grouping'!F:F,'TB Grouping'!H:H,masterTBCY[[#This Row],[Note Line]])</f>
        <v>0</v>
      </c>
      <c r="G115" s="2562">
        <f ca="1">SUMIF('Additional &amp; Presentation Entry'!E:E,masterTBCY[[#This Row],[Note Line]],'Additional &amp; Presentation Entry'!G:G)</f>
        <v>0</v>
      </c>
      <c r="H115" s="2562">
        <f>SUMIF('Additional &amp; Presentation Entry'!L:L,masterTBCY[[#This Row],[Note Line]],'Additional &amp; Presentation Entry'!N:N)</f>
        <v>0</v>
      </c>
      <c r="I115" s="320">
        <f>+masterTBCY[[#This Row],[Amount as per TB]]+masterTBCY[[#This Row],[Presentation Entry]]</f>
        <v>0</v>
      </c>
      <c r="J115" s="320">
        <f>I115/'Master Data'!$C$25</f>
        <v>0</v>
      </c>
      <c r="K115" s="404" t="s">
        <v>1329</v>
      </c>
      <c r="N115" s="399">
        <v>105</v>
      </c>
      <c r="O115" s="396" t="s">
        <v>364</v>
      </c>
      <c r="P115" s="397" t="s">
        <v>1234</v>
      </c>
      <c r="Q115" s="397" t="s">
        <v>1214</v>
      </c>
      <c r="R115" s="320">
        <f>SUMIF('TB Grouping'!$Q:$Q,'Master TB'!P115,'TB Grouping'!$O:$O)</f>
        <v>0</v>
      </c>
      <c r="S115" s="320">
        <f>SUMIF('Additional &amp; Presentation Entry'!Q:Q,masterTBCY[[#This Row],[Note Line]],'Additional &amp; Presentation Entry'!S:S)</f>
        <v>0</v>
      </c>
      <c r="T115" s="320">
        <f>SUMIF('Additional &amp; Presentation Entry'!X:X,masterTBCY[[#This Row],[Note Line]],'Additional &amp; Presentation Entry'!Z:Z)</f>
        <v>0</v>
      </c>
      <c r="U115" s="320">
        <f t="shared" si="6"/>
        <v>0</v>
      </c>
      <c r="V115" s="320">
        <f>U115/'Master Data'!$C$25</f>
        <v>0</v>
      </c>
      <c r="W115" s="400" t="str">
        <f t="shared" si="7"/>
        <v>Balance Sheet</v>
      </c>
    </row>
    <row r="116" spans="2:23" x14ac:dyDescent="0.3">
      <c r="B116" s="678">
        <f t="shared" si="4"/>
        <v>106</v>
      </c>
      <c r="C116" s="396" t="s">
        <v>364</v>
      </c>
      <c r="D116" s="397" t="s">
        <v>1235</v>
      </c>
      <c r="E116" s="397" t="s">
        <v>1217</v>
      </c>
      <c r="F116" s="320">
        <f>+SUMIFS('TB Grouping'!F:F,'TB Grouping'!H:H,masterTBCY[[#This Row],[Note Line]])</f>
        <v>0</v>
      </c>
      <c r="G116" s="2562">
        <f ca="1">SUMIF('Additional &amp; Presentation Entry'!E:E,masterTBCY[[#This Row],[Note Line]],'Additional &amp; Presentation Entry'!G:G)</f>
        <v>0</v>
      </c>
      <c r="H116" s="2562">
        <f>SUMIF('Additional &amp; Presentation Entry'!L:L,masterTBCY[[#This Row],[Note Line]],'Additional &amp; Presentation Entry'!N:N)</f>
        <v>0</v>
      </c>
      <c r="I116" s="320">
        <f>+masterTBCY[[#This Row],[Amount as per TB]]+masterTBCY[[#This Row],[Presentation Entry]]</f>
        <v>0</v>
      </c>
      <c r="J116" s="320">
        <f>I116/'Master Data'!$C$25</f>
        <v>0</v>
      </c>
      <c r="K116" s="404" t="s">
        <v>1329</v>
      </c>
      <c r="N116" s="399">
        <v>106</v>
      </c>
      <c r="O116" s="396" t="s">
        <v>364</v>
      </c>
      <c r="P116" s="397" t="s">
        <v>1235</v>
      </c>
      <c r="Q116" s="397" t="s">
        <v>1217</v>
      </c>
      <c r="R116" s="320">
        <f>SUMIF('TB Grouping'!$Q:$Q,'Master TB'!P116,'TB Grouping'!$O:$O)</f>
        <v>0</v>
      </c>
      <c r="S116" s="320">
        <f>SUMIF('Additional &amp; Presentation Entry'!Q:Q,masterTBCY[[#This Row],[Note Line]],'Additional &amp; Presentation Entry'!S:S)</f>
        <v>0</v>
      </c>
      <c r="T116" s="320">
        <f>SUMIF('Additional &amp; Presentation Entry'!X:X,masterTBCY[[#This Row],[Note Line]],'Additional &amp; Presentation Entry'!Z:Z)</f>
        <v>0</v>
      </c>
      <c r="U116" s="320">
        <f t="shared" si="6"/>
        <v>0</v>
      </c>
      <c r="V116" s="320">
        <f>U116/'Master Data'!$C$25</f>
        <v>0</v>
      </c>
      <c r="W116" s="400" t="str">
        <f t="shared" si="7"/>
        <v>Balance Sheet</v>
      </c>
    </row>
    <row r="117" spans="2:23" x14ac:dyDescent="0.3">
      <c r="B117" s="678">
        <f t="shared" si="4"/>
        <v>107</v>
      </c>
      <c r="C117" s="396" t="s">
        <v>364</v>
      </c>
      <c r="D117" s="397" t="s">
        <v>1236</v>
      </c>
      <c r="E117" s="397" t="s">
        <v>1218</v>
      </c>
      <c r="F117" s="320">
        <f>+SUMIFS('TB Grouping'!F:F,'TB Grouping'!H:H,masterTBCY[[#This Row],[Note Line]])</f>
        <v>0</v>
      </c>
      <c r="G117" s="2562">
        <f ca="1">SUMIF('Additional &amp; Presentation Entry'!E:E,masterTBCY[[#This Row],[Note Line]],'Additional &amp; Presentation Entry'!G:G)</f>
        <v>0</v>
      </c>
      <c r="H117" s="2562">
        <f>SUMIF('Additional &amp; Presentation Entry'!L:L,masterTBCY[[#This Row],[Note Line]],'Additional &amp; Presentation Entry'!N:N)</f>
        <v>0</v>
      </c>
      <c r="I117" s="320">
        <f>+masterTBCY[[#This Row],[Amount as per TB]]+masterTBCY[[#This Row],[Presentation Entry]]</f>
        <v>0</v>
      </c>
      <c r="J117" s="320">
        <f>I117/'Master Data'!$C$25</f>
        <v>0</v>
      </c>
      <c r="K117" s="404" t="s">
        <v>1329</v>
      </c>
      <c r="N117" s="399">
        <v>107</v>
      </c>
      <c r="O117" s="396" t="s">
        <v>364</v>
      </c>
      <c r="P117" s="397" t="s">
        <v>1236</v>
      </c>
      <c r="Q117" s="397" t="s">
        <v>1218</v>
      </c>
      <c r="R117" s="320">
        <f>SUMIF('TB Grouping'!$Q:$Q,'Master TB'!P117,'TB Grouping'!$O:$O)</f>
        <v>0</v>
      </c>
      <c r="S117" s="320">
        <f>SUMIF('Additional &amp; Presentation Entry'!Q:Q,masterTBCY[[#This Row],[Note Line]],'Additional &amp; Presentation Entry'!S:S)</f>
        <v>0</v>
      </c>
      <c r="T117" s="320">
        <f>SUMIF('Additional &amp; Presentation Entry'!X:X,masterTBCY[[#This Row],[Note Line]],'Additional &amp; Presentation Entry'!Z:Z)</f>
        <v>0</v>
      </c>
      <c r="U117" s="320">
        <f t="shared" si="6"/>
        <v>0</v>
      </c>
      <c r="V117" s="320">
        <f>U117/'Master Data'!$C$25</f>
        <v>0</v>
      </c>
      <c r="W117" s="400" t="str">
        <f t="shared" si="7"/>
        <v>Balance Sheet</v>
      </c>
    </row>
    <row r="118" spans="2:23" x14ac:dyDescent="0.3">
      <c r="B118" s="678">
        <f t="shared" si="4"/>
        <v>108</v>
      </c>
      <c r="C118" s="396" t="s">
        <v>364</v>
      </c>
      <c r="D118" s="397" t="s">
        <v>1237</v>
      </c>
      <c r="E118" s="397" t="s">
        <v>1219</v>
      </c>
      <c r="F118" s="320">
        <f>+SUMIFS('TB Grouping'!F:F,'TB Grouping'!H:H,masterTBCY[[#This Row],[Note Line]])</f>
        <v>0</v>
      </c>
      <c r="G118" s="2562">
        <f ca="1">SUMIF('Additional &amp; Presentation Entry'!E:E,masterTBCY[[#This Row],[Note Line]],'Additional &amp; Presentation Entry'!G:G)</f>
        <v>0</v>
      </c>
      <c r="H118" s="2562">
        <f>SUMIF('Additional &amp; Presentation Entry'!L:L,masterTBCY[[#This Row],[Note Line]],'Additional &amp; Presentation Entry'!N:N)</f>
        <v>0</v>
      </c>
      <c r="I118" s="320">
        <f>+masterTBCY[[#This Row],[Amount as per TB]]+masterTBCY[[#This Row],[Presentation Entry]]</f>
        <v>0</v>
      </c>
      <c r="J118" s="320">
        <f>I118/'Master Data'!$C$25</f>
        <v>0</v>
      </c>
      <c r="K118" s="404" t="s">
        <v>1329</v>
      </c>
      <c r="N118" s="399">
        <v>108</v>
      </c>
      <c r="O118" s="396" t="s">
        <v>364</v>
      </c>
      <c r="P118" s="397" t="s">
        <v>1237</v>
      </c>
      <c r="Q118" s="397" t="s">
        <v>1219</v>
      </c>
      <c r="R118" s="320">
        <f>SUMIF('TB Grouping'!$Q:$Q,'Master TB'!P118,'TB Grouping'!$O:$O)</f>
        <v>0</v>
      </c>
      <c r="S118" s="320">
        <f>SUMIF('Additional &amp; Presentation Entry'!Q:Q,masterTBCY[[#This Row],[Note Line]],'Additional &amp; Presentation Entry'!S:S)</f>
        <v>0</v>
      </c>
      <c r="T118" s="320">
        <f>SUMIF('Additional &amp; Presentation Entry'!X:X,masterTBCY[[#This Row],[Note Line]],'Additional &amp; Presentation Entry'!Z:Z)</f>
        <v>0</v>
      </c>
      <c r="U118" s="320">
        <f t="shared" si="6"/>
        <v>0</v>
      </c>
      <c r="V118" s="320">
        <f>U118/'Master Data'!$C$25</f>
        <v>0</v>
      </c>
      <c r="W118" s="400" t="str">
        <f t="shared" si="7"/>
        <v>Balance Sheet</v>
      </c>
    </row>
    <row r="119" spans="2:23" x14ac:dyDescent="0.3">
      <c r="B119" s="678">
        <f t="shared" si="4"/>
        <v>109</v>
      </c>
      <c r="C119" s="396" t="s">
        <v>364</v>
      </c>
      <c r="D119" s="398" t="s">
        <v>1229</v>
      </c>
      <c r="E119" s="397" t="s">
        <v>1220</v>
      </c>
      <c r="F119" s="320">
        <f>+SUMIFS('TB Grouping'!F:F,'TB Grouping'!H:H,masterTBCY[[#This Row],[Note Line]])</f>
        <v>0</v>
      </c>
      <c r="G119" s="2562">
        <f ca="1">SUMIF('Additional &amp; Presentation Entry'!E:E,masterTBCY[[#This Row],[Note Line]],'Additional &amp; Presentation Entry'!G:G)</f>
        <v>0</v>
      </c>
      <c r="H119" s="2562">
        <f>SUMIF('Additional &amp; Presentation Entry'!L:L,masterTBCY[[#This Row],[Note Line]],'Additional &amp; Presentation Entry'!N:N)</f>
        <v>0</v>
      </c>
      <c r="I119" s="320">
        <f>+masterTBCY[[#This Row],[Amount as per TB]]+masterTBCY[[#This Row],[Presentation Entry]]</f>
        <v>0</v>
      </c>
      <c r="J119" s="320">
        <f>I119/'Master Data'!$C$25</f>
        <v>0</v>
      </c>
      <c r="K119" s="404" t="s">
        <v>1329</v>
      </c>
      <c r="N119" s="399">
        <v>109</v>
      </c>
      <c r="O119" s="396" t="s">
        <v>364</v>
      </c>
      <c r="P119" s="398" t="s">
        <v>1229</v>
      </c>
      <c r="Q119" s="397" t="s">
        <v>1220</v>
      </c>
      <c r="R119" s="320">
        <f>SUMIF('TB Grouping'!$Q:$Q,'Master TB'!P119,'TB Grouping'!$O:$O)</f>
        <v>0</v>
      </c>
      <c r="S119" s="320">
        <f>SUMIF('Additional &amp; Presentation Entry'!Q:Q,masterTBCY[[#This Row],[Note Line]],'Additional &amp; Presentation Entry'!S:S)</f>
        <v>0</v>
      </c>
      <c r="T119" s="320">
        <f>SUMIF('Additional &amp; Presentation Entry'!X:X,masterTBCY[[#This Row],[Note Line]],'Additional &amp; Presentation Entry'!Z:Z)</f>
        <v>0</v>
      </c>
      <c r="U119" s="320">
        <f t="shared" si="6"/>
        <v>0</v>
      </c>
      <c r="V119" s="320">
        <f>U119/'Master Data'!$C$25</f>
        <v>0</v>
      </c>
      <c r="W119" s="400" t="str">
        <f t="shared" si="7"/>
        <v>Balance Sheet</v>
      </c>
    </row>
    <row r="120" spans="2:23" x14ac:dyDescent="0.3">
      <c r="B120" s="678">
        <f t="shared" si="4"/>
        <v>110</v>
      </c>
      <c r="C120" s="396" t="s">
        <v>364</v>
      </c>
      <c r="D120" s="398" t="s">
        <v>1228</v>
      </c>
      <c r="E120" s="397" t="s">
        <v>1221</v>
      </c>
      <c r="F120" s="320">
        <f>+SUMIFS('TB Grouping'!F:F,'TB Grouping'!H:H,masterTBCY[[#This Row],[Note Line]])</f>
        <v>0</v>
      </c>
      <c r="G120" s="2562">
        <f ca="1">SUMIF('Additional &amp; Presentation Entry'!E:E,masterTBCY[[#This Row],[Note Line]],'Additional &amp; Presentation Entry'!G:G)</f>
        <v>0</v>
      </c>
      <c r="H120" s="2562">
        <f>SUMIF('Additional &amp; Presentation Entry'!L:L,masterTBCY[[#This Row],[Note Line]],'Additional &amp; Presentation Entry'!N:N)</f>
        <v>0</v>
      </c>
      <c r="I120" s="320">
        <f>+masterTBCY[[#This Row],[Amount as per TB]]+masterTBCY[[#This Row],[Presentation Entry]]</f>
        <v>0</v>
      </c>
      <c r="J120" s="320">
        <f>I120/'Master Data'!$C$25</f>
        <v>0</v>
      </c>
      <c r="K120" s="404" t="s">
        <v>1329</v>
      </c>
      <c r="N120" s="399">
        <v>110</v>
      </c>
      <c r="O120" s="396" t="s">
        <v>364</v>
      </c>
      <c r="P120" s="398" t="s">
        <v>1228</v>
      </c>
      <c r="Q120" s="397" t="s">
        <v>1221</v>
      </c>
      <c r="R120" s="320">
        <f>SUMIF('TB Grouping'!$Q:$Q,'Master TB'!P120,'TB Grouping'!$O:$O)</f>
        <v>0</v>
      </c>
      <c r="S120" s="320">
        <f>SUMIF('Additional &amp; Presentation Entry'!Q:Q,masterTBCY[[#This Row],[Note Line]],'Additional &amp; Presentation Entry'!S:S)</f>
        <v>0</v>
      </c>
      <c r="T120" s="320">
        <f>SUMIF('Additional &amp; Presentation Entry'!X:X,masterTBCY[[#This Row],[Note Line]],'Additional &amp; Presentation Entry'!Z:Z)</f>
        <v>0</v>
      </c>
      <c r="U120" s="320">
        <f t="shared" si="6"/>
        <v>0</v>
      </c>
      <c r="V120" s="320">
        <f>U120/'Master Data'!$C$25</f>
        <v>0</v>
      </c>
      <c r="W120" s="400" t="str">
        <f t="shared" si="7"/>
        <v>Balance Sheet</v>
      </c>
    </row>
    <row r="121" spans="2:23" x14ac:dyDescent="0.3">
      <c r="B121" s="678">
        <f t="shared" si="4"/>
        <v>111</v>
      </c>
      <c r="C121" s="396" t="s">
        <v>364</v>
      </c>
      <c r="D121" s="321" t="s">
        <v>1226</v>
      </c>
      <c r="E121" s="397" t="s">
        <v>1224</v>
      </c>
      <c r="F121" s="320">
        <f>+SUMIFS('TB Grouping'!F:F,'TB Grouping'!H:H,masterTBCY[[#This Row],[Note Line]])</f>
        <v>0</v>
      </c>
      <c r="G121" s="2562">
        <f ca="1">SUMIF('Additional &amp; Presentation Entry'!E:E,masterTBCY[[#This Row],[Note Line]],'Additional &amp; Presentation Entry'!G:G)</f>
        <v>0</v>
      </c>
      <c r="H121" s="2562">
        <f>SUMIF('Additional &amp; Presentation Entry'!L:L,masterTBCY[[#This Row],[Note Line]],'Additional &amp; Presentation Entry'!N:N)</f>
        <v>0</v>
      </c>
      <c r="I121" s="320">
        <f>+masterTBCY[[#This Row],[Amount as per TB]]+masterTBCY[[#This Row],[Presentation Entry]]</f>
        <v>0</v>
      </c>
      <c r="J121" s="320">
        <f>I121/'Master Data'!$C$25</f>
        <v>0</v>
      </c>
      <c r="K121" s="404" t="s">
        <v>1329</v>
      </c>
      <c r="N121" s="399">
        <v>111</v>
      </c>
      <c r="O121" s="396" t="s">
        <v>364</v>
      </c>
      <c r="P121" s="321" t="s">
        <v>1226</v>
      </c>
      <c r="Q121" s="397" t="s">
        <v>1224</v>
      </c>
      <c r="R121" s="320">
        <f>SUMIF('TB Grouping'!$Q:$Q,'Master TB'!P121,'TB Grouping'!$O:$O)</f>
        <v>0</v>
      </c>
      <c r="S121" s="320">
        <f>SUMIF('Additional &amp; Presentation Entry'!Q:Q,masterTBCY[[#This Row],[Note Line]],'Additional &amp; Presentation Entry'!S:S)</f>
        <v>0</v>
      </c>
      <c r="T121" s="320">
        <f>SUMIF('Additional &amp; Presentation Entry'!X:X,masterTBCY[[#This Row],[Note Line]],'Additional &amp; Presentation Entry'!Z:Z)</f>
        <v>0</v>
      </c>
      <c r="U121" s="320">
        <f t="shared" si="6"/>
        <v>0</v>
      </c>
      <c r="V121" s="320">
        <f>U121/'Master Data'!$C$25</f>
        <v>0</v>
      </c>
      <c r="W121" s="400" t="str">
        <f t="shared" si="7"/>
        <v>Balance Sheet</v>
      </c>
    </row>
    <row r="122" spans="2:23" x14ac:dyDescent="0.3">
      <c r="B122" s="678">
        <f t="shared" si="4"/>
        <v>112</v>
      </c>
      <c r="C122" s="396" t="s">
        <v>364</v>
      </c>
      <c r="D122" s="397" t="s">
        <v>1227</v>
      </c>
      <c r="E122" s="397" t="s">
        <v>1225</v>
      </c>
      <c r="F122" s="320">
        <f>+SUMIFS('TB Grouping'!F:F,'TB Grouping'!H:H,masterTBCY[[#This Row],[Note Line]])</f>
        <v>0</v>
      </c>
      <c r="G122" s="2562">
        <f ca="1">SUMIF('Additional &amp; Presentation Entry'!E:E,masterTBCY[[#This Row],[Note Line]],'Additional &amp; Presentation Entry'!G:G)</f>
        <v>0</v>
      </c>
      <c r="H122" s="2562">
        <f>SUMIF('Additional &amp; Presentation Entry'!L:L,masterTBCY[[#This Row],[Note Line]],'Additional &amp; Presentation Entry'!N:N)</f>
        <v>0</v>
      </c>
      <c r="I122" s="320">
        <f>+masterTBCY[[#This Row],[Amount as per TB]]+masterTBCY[[#This Row],[Presentation Entry]]</f>
        <v>0</v>
      </c>
      <c r="J122" s="320">
        <f>I122/'Master Data'!$C$25</f>
        <v>0</v>
      </c>
      <c r="K122" s="404" t="s">
        <v>1329</v>
      </c>
      <c r="N122" s="399">
        <v>112</v>
      </c>
      <c r="O122" s="396" t="s">
        <v>364</v>
      </c>
      <c r="P122" s="397" t="s">
        <v>1227</v>
      </c>
      <c r="Q122" s="397" t="s">
        <v>1225</v>
      </c>
      <c r="R122" s="320">
        <f>SUMIF('TB Grouping'!$Q:$Q,'Master TB'!P122,'TB Grouping'!$O:$O)</f>
        <v>0</v>
      </c>
      <c r="S122" s="320">
        <f>SUMIF('Additional &amp; Presentation Entry'!Q:Q,masterTBCY[[#This Row],[Note Line]],'Additional &amp; Presentation Entry'!S:S)</f>
        <v>0</v>
      </c>
      <c r="T122" s="320">
        <f>SUMIF('Additional &amp; Presentation Entry'!X:X,masterTBCY[[#This Row],[Note Line]],'Additional &amp; Presentation Entry'!Z:Z)</f>
        <v>0</v>
      </c>
      <c r="U122" s="320">
        <f t="shared" si="6"/>
        <v>0</v>
      </c>
      <c r="V122" s="320">
        <f>U122/'Master Data'!$C$25</f>
        <v>0</v>
      </c>
      <c r="W122" s="400" t="str">
        <f t="shared" si="7"/>
        <v>Balance Sheet</v>
      </c>
    </row>
    <row r="123" spans="2:23" x14ac:dyDescent="0.3">
      <c r="B123" s="678">
        <f t="shared" si="4"/>
        <v>113</v>
      </c>
      <c r="C123" s="396" t="s">
        <v>1328</v>
      </c>
      <c r="D123" s="468" t="s">
        <v>734</v>
      </c>
      <c r="E123" s="323" t="s">
        <v>1242</v>
      </c>
      <c r="F123" s="320">
        <f>+SUMIFS('TB Grouping'!F:F,'TB Grouping'!H:H,masterTBCY[[#This Row],[Note Line]])</f>
        <v>0</v>
      </c>
      <c r="G123" s="2562">
        <f ca="1">SUMIF('Additional &amp; Presentation Entry'!E:E,masterTBCY[[#This Row],[Note Line]],'Additional &amp; Presentation Entry'!G:G)</f>
        <v>0</v>
      </c>
      <c r="H123" s="2562">
        <f>SUMIF('Additional &amp; Presentation Entry'!L:L,masterTBCY[[#This Row],[Note Line]],'Additional &amp; Presentation Entry'!N:N)</f>
        <v>0</v>
      </c>
      <c r="I123" s="320">
        <f>+masterTBCY[[#This Row],[Amount as per TB]]+masterTBCY[[#This Row],[Presentation Entry]]</f>
        <v>0</v>
      </c>
      <c r="J123" s="320">
        <f>I123/'Master Data'!$C$25</f>
        <v>0</v>
      </c>
      <c r="K123" s="404" t="s">
        <v>1329</v>
      </c>
      <c r="N123" s="399">
        <v>113</v>
      </c>
      <c r="O123" s="396" t="s">
        <v>1328</v>
      </c>
      <c r="P123" s="468" t="s">
        <v>734</v>
      </c>
      <c r="Q123" s="323" t="s">
        <v>1242</v>
      </c>
      <c r="R123" s="320">
        <f>SUMIF('TB Grouping'!$Q:$Q,'Master TB'!P123,'TB Grouping'!$O:$O)</f>
        <v>0</v>
      </c>
      <c r="S123" s="320">
        <f>SUMIF('Additional &amp; Presentation Entry'!Q:Q,masterTBCY[[#This Row],[Note Line]],'Additional &amp; Presentation Entry'!S:S)</f>
        <v>0</v>
      </c>
      <c r="T123" s="320">
        <f>SUMIF('Additional &amp; Presentation Entry'!X:X,masterTBCY[[#This Row],[Note Line]],'Additional &amp; Presentation Entry'!Z:Z)</f>
        <v>0</v>
      </c>
      <c r="U123" s="320">
        <f t="shared" si="6"/>
        <v>0</v>
      </c>
      <c r="V123" s="320">
        <f>U123/'Master Data'!$C$25</f>
        <v>0</v>
      </c>
      <c r="W123" s="400" t="str">
        <f t="shared" si="7"/>
        <v>Balance Sheet</v>
      </c>
    </row>
    <row r="124" spans="2:23" x14ac:dyDescent="0.3">
      <c r="B124" s="678">
        <f t="shared" si="4"/>
        <v>114</v>
      </c>
      <c r="C124" s="396" t="s">
        <v>1328</v>
      </c>
      <c r="D124" s="392" t="s">
        <v>735</v>
      </c>
      <c r="E124" s="323" t="s">
        <v>1243</v>
      </c>
      <c r="F124" s="320">
        <f>+SUMIFS('TB Grouping'!F:F,'TB Grouping'!H:H,masterTBCY[[#This Row],[Note Line]])</f>
        <v>0</v>
      </c>
      <c r="G124" s="2562">
        <f ca="1">SUMIF('Additional &amp; Presentation Entry'!E:E,masterTBCY[[#This Row],[Note Line]],'Additional &amp; Presentation Entry'!G:G)</f>
        <v>0</v>
      </c>
      <c r="H124" s="2562">
        <f>SUMIF('Additional &amp; Presentation Entry'!L:L,masterTBCY[[#This Row],[Note Line]],'Additional &amp; Presentation Entry'!N:N)</f>
        <v>0</v>
      </c>
      <c r="I124" s="320">
        <f>+masterTBCY[[#This Row],[Amount as per TB]]+masterTBCY[[#This Row],[Presentation Entry]]</f>
        <v>0</v>
      </c>
      <c r="J124" s="320">
        <f>I124/'Master Data'!$C$25</f>
        <v>0</v>
      </c>
      <c r="K124" s="404" t="s">
        <v>1329</v>
      </c>
      <c r="N124" s="399">
        <v>114</v>
      </c>
      <c r="O124" s="396" t="s">
        <v>1328</v>
      </c>
      <c r="P124" s="392" t="s">
        <v>735</v>
      </c>
      <c r="Q124" s="323" t="s">
        <v>1243</v>
      </c>
      <c r="R124" s="320">
        <f>SUMIF('TB Grouping'!$Q:$Q,'Master TB'!P124,'TB Grouping'!$O:$O)</f>
        <v>0</v>
      </c>
      <c r="S124" s="320">
        <f>SUMIF('Additional &amp; Presentation Entry'!Q:Q,masterTBCY[[#This Row],[Note Line]],'Additional &amp; Presentation Entry'!S:S)</f>
        <v>0</v>
      </c>
      <c r="T124" s="320">
        <f>SUMIF('Additional &amp; Presentation Entry'!X:X,masterTBCY[[#This Row],[Note Line]],'Additional &amp; Presentation Entry'!Z:Z)</f>
        <v>0</v>
      </c>
      <c r="U124" s="320">
        <f t="shared" si="6"/>
        <v>0</v>
      </c>
      <c r="V124" s="320">
        <f>U124/'Master Data'!$C$25</f>
        <v>0</v>
      </c>
      <c r="W124" s="400" t="str">
        <f t="shared" si="7"/>
        <v>Balance Sheet</v>
      </c>
    </row>
    <row r="125" spans="2:23" x14ac:dyDescent="0.3">
      <c r="B125" s="678">
        <f t="shared" si="4"/>
        <v>115</v>
      </c>
      <c r="C125" s="396" t="s">
        <v>1328</v>
      </c>
      <c r="D125" s="473" t="s">
        <v>1663</v>
      </c>
      <c r="E125" s="323" t="s">
        <v>1244</v>
      </c>
      <c r="F125" s="320">
        <f>+SUMIFS('TB Grouping'!F:F,'TB Grouping'!H:H,masterTBCY[[#This Row],[Note Line]])</f>
        <v>0</v>
      </c>
      <c r="G125" s="2562">
        <f ca="1">SUMIF('Additional &amp; Presentation Entry'!E:E,masterTBCY[[#This Row],[Note Line]],'Additional &amp; Presentation Entry'!G:G)</f>
        <v>0</v>
      </c>
      <c r="H125" s="2562">
        <f>SUMIF('Additional &amp; Presentation Entry'!L:L,masterTBCY[[#This Row],[Note Line]],'Additional &amp; Presentation Entry'!N:N)</f>
        <v>0</v>
      </c>
      <c r="I125" s="320">
        <f>+masterTBCY[[#This Row],[Amount as per TB]]+masterTBCY[[#This Row],[Presentation Entry]]</f>
        <v>0</v>
      </c>
      <c r="J125" s="320">
        <f>I125/'Master Data'!$C$25</f>
        <v>0</v>
      </c>
      <c r="K125" s="404" t="s">
        <v>1329</v>
      </c>
      <c r="N125" s="399">
        <v>115</v>
      </c>
      <c r="O125" s="396" t="s">
        <v>1328</v>
      </c>
      <c r="P125" s="473" t="s">
        <v>1663</v>
      </c>
      <c r="Q125" s="323" t="s">
        <v>1244</v>
      </c>
      <c r="R125" s="320">
        <f>SUMIF('TB Grouping'!$Q:$Q,'Master TB'!P125,'TB Grouping'!$O:$O)</f>
        <v>0</v>
      </c>
      <c r="S125" s="320">
        <f>SUMIF('Additional &amp; Presentation Entry'!Q:Q,masterTBCY[[#This Row],[Note Line]],'Additional &amp; Presentation Entry'!S:S)</f>
        <v>0</v>
      </c>
      <c r="T125" s="320">
        <f>SUMIF('Additional &amp; Presentation Entry'!X:X,masterTBCY[[#This Row],[Note Line]],'Additional &amp; Presentation Entry'!Z:Z)</f>
        <v>0</v>
      </c>
      <c r="U125" s="320">
        <f t="shared" si="6"/>
        <v>0</v>
      </c>
      <c r="V125" s="320">
        <f>U125/'Master Data'!$C$25</f>
        <v>0</v>
      </c>
      <c r="W125" s="400" t="str">
        <f t="shared" si="7"/>
        <v>Balance Sheet</v>
      </c>
    </row>
    <row r="126" spans="2:23" x14ac:dyDescent="0.3">
      <c r="B126" s="678">
        <f t="shared" si="4"/>
        <v>116</v>
      </c>
      <c r="C126" s="396" t="s">
        <v>1328</v>
      </c>
      <c r="D126" s="392" t="s">
        <v>736</v>
      </c>
      <c r="E126" s="323" t="s">
        <v>1245</v>
      </c>
      <c r="F126" s="320">
        <f>+SUMIFS('TB Grouping'!F:F,'TB Grouping'!H:H,masterTBCY[[#This Row],[Note Line]])</f>
        <v>0</v>
      </c>
      <c r="G126" s="2562">
        <f ca="1">SUMIF('Additional &amp; Presentation Entry'!E:E,masterTBCY[[#This Row],[Note Line]],'Additional &amp; Presentation Entry'!G:G)</f>
        <v>0</v>
      </c>
      <c r="H126" s="2562">
        <f>SUMIF('Additional &amp; Presentation Entry'!L:L,masterTBCY[[#This Row],[Note Line]],'Additional &amp; Presentation Entry'!N:N)</f>
        <v>0</v>
      </c>
      <c r="I126" s="320">
        <f>+masterTBCY[[#This Row],[Amount as per TB]]+masterTBCY[[#This Row],[Presentation Entry]]</f>
        <v>0</v>
      </c>
      <c r="J126" s="320">
        <f>I126/'Master Data'!$C$25</f>
        <v>0</v>
      </c>
      <c r="K126" s="404" t="s">
        <v>1329</v>
      </c>
      <c r="N126" s="399">
        <v>116</v>
      </c>
      <c r="O126" s="396" t="s">
        <v>1328</v>
      </c>
      <c r="P126" s="392" t="s">
        <v>736</v>
      </c>
      <c r="Q126" s="323" t="s">
        <v>1245</v>
      </c>
      <c r="R126" s="320">
        <f>SUMIF('TB Grouping'!$Q:$Q,'Master TB'!P126,'TB Grouping'!$O:$O)</f>
        <v>0</v>
      </c>
      <c r="S126" s="320">
        <f>SUMIF('Additional &amp; Presentation Entry'!Q:Q,masterTBCY[[#This Row],[Note Line]],'Additional &amp; Presentation Entry'!S:S)</f>
        <v>0</v>
      </c>
      <c r="T126" s="320">
        <f>SUMIF('Additional &amp; Presentation Entry'!X:X,masterTBCY[[#This Row],[Note Line]],'Additional &amp; Presentation Entry'!Z:Z)</f>
        <v>0</v>
      </c>
      <c r="U126" s="320">
        <f t="shared" si="6"/>
        <v>0</v>
      </c>
      <c r="V126" s="320">
        <f>U126/'Master Data'!$C$25</f>
        <v>0</v>
      </c>
      <c r="W126" s="400" t="str">
        <f t="shared" si="7"/>
        <v>Balance Sheet</v>
      </c>
    </row>
    <row r="127" spans="2:23" x14ac:dyDescent="0.3">
      <c r="B127" s="678">
        <f t="shared" si="4"/>
        <v>117</v>
      </c>
      <c r="C127" s="396" t="s">
        <v>1328</v>
      </c>
      <c r="D127" s="392" t="s">
        <v>737</v>
      </c>
      <c r="E127" s="323" t="s">
        <v>1246</v>
      </c>
      <c r="F127" s="320">
        <f>+SUMIFS('TB Grouping'!F:F,'TB Grouping'!H:H,masterTBCY[[#This Row],[Note Line]])</f>
        <v>0</v>
      </c>
      <c r="G127" s="2562">
        <f ca="1">SUMIF('Additional &amp; Presentation Entry'!E:E,masterTBCY[[#This Row],[Note Line]],'Additional &amp; Presentation Entry'!G:G)</f>
        <v>0</v>
      </c>
      <c r="H127" s="2562">
        <f>SUMIF('Additional &amp; Presentation Entry'!L:L,masterTBCY[[#This Row],[Note Line]],'Additional &amp; Presentation Entry'!N:N)</f>
        <v>0</v>
      </c>
      <c r="I127" s="320">
        <f>+masterTBCY[[#This Row],[Amount as per TB]]+masterTBCY[[#This Row],[Presentation Entry]]</f>
        <v>0</v>
      </c>
      <c r="J127" s="320">
        <f>I127/'Master Data'!$C$25</f>
        <v>0</v>
      </c>
      <c r="K127" s="404" t="s">
        <v>1329</v>
      </c>
      <c r="N127" s="399">
        <v>117</v>
      </c>
      <c r="O127" s="396" t="s">
        <v>1328</v>
      </c>
      <c r="P127" s="392" t="s">
        <v>737</v>
      </c>
      <c r="Q127" s="323" t="s">
        <v>1246</v>
      </c>
      <c r="R127" s="320">
        <f>SUMIF('TB Grouping'!$Q:$Q,'Master TB'!P127,'TB Grouping'!$O:$O)</f>
        <v>0</v>
      </c>
      <c r="S127" s="320">
        <f>SUMIF('Additional &amp; Presentation Entry'!Q:Q,masterTBCY[[#This Row],[Note Line]],'Additional &amp; Presentation Entry'!S:S)</f>
        <v>0</v>
      </c>
      <c r="T127" s="320">
        <f>SUMIF('Additional &amp; Presentation Entry'!X:X,masterTBCY[[#This Row],[Note Line]],'Additional &amp; Presentation Entry'!Z:Z)</f>
        <v>0</v>
      </c>
      <c r="U127" s="320">
        <f t="shared" si="6"/>
        <v>0</v>
      </c>
      <c r="V127" s="320">
        <f>U127/'Master Data'!$C$25</f>
        <v>0</v>
      </c>
      <c r="W127" s="400" t="str">
        <f t="shared" si="7"/>
        <v>Balance Sheet</v>
      </c>
    </row>
    <row r="128" spans="2:23" x14ac:dyDescent="0.3">
      <c r="B128" s="678">
        <f t="shared" si="4"/>
        <v>118</v>
      </c>
      <c r="C128" s="396" t="s">
        <v>1328</v>
      </c>
      <c r="D128" s="392" t="s">
        <v>1241</v>
      </c>
      <c r="E128" s="323" t="s">
        <v>1247</v>
      </c>
      <c r="F128" s="320">
        <f>+SUMIFS('TB Grouping'!F:F,'TB Grouping'!H:H,masterTBCY[[#This Row],[Note Line]])</f>
        <v>0</v>
      </c>
      <c r="G128" s="2562">
        <f ca="1">SUMIF('Additional &amp; Presentation Entry'!E:E,masterTBCY[[#This Row],[Note Line]],'Additional &amp; Presentation Entry'!G:G)</f>
        <v>0</v>
      </c>
      <c r="H128" s="2562">
        <f>SUMIF('Additional &amp; Presentation Entry'!L:L,masterTBCY[[#This Row],[Note Line]],'Additional &amp; Presentation Entry'!N:N)</f>
        <v>0</v>
      </c>
      <c r="I128" s="320">
        <f>+masterTBCY[[#This Row],[Amount as per TB]]+masterTBCY[[#This Row],[Presentation Entry]]</f>
        <v>0</v>
      </c>
      <c r="J128" s="320">
        <f>I128/'Master Data'!$C$25</f>
        <v>0</v>
      </c>
      <c r="K128" s="404" t="s">
        <v>1329</v>
      </c>
      <c r="N128" s="399">
        <v>118</v>
      </c>
      <c r="O128" s="396" t="s">
        <v>1328</v>
      </c>
      <c r="P128" s="392" t="s">
        <v>1241</v>
      </c>
      <c r="Q128" s="323" t="s">
        <v>1247</v>
      </c>
      <c r="R128" s="320">
        <f>SUMIF('TB Grouping'!$Q:$Q,'Master TB'!P128,'TB Grouping'!$O:$O)</f>
        <v>0</v>
      </c>
      <c r="S128" s="320">
        <f>SUMIF('Additional &amp; Presentation Entry'!Q:Q,masterTBCY[[#This Row],[Note Line]],'Additional &amp; Presentation Entry'!S:S)</f>
        <v>0</v>
      </c>
      <c r="T128" s="320">
        <f>SUMIF('Additional &amp; Presentation Entry'!X:X,masterTBCY[[#This Row],[Note Line]],'Additional &amp; Presentation Entry'!Z:Z)</f>
        <v>0</v>
      </c>
      <c r="U128" s="320">
        <f t="shared" si="6"/>
        <v>0</v>
      </c>
      <c r="V128" s="320">
        <f>U128/'Master Data'!$C$25</f>
        <v>0</v>
      </c>
      <c r="W128" s="400" t="str">
        <f t="shared" si="7"/>
        <v>Balance Sheet</v>
      </c>
    </row>
    <row r="129" spans="2:23" x14ac:dyDescent="0.3">
      <c r="B129" s="678">
        <f t="shared" si="4"/>
        <v>119</v>
      </c>
      <c r="C129" s="396" t="s">
        <v>1328</v>
      </c>
      <c r="D129" s="392" t="s">
        <v>738</v>
      </c>
      <c r="E129" s="323" t="s">
        <v>1248</v>
      </c>
      <c r="F129" s="320">
        <f>+SUMIFS('TB Grouping'!F:F,'TB Grouping'!H:H,masterTBCY[[#This Row],[Note Line]])</f>
        <v>0</v>
      </c>
      <c r="G129" s="2562">
        <f ca="1">SUMIF('Additional &amp; Presentation Entry'!E:E,masterTBCY[[#This Row],[Note Line]],'Additional &amp; Presentation Entry'!G:G)</f>
        <v>0</v>
      </c>
      <c r="H129" s="2562">
        <f>SUMIF('Additional &amp; Presentation Entry'!L:L,masterTBCY[[#This Row],[Note Line]],'Additional &amp; Presentation Entry'!N:N)</f>
        <v>0</v>
      </c>
      <c r="I129" s="320">
        <f>+masterTBCY[[#This Row],[Amount as per TB]]+masterTBCY[[#This Row],[Presentation Entry]]</f>
        <v>0</v>
      </c>
      <c r="J129" s="320">
        <f>I129/'Master Data'!$C$25</f>
        <v>0</v>
      </c>
      <c r="K129" s="404" t="s">
        <v>1329</v>
      </c>
      <c r="N129" s="399">
        <v>119</v>
      </c>
      <c r="O129" s="396" t="s">
        <v>1328</v>
      </c>
      <c r="P129" s="392" t="s">
        <v>738</v>
      </c>
      <c r="Q129" s="323" t="s">
        <v>1248</v>
      </c>
      <c r="R129" s="320">
        <f>SUMIF('TB Grouping'!$Q:$Q,'Master TB'!P129,'TB Grouping'!$O:$O)</f>
        <v>0</v>
      </c>
      <c r="S129" s="320">
        <f>SUMIF('Additional &amp; Presentation Entry'!Q:Q,masterTBCY[[#This Row],[Note Line]],'Additional &amp; Presentation Entry'!S:S)</f>
        <v>0</v>
      </c>
      <c r="T129" s="320">
        <f>SUMIF('Additional &amp; Presentation Entry'!X:X,masterTBCY[[#This Row],[Note Line]],'Additional &amp; Presentation Entry'!Z:Z)</f>
        <v>0</v>
      </c>
      <c r="U129" s="320">
        <f t="shared" si="6"/>
        <v>0</v>
      </c>
      <c r="V129" s="320">
        <f>U129/'Master Data'!$C$25</f>
        <v>0</v>
      </c>
      <c r="W129" s="400" t="str">
        <f t="shared" si="7"/>
        <v>Balance Sheet</v>
      </c>
    </row>
    <row r="130" spans="2:23" x14ac:dyDescent="0.3">
      <c r="B130" s="678">
        <f t="shared" si="4"/>
        <v>120</v>
      </c>
      <c r="C130" s="396" t="s">
        <v>1328</v>
      </c>
      <c r="D130" s="473" t="s">
        <v>1644</v>
      </c>
      <c r="E130" s="323" t="s">
        <v>1249</v>
      </c>
      <c r="F130" s="320">
        <f>+SUMIFS('TB Grouping'!F:F,'TB Grouping'!H:H,masterTBCY[[#This Row],[Note Line]])</f>
        <v>0</v>
      </c>
      <c r="G130" s="2562">
        <f ca="1">SUMIF('Additional &amp; Presentation Entry'!E:E,masterTBCY[[#This Row],[Note Line]],'Additional &amp; Presentation Entry'!G:G)</f>
        <v>0</v>
      </c>
      <c r="H130" s="2562">
        <f>SUMIF('Additional &amp; Presentation Entry'!L:L,masterTBCY[[#This Row],[Note Line]],'Additional &amp; Presentation Entry'!N:N)</f>
        <v>0</v>
      </c>
      <c r="I130" s="320">
        <f>+masterTBCY[[#This Row],[Amount as per TB]]+masterTBCY[[#This Row],[Presentation Entry]]</f>
        <v>0</v>
      </c>
      <c r="J130" s="320">
        <f>I130/'Master Data'!$C$25</f>
        <v>0</v>
      </c>
      <c r="K130" s="404" t="s">
        <v>1329</v>
      </c>
      <c r="N130" s="399">
        <v>120</v>
      </c>
      <c r="O130" s="396" t="s">
        <v>1328</v>
      </c>
      <c r="P130" s="473" t="s">
        <v>1644</v>
      </c>
      <c r="Q130" s="323" t="s">
        <v>1249</v>
      </c>
      <c r="R130" s="320">
        <f>SUMIF('TB Grouping'!$Q:$Q,'Master TB'!P130,'TB Grouping'!$O:$O)</f>
        <v>0</v>
      </c>
      <c r="S130" s="320">
        <f>SUMIF('Additional &amp; Presentation Entry'!Q:Q,masterTBCY[[#This Row],[Note Line]],'Additional &amp; Presentation Entry'!S:S)</f>
        <v>0</v>
      </c>
      <c r="T130" s="320">
        <f>SUMIF('Additional &amp; Presentation Entry'!X:X,masterTBCY[[#This Row],[Note Line]],'Additional &amp; Presentation Entry'!Z:Z)</f>
        <v>0</v>
      </c>
      <c r="U130" s="320">
        <f t="shared" si="6"/>
        <v>0</v>
      </c>
      <c r="V130" s="320">
        <f>U130/'Master Data'!$C$25</f>
        <v>0</v>
      </c>
      <c r="W130" s="400" t="str">
        <f t="shared" si="7"/>
        <v>Balance Sheet</v>
      </c>
    </row>
    <row r="131" spans="2:23" x14ac:dyDescent="0.3">
      <c r="B131" s="678">
        <f t="shared" si="4"/>
        <v>121</v>
      </c>
      <c r="C131" s="396" t="s">
        <v>1328</v>
      </c>
      <c r="D131" s="392" t="s">
        <v>1987</v>
      </c>
      <c r="E131" s="323" t="s">
        <v>1250</v>
      </c>
      <c r="F131" s="320">
        <f>+SUMIFS('TB Grouping'!F:F,'TB Grouping'!H:H,masterTBCY[[#This Row],[Note Line]])</f>
        <v>0</v>
      </c>
      <c r="G131" s="2562">
        <f ca="1">SUMIF('Additional &amp; Presentation Entry'!E:E,masterTBCY[[#This Row],[Note Line]],'Additional &amp; Presentation Entry'!G:G)</f>
        <v>0</v>
      </c>
      <c r="H131" s="2562">
        <f>SUMIF('Additional &amp; Presentation Entry'!L:L,masterTBCY[[#This Row],[Note Line]],'Additional &amp; Presentation Entry'!N:N)</f>
        <v>0</v>
      </c>
      <c r="I131" s="320">
        <f>+masterTBCY[[#This Row],[Amount as per TB]]+masterTBCY[[#This Row],[Presentation Entry]]</f>
        <v>0</v>
      </c>
      <c r="J131" s="320">
        <f>I131/'Master Data'!$C$25</f>
        <v>0</v>
      </c>
      <c r="K131" s="404" t="s">
        <v>1329</v>
      </c>
      <c r="N131" s="399">
        <v>121</v>
      </c>
      <c r="O131" s="396" t="s">
        <v>1328</v>
      </c>
      <c r="P131" s="392" t="s">
        <v>1987</v>
      </c>
      <c r="Q131" s="323" t="s">
        <v>1250</v>
      </c>
      <c r="R131" s="320">
        <f>SUMIF('TB Grouping'!$Q:$Q,'Master TB'!P131,'TB Grouping'!$O:$O)</f>
        <v>0</v>
      </c>
      <c r="S131" s="320">
        <f>SUMIF('Additional &amp; Presentation Entry'!Q:Q,masterTBCY[[#This Row],[Note Line]],'Additional &amp; Presentation Entry'!S:S)</f>
        <v>0</v>
      </c>
      <c r="T131" s="320">
        <f>SUMIF('Additional &amp; Presentation Entry'!X:X,masterTBCY[[#This Row],[Note Line]],'Additional &amp; Presentation Entry'!Z:Z)</f>
        <v>0</v>
      </c>
      <c r="U131" s="320">
        <f t="shared" si="6"/>
        <v>0</v>
      </c>
      <c r="V131" s="320">
        <f>U131/'Master Data'!$C$25</f>
        <v>0</v>
      </c>
      <c r="W131" s="400" t="str">
        <f t="shared" si="7"/>
        <v>Balance Sheet</v>
      </c>
    </row>
    <row r="132" spans="2:23" x14ac:dyDescent="0.3">
      <c r="B132" s="678">
        <f t="shared" si="4"/>
        <v>122</v>
      </c>
      <c r="C132" s="319" t="s">
        <v>959</v>
      </c>
      <c r="D132" s="321" t="s">
        <v>1281</v>
      </c>
      <c r="E132" s="321" t="s">
        <v>1251</v>
      </c>
      <c r="F132" s="320">
        <f>+SUMIFS('TB Grouping'!F:F,'TB Grouping'!H:H,masterTBCY[[#This Row],[Note Line]])</f>
        <v>0</v>
      </c>
      <c r="G132" s="2562">
        <f ca="1">SUMIF('Additional &amp; Presentation Entry'!E:E,masterTBCY[[#This Row],[Note Line]],'Additional &amp; Presentation Entry'!G:G)</f>
        <v>0</v>
      </c>
      <c r="H132" s="2562">
        <f>SUMIF('Additional &amp; Presentation Entry'!L:L,masterTBCY[[#This Row],[Note Line]],'Additional &amp; Presentation Entry'!N:N)</f>
        <v>0</v>
      </c>
      <c r="I132" s="320">
        <f>+masterTBCY[[#This Row],[Amount as per TB]]+masterTBCY[[#This Row],[Presentation Entry]]</f>
        <v>0</v>
      </c>
      <c r="J132" s="320">
        <f>I132/'Master Data'!$C$25</f>
        <v>0</v>
      </c>
      <c r="K132" s="404" t="s">
        <v>1329</v>
      </c>
      <c r="N132" s="399">
        <v>122</v>
      </c>
      <c r="O132" s="319" t="s">
        <v>959</v>
      </c>
      <c r="P132" s="321" t="s">
        <v>1281</v>
      </c>
      <c r="Q132" s="321" t="s">
        <v>1251</v>
      </c>
      <c r="R132" s="320">
        <f>SUMIF('TB Grouping'!$Q:$Q,'Master TB'!P132,'TB Grouping'!$O:$O)</f>
        <v>0</v>
      </c>
      <c r="S132" s="320">
        <f>SUMIF('Additional &amp; Presentation Entry'!Q:Q,masterTBCY[[#This Row],[Note Line]],'Additional &amp; Presentation Entry'!S:S)</f>
        <v>0</v>
      </c>
      <c r="T132" s="320">
        <f>SUMIF('Additional &amp; Presentation Entry'!X:X,masterTBCY[[#This Row],[Note Line]],'Additional &amp; Presentation Entry'!Z:Z)</f>
        <v>0</v>
      </c>
      <c r="U132" s="320">
        <f t="shared" si="6"/>
        <v>0</v>
      </c>
      <c r="V132" s="320">
        <f>U132/'Master Data'!$C$25</f>
        <v>0</v>
      </c>
      <c r="W132" s="400" t="str">
        <f t="shared" si="7"/>
        <v>Balance Sheet</v>
      </c>
    </row>
    <row r="133" spans="2:23" x14ac:dyDescent="0.3">
      <c r="B133" s="678">
        <f t="shared" si="4"/>
        <v>123</v>
      </c>
      <c r="C133" s="319" t="s">
        <v>959</v>
      </c>
      <c r="D133" s="321" t="s">
        <v>1282</v>
      </c>
      <c r="E133" s="321" t="s">
        <v>1252</v>
      </c>
      <c r="F133" s="320">
        <f>+SUMIFS('TB Grouping'!F:F,'TB Grouping'!H:H,masterTBCY[[#This Row],[Note Line]])</f>
        <v>0</v>
      </c>
      <c r="G133" s="2562">
        <f ca="1">SUMIF('Additional &amp; Presentation Entry'!E:E,masterTBCY[[#This Row],[Note Line]],'Additional &amp; Presentation Entry'!G:G)</f>
        <v>0</v>
      </c>
      <c r="H133" s="2562">
        <f>SUMIF('Additional &amp; Presentation Entry'!L:L,masterTBCY[[#This Row],[Note Line]],'Additional &amp; Presentation Entry'!N:N)</f>
        <v>0</v>
      </c>
      <c r="I133" s="320">
        <f>+masterTBCY[[#This Row],[Amount as per TB]]+masterTBCY[[#This Row],[Presentation Entry]]</f>
        <v>0</v>
      </c>
      <c r="J133" s="320">
        <f>I133/'Master Data'!$C$25</f>
        <v>0</v>
      </c>
      <c r="K133" s="404" t="s">
        <v>1329</v>
      </c>
      <c r="N133" s="399">
        <v>123</v>
      </c>
      <c r="O133" s="319" t="s">
        <v>959</v>
      </c>
      <c r="P133" s="321" t="s">
        <v>1282</v>
      </c>
      <c r="Q133" s="321" t="s">
        <v>1252</v>
      </c>
      <c r="R133" s="320">
        <f>SUMIF('TB Grouping'!$Q:$Q,'Master TB'!P133,'TB Grouping'!$O:$O)</f>
        <v>0</v>
      </c>
      <c r="S133" s="320">
        <f>SUMIF('Additional &amp; Presentation Entry'!Q:Q,masterTBCY[[#This Row],[Note Line]],'Additional &amp; Presentation Entry'!S:S)</f>
        <v>0</v>
      </c>
      <c r="T133" s="320">
        <f>SUMIF('Additional &amp; Presentation Entry'!X:X,masterTBCY[[#This Row],[Note Line]],'Additional &amp; Presentation Entry'!Z:Z)</f>
        <v>0</v>
      </c>
      <c r="U133" s="320">
        <f t="shared" si="6"/>
        <v>0</v>
      </c>
      <c r="V133" s="320">
        <f>U133/'Master Data'!$C$25</f>
        <v>0</v>
      </c>
      <c r="W133" s="400" t="str">
        <f t="shared" si="7"/>
        <v>Balance Sheet</v>
      </c>
    </row>
    <row r="134" spans="2:23" x14ac:dyDescent="0.3">
      <c r="B134" s="678">
        <f t="shared" si="4"/>
        <v>124</v>
      </c>
      <c r="C134" s="319" t="s">
        <v>959</v>
      </c>
      <c r="D134" s="321" t="s">
        <v>1283</v>
      </c>
      <c r="E134" s="321" t="s">
        <v>1253</v>
      </c>
      <c r="F134" s="320">
        <f>+SUMIFS('TB Grouping'!F:F,'TB Grouping'!H:H,masterTBCY[[#This Row],[Note Line]])</f>
        <v>0</v>
      </c>
      <c r="G134" s="2562">
        <f ca="1">SUMIF('Additional &amp; Presentation Entry'!E:E,masterTBCY[[#This Row],[Note Line]],'Additional &amp; Presentation Entry'!G:G)</f>
        <v>0</v>
      </c>
      <c r="H134" s="2562">
        <f>SUMIF('Additional &amp; Presentation Entry'!L:L,masterTBCY[[#This Row],[Note Line]],'Additional &amp; Presentation Entry'!N:N)</f>
        <v>0</v>
      </c>
      <c r="I134" s="320">
        <f>+masterTBCY[[#This Row],[Amount as per TB]]+masterTBCY[[#This Row],[Presentation Entry]]</f>
        <v>0</v>
      </c>
      <c r="J134" s="320">
        <f>I134/'Master Data'!$C$25</f>
        <v>0</v>
      </c>
      <c r="K134" s="404" t="s">
        <v>1329</v>
      </c>
      <c r="N134" s="399">
        <v>124</v>
      </c>
      <c r="O134" s="319" t="s">
        <v>959</v>
      </c>
      <c r="P134" s="321" t="s">
        <v>1283</v>
      </c>
      <c r="Q134" s="321" t="s">
        <v>1253</v>
      </c>
      <c r="R134" s="320">
        <f>SUMIF('TB Grouping'!$Q:$Q,'Master TB'!P134,'TB Grouping'!$O:$O)</f>
        <v>0</v>
      </c>
      <c r="S134" s="320">
        <f>SUMIF('Additional &amp; Presentation Entry'!Q:Q,masterTBCY[[#This Row],[Note Line]],'Additional &amp; Presentation Entry'!S:S)</f>
        <v>0</v>
      </c>
      <c r="T134" s="320">
        <f>SUMIF('Additional &amp; Presentation Entry'!X:X,masterTBCY[[#This Row],[Note Line]],'Additional &amp; Presentation Entry'!Z:Z)</f>
        <v>0</v>
      </c>
      <c r="U134" s="320">
        <f t="shared" si="6"/>
        <v>0</v>
      </c>
      <c r="V134" s="320">
        <f>U134/'Master Data'!$C$25</f>
        <v>0</v>
      </c>
      <c r="W134" s="400" t="str">
        <f t="shared" si="7"/>
        <v>Balance Sheet</v>
      </c>
    </row>
    <row r="135" spans="2:23" x14ac:dyDescent="0.3">
      <c r="B135" s="678">
        <f t="shared" si="4"/>
        <v>125</v>
      </c>
      <c r="C135" s="319" t="s">
        <v>959</v>
      </c>
      <c r="D135" s="321" t="s">
        <v>1284</v>
      </c>
      <c r="E135" s="321" t="s">
        <v>1254</v>
      </c>
      <c r="F135" s="320">
        <f>+SUMIFS('TB Grouping'!F:F,'TB Grouping'!H:H,masterTBCY[[#This Row],[Note Line]])</f>
        <v>0</v>
      </c>
      <c r="G135" s="2562">
        <f ca="1">SUMIF('Additional &amp; Presentation Entry'!E:E,masterTBCY[[#This Row],[Note Line]],'Additional &amp; Presentation Entry'!G:G)</f>
        <v>0</v>
      </c>
      <c r="H135" s="2562">
        <f>SUMIF('Additional &amp; Presentation Entry'!L:L,masterTBCY[[#This Row],[Note Line]],'Additional &amp; Presentation Entry'!N:N)</f>
        <v>0</v>
      </c>
      <c r="I135" s="320">
        <f>+masterTBCY[[#This Row],[Amount as per TB]]+masterTBCY[[#This Row],[Presentation Entry]]</f>
        <v>0</v>
      </c>
      <c r="J135" s="320">
        <f>I135/'Master Data'!$C$25</f>
        <v>0</v>
      </c>
      <c r="K135" s="404" t="s">
        <v>1329</v>
      </c>
      <c r="N135" s="399">
        <v>125</v>
      </c>
      <c r="O135" s="319" t="s">
        <v>959</v>
      </c>
      <c r="P135" s="321" t="s">
        <v>1284</v>
      </c>
      <c r="Q135" s="321" t="s">
        <v>1254</v>
      </c>
      <c r="R135" s="320">
        <f>SUMIF('TB Grouping'!$Q:$Q,'Master TB'!P135,'TB Grouping'!$O:$O)</f>
        <v>0</v>
      </c>
      <c r="S135" s="320">
        <f>SUMIF('Additional &amp; Presentation Entry'!Q:Q,masterTBCY[[#This Row],[Note Line]],'Additional &amp; Presentation Entry'!S:S)</f>
        <v>0</v>
      </c>
      <c r="T135" s="320">
        <f>SUMIF('Additional &amp; Presentation Entry'!X:X,masterTBCY[[#This Row],[Note Line]],'Additional &amp; Presentation Entry'!Z:Z)</f>
        <v>0</v>
      </c>
      <c r="U135" s="320">
        <f t="shared" si="6"/>
        <v>0</v>
      </c>
      <c r="V135" s="320">
        <f>U135/'Master Data'!$C$25</f>
        <v>0</v>
      </c>
      <c r="W135" s="400" t="str">
        <f t="shared" si="7"/>
        <v>Balance Sheet</v>
      </c>
    </row>
    <row r="136" spans="2:23" x14ac:dyDescent="0.3">
      <c r="B136" s="678">
        <f t="shared" si="4"/>
        <v>126</v>
      </c>
      <c r="C136" s="319" t="s">
        <v>959</v>
      </c>
      <c r="D136" s="397" t="s">
        <v>1285</v>
      </c>
      <c r="E136" s="397" t="s">
        <v>1255</v>
      </c>
      <c r="F136" s="320">
        <f>+SUMIFS('TB Grouping'!F:F,'TB Grouping'!H:H,masterTBCY[[#This Row],[Note Line]])</f>
        <v>0</v>
      </c>
      <c r="G136" s="2562">
        <f ca="1">SUMIF('Additional &amp; Presentation Entry'!E:E,masterTBCY[[#This Row],[Note Line]],'Additional &amp; Presentation Entry'!G:G)</f>
        <v>0</v>
      </c>
      <c r="H136" s="2562">
        <f>SUMIF('Additional &amp; Presentation Entry'!L:L,masterTBCY[[#This Row],[Note Line]],'Additional &amp; Presentation Entry'!N:N)</f>
        <v>0</v>
      </c>
      <c r="I136" s="320">
        <f>+masterTBCY[[#This Row],[Amount as per TB]]+masterTBCY[[#This Row],[Presentation Entry]]</f>
        <v>0</v>
      </c>
      <c r="J136" s="320">
        <f>I136/'Master Data'!$C$25</f>
        <v>0</v>
      </c>
      <c r="K136" s="404" t="s">
        <v>1329</v>
      </c>
      <c r="N136" s="399">
        <v>126</v>
      </c>
      <c r="O136" s="319" t="s">
        <v>959</v>
      </c>
      <c r="P136" s="397" t="s">
        <v>1285</v>
      </c>
      <c r="Q136" s="397" t="s">
        <v>1255</v>
      </c>
      <c r="R136" s="320">
        <f>SUMIF('TB Grouping'!$Q:$Q,'Master TB'!P136,'TB Grouping'!$O:$O)</f>
        <v>0</v>
      </c>
      <c r="S136" s="320">
        <f>SUMIF('Additional &amp; Presentation Entry'!Q:Q,masterTBCY[[#This Row],[Note Line]],'Additional &amp; Presentation Entry'!S:S)</f>
        <v>0</v>
      </c>
      <c r="T136" s="320">
        <f>SUMIF('Additional &amp; Presentation Entry'!X:X,masterTBCY[[#This Row],[Note Line]],'Additional &amp; Presentation Entry'!Z:Z)</f>
        <v>0</v>
      </c>
      <c r="U136" s="320">
        <f t="shared" si="6"/>
        <v>0</v>
      </c>
      <c r="V136" s="320">
        <f>U136/'Master Data'!$C$25</f>
        <v>0</v>
      </c>
      <c r="W136" s="400" t="str">
        <f t="shared" si="7"/>
        <v>Balance Sheet</v>
      </c>
    </row>
    <row r="137" spans="2:23" x14ac:dyDescent="0.3">
      <c r="B137" s="678">
        <f t="shared" si="4"/>
        <v>127</v>
      </c>
      <c r="C137" s="319" t="s">
        <v>959</v>
      </c>
      <c r="D137" s="321" t="s">
        <v>1286</v>
      </c>
      <c r="E137" s="321" t="s">
        <v>1256</v>
      </c>
      <c r="F137" s="320">
        <f>+SUMIFS('TB Grouping'!F:F,'TB Grouping'!H:H,masterTBCY[[#This Row],[Note Line]])</f>
        <v>0</v>
      </c>
      <c r="G137" s="2562">
        <f ca="1">SUMIF('Additional &amp; Presentation Entry'!E:E,masterTBCY[[#This Row],[Note Line]],'Additional &amp; Presentation Entry'!G:G)</f>
        <v>0</v>
      </c>
      <c r="H137" s="2562">
        <f>SUMIF('Additional &amp; Presentation Entry'!L:L,masterTBCY[[#This Row],[Note Line]],'Additional &amp; Presentation Entry'!N:N)</f>
        <v>0</v>
      </c>
      <c r="I137" s="320">
        <f>+masterTBCY[[#This Row],[Amount as per TB]]+masterTBCY[[#This Row],[Presentation Entry]]</f>
        <v>0</v>
      </c>
      <c r="J137" s="320">
        <f>I137/'Master Data'!$C$25</f>
        <v>0</v>
      </c>
      <c r="K137" s="404" t="s">
        <v>1329</v>
      </c>
      <c r="N137" s="399">
        <v>127</v>
      </c>
      <c r="O137" s="319" t="s">
        <v>959</v>
      </c>
      <c r="P137" s="321" t="s">
        <v>1286</v>
      </c>
      <c r="Q137" s="321" t="s">
        <v>1256</v>
      </c>
      <c r="R137" s="320">
        <f>SUMIF('TB Grouping'!$Q:$Q,'Master TB'!P137,'TB Grouping'!$O:$O)</f>
        <v>0</v>
      </c>
      <c r="S137" s="320">
        <f>SUMIF('Additional &amp; Presentation Entry'!Q:Q,masterTBCY[[#This Row],[Note Line]],'Additional &amp; Presentation Entry'!S:S)</f>
        <v>0</v>
      </c>
      <c r="T137" s="320">
        <f>SUMIF('Additional &amp; Presentation Entry'!X:X,masterTBCY[[#This Row],[Note Line]],'Additional &amp; Presentation Entry'!Z:Z)</f>
        <v>0</v>
      </c>
      <c r="U137" s="320">
        <f t="shared" si="6"/>
        <v>0</v>
      </c>
      <c r="V137" s="320">
        <f>U137/'Master Data'!$C$25</f>
        <v>0</v>
      </c>
      <c r="W137" s="400" t="str">
        <f t="shared" si="7"/>
        <v>Balance Sheet</v>
      </c>
    </row>
    <row r="138" spans="2:23" x14ac:dyDescent="0.3">
      <c r="B138" s="678">
        <f t="shared" si="4"/>
        <v>128</v>
      </c>
      <c r="C138" s="319" t="s">
        <v>959</v>
      </c>
      <c r="D138" s="321" t="s">
        <v>1287</v>
      </c>
      <c r="E138" s="321" t="s">
        <v>1257</v>
      </c>
      <c r="F138" s="320">
        <f>+SUMIFS('TB Grouping'!F:F,'TB Grouping'!H:H,masterTBCY[[#This Row],[Note Line]])</f>
        <v>0</v>
      </c>
      <c r="G138" s="2562">
        <f ca="1">SUMIF('Additional &amp; Presentation Entry'!E:E,masterTBCY[[#This Row],[Note Line]],'Additional &amp; Presentation Entry'!G:G)</f>
        <v>0</v>
      </c>
      <c r="H138" s="2562">
        <f>SUMIF('Additional &amp; Presentation Entry'!L:L,masterTBCY[[#This Row],[Note Line]],'Additional &amp; Presentation Entry'!N:N)</f>
        <v>0</v>
      </c>
      <c r="I138" s="320">
        <f>+masterTBCY[[#This Row],[Amount as per TB]]+masterTBCY[[#This Row],[Presentation Entry]]</f>
        <v>0</v>
      </c>
      <c r="J138" s="320">
        <f>I138/'Master Data'!$C$25</f>
        <v>0</v>
      </c>
      <c r="K138" s="404" t="s">
        <v>1329</v>
      </c>
      <c r="N138" s="399">
        <v>128</v>
      </c>
      <c r="O138" s="319" t="s">
        <v>959</v>
      </c>
      <c r="P138" s="321" t="s">
        <v>1287</v>
      </c>
      <c r="Q138" s="321" t="s">
        <v>1257</v>
      </c>
      <c r="R138" s="320">
        <f>SUMIF('TB Grouping'!$Q:$Q,'Master TB'!P138,'TB Grouping'!$O:$O)</f>
        <v>0</v>
      </c>
      <c r="S138" s="320">
        <f>SUMIF('Additional &amp; Presentation Entry'!Q:Q,masterTBCY[[#This Row],[Note Line]],'Additional &amp; Presentation Entry'!S:S)</f>
        <v>0</v>
      </c>
      <c r="T138" s="320">
        <f>SUMIF('Additional &amp; Presentation Entry'!X:X,masterTBCY[[#This Row],[Note Line]],'Additional &amp; Presentation Entry'!Z:Z)</f>
        <v>0</v>
      </c>
      <c r="U138" s="320">
        <f t="shared" si="6"/>
        <v>0</v>
      </c>
      <c r="V138" s="320">
        <f>U138/'Master Data'!$C$25</f>
        <v>0</v>
      </c>
      <c r="W138" s="400" t="str">
        <f t="shared" si="7"/>
        <v>Balance Sheet</v>
      </c>
    </row>
    <row r="139" spans="2:23" x14ac:dyDescent="0.3">
      <c r="B139" s="678">
        <f t="shared" si="4"/>
        <v>129</v>
      </c>
      <c r="C139" s="319" t="s">
        <v>959</v>
      </c>
      <c r="D139" s="321" t="s">
        <v>1288</v>
      </c>
      <c r="E139" s="321" t="s">
        <v>1258</v>
      </c>
      <c r="F139" s="320">
        <f>+SUMIFS('TB Grouping'!F:F,'TB Grouping'!H:H,masterTBCY[[#This Row],[Note Line]])</f>
        <v>0</v>
      </c>
      <c r="G139" s="2562">
        <f ca="1">SUMIF('Additional &amp; Presentation Entry'!E:E,masterTBCY[[#This Row],[Note Line]],'Additional &amp; Presentation Entry'!G:G)</f>
        <v>0</v>
      </c>
      <c r="H139" s="2562">
        <f>SUMIF('Additional &amp; Presentation Entry'!L:L,masterTBCY[[#This Row],[Note Line]],'Additional &amp; Presentation Entry'!N:N)</f>
        <v>0</v>
      </c>
      <c r="I139" s="320">
        <f>+masterTBCY[[#This Row],[Amount as per TB]]+masterTBCY[[#This Row],[Presentation Entry]]</f>
        <v>0</v>
      </c>
      <c r="J139" s="320">
        <f>I139/'Master Data'!$C$25</f>
        <v>0</v>
      </c>
      <c r="K139" s="404" t="s">
        <v>1329</v>
      </c>
      <c r="N139" s="399">
        <v>129</v>
      </c>
      <c r="O139" s="319" t="s">
        <v>959</v>
      </c>
      <c r="P139" s="321" t="s">
        <v>1288</v>
      </c>
      <c r="Q139" s="321" t="s">
        <v>1258</v>
      </c>
      <c r="R139" s="320">
        <f>SUMIF('TB Grouping'!$Q:$Q,'Master TB'!P139,'TB Grouping'!$O:$O)</f>
        <v>0</v>
      </c>
      <c r="S139" s="320">
        <f>SUMIF('Additional &amp; Presentation Entry'!Q:Q,masterTBCY[[#This Row],[Note Line]],'Additional &amp; Presentation Entry'!S:S)</f>
        <v>0</v>
      </c>
      <c r="T139" s="320">
        <f>SUMIF('Additional &amp; Presentation Entry'!X:X,masterTBCY[[#This Row],[Note Line]],'Additional &amp; Presentation Entry'!Z:Z)</f>
        <v>0</v>
      </c>
      <c r="U139" s="320">
        <f t="shared" si="6"/>
        <v>0</v>
      </c>
      <c r="V139" s="320">
        <f>U139/'Master Data'!$C$25</f>
        <v>0</v>
      </c>
      <c r="W139" s="400" t="str">
        <f t="shared" si="7"/>
        <v>Balance Sheet</v>
      </c>
    </row>
    <row r="140" spans="2:23" x14ac:dyDescent="0.3">
      <c r="B140" s="678">
        <f t="shared" ref="B140:B203" si="8">+B139+1</f>
        <v>130</v>
      </c>
      <c r="C140" s="319" t="s">
        <v>959</v>
      </c>
      <c r="D140" s="321" t="s">
        <v>1289</v>
      </c>
      <c r="E140" s="321" t="s">
        <v>1259</v>
      </c>
      <c r="F140" s="320">
        <f>+SUMIFS('TB Grouping'!F:F,'TB Grouping'!H:H,masterTBCY[[#This Row],[Note Line]])</f>
        <v>0</v>
      </c>
      <c r="G140" s="2562">
        <f ca="1">SUMIF('Additional &amp; Presentation Entry'!E:E,masterTBCY[[#This Row],[Note Line]],'Additional &amp; Presentation Entry'!G:G)</f>
        <v>0</v>
      </c>
      <c r="H140" s="2562">
        <f>SUMIF('Additional &amp; Presentation Entry'!L:L,masterTBCY[[#This Row],[Note Line]],'Additional &amp; Presentation Entry'!N:N)</f>
        <v>0</v>
      </c>
      <c r="I140" s="320">
        <f>+masterTBCY[[#This Row],[Amount as per TB]]+masterTBCY[[#This Row],[Presentation Entry]]</f>
        <v>0</v>
      </c>
      <c r="J140" s="320">
        <f>I140/'Master Data'!$C$25</f>
        <v>0</v>
      </c>
      <c r="K140" s="404" t="s">
        <v>1329</v>
      </c>
      <c r="N140" s="399">
        <v>130</v>
      </c>
      <c r="O140" s="319" t="s">
        <v>959</v>
      </c>
      <c r="P140" s="321" t="s">
        <v>1289</v>
      </c>
      <c r="Q140" s="321" t="s">
        <v>1259</v>
      </c>
      <c r="R140" s="320">
        <f>SUMIF('TB Grouping'!$Q:$Q,'Master TB'!P140,'TB Grouping'!$O:$O)</f>
        <v>0</v>
      </c>
      <c r="S140" s="320">
        <f>SUMIF('Additional &amp; Presentation Entry'!Q:Q,masterTBCY[[#This Row],[Note Line]],'Additional &amp; Presentation Entry'!S:S)</f>
        <v>0</v>
      </c>
      <c r="T140" s="320">
        <f>SUMIF('Additional &amp; Presentation Entry'!X:X,masterTBCY[[#This Row],[Note Line]],'Additional &amp; Presentation Entry'!Z:Z)</f>
        <v>0</v>
      </c>
      <c r="U140" s="320">
        <f t="shared" si="6"/>
        <v>0</v>
      </c>
      <c r="V140" s="320">
        <f>U140/'Master Data'!$C$25</f>
        <v>0</v>
      </c>
      <c r="W140" s="400" t="str">
        <f t="shared" si="7"/>
        <v>Balance Sheet</v>
      </c>
    </row>
    <row r="141" spans="2:23" x14ac:dyDescent="0.3">
      <c r="B141" s="678">
        <f t="shared" si="8"/>
        <v>131</v>
      </c>
      <c r="C141" s="319" t="s">
        <v>959</v>
      </c>
      <c r="D141" s="397" t="s">
        <v>1290</v>
      </c>
      <c r="E141" s="397" t="s">
        <v>1260</v>
      </c>
      <c r="F141" s="320">
        <f>+SUMIFS('TB Grouping'!F:F,'TB Grouping'!H:H,masterTBCY[[#This Row],[Note Line]])</f>
        <v>0</v>
      </c>
      <c r="G141" s="2562">
        <f ca="1">SUMIF('Additional &amp; Presentation Entry'!E:E,masterTBCY[[#This Row],[Note Line]],'Additional &amp; Presentation Entry'!G:G)</f>
        <v>0</v>
      </c>
      <c r="H141" s="2562">
        <f>SUMIF('Additional &amp; Presentation Entry'!L:L,masterTBCY[[#This Row],[Note Line]],'Additional &amp; Presentation Entry'!N:N)</f>
        <v>0</v>
      </c>
      <c r="I141" s="320">
        <f>+masterTBCY[[#This Row],[Amount as per TB]]+masterTBCY[[#This Row],[Presentation Entry]]</f>
        <v>0</v>
      </c>
      <c r="J141" s="320">
        <f>I141/'Master Data'!$C$25</f>
        <v>0</v>
      </c>
      <c r="K141" s="404" t="s">
        <v>1329</v>
      </c>
      <c r="N141" s="399">
        <v>131</v>
      </c>
      <c r="O141" s="319" t="s">
        <v>959</v>
      </c>
      <c r="P141" s="397" t="s">
        <v>1290</v>
      </c>
      <c r="Q141" s="397" t="s">
        <v>1260</v>
      </c>
      <c r="R141" s="320">
        <f>SUMIF('TB Grouping'!$Q:$Q,'Master TB'!P141,'TB Grouping'!$O:$O)</f>
        <v>0</v>
      </c>
      <c r="S141" s="320">
        <f>SUMIF('Additional &amp; Presentation Entry'!Q:Q,masterTBCY[[#This Row],[Note Line]],'Additional &amp; Presentation Entry'!S:S)</f>
        <v>0</v>
      </c>
      <c r="T141" s="320">
        <f>SUMIF('Additional &amp; Presentation Entry'!X:X,masterTBCY[[#This Row],[Note Line]],'Additional &amp; Presentation Entry'!Z:Z)</f>
        <v>0</v>
      </c>
      <c r="U141" s="320">
        <f t="shared" si="6"/>
        <v>0</v>
      </c>
      <c r="V141" s="320">
        <f>U141/'Master Data'!$C$25</f>
        <v>0</v>
      </c>
      <c r="W141" s="400" t="str">
        <f t="shared" si="7"/>
        <v>Balance Sheet</v>
      </c>
    </row>
    <row r="142" spans="2:23" x14ac:dyDescent="0.3">
      <c r="B142" s="678">
        <f t="shared" si="8"/>
        <v>132</v>
      </c>
      <c r="C142" s="319" t="s">
        <v>959</v>
      </c>
      <c r="D142" s="321" t="s">
        <v>1271</v>
      </c>
      <c r="E142" s="321" t="s">
        <v>1261</v>
      </c>
      <c r="F142" s="320">
        <f>+SUMIFS('TB Grouping'!F:F,'TB Grouping'!H:H,masterTBCY[[#This Row],[Note Line]])</f>
        <v>0</v>
      </c>
      <c r="G142" s="2562">
        <f ca="1">SUMIF('Additional &amp; Presentation Entry'!E:E,masterTBCY[[#This Row],[Note Line]],'Additional &amp; Presentation Entry'!G:G)</f>
        <v>0</v>
      </c>
      <c r="H142" s="2562">
        <f>SUMIF('Additional &amp; Presentation Entry'!L:L,masterTBCY[[#This Row],[Note Line]],'Additional &amp; Presentation Entry'!N:N)</f>
        <v>0</v>
      </c>
      <c r="I142" s="320">
        <f>+masterTBCY[[#This Row],[Amount as per TB]]+masterTBCY[[#This Row],[Presentation Entry]]</f>
        <v>0</v>
      </c>
      <c r="J142" s="320">
        <f>I142/'Master Data'!$C$25</f>
        <v>0</v>
      </c>
      <c r="K142" s="404" t="s">
        <v>1329</v>
      </c>
      <c r="N142" s="399">
        <v>132</v>
      </c>
      <c r="O142" s="319" t="s">
        <v>959</v>
      </c>
      <c r="P142" s="321" t="s">
        <v>1271</v>
      </c>
      <c r="Q142" s="321" t="s">
        <v>1261</v>
      </c>
      <c r="R142" s="320">
        <f>SUMIF('TB Grouping'!$Q:$Q,'Master TB'!P142,'TB Grouping'!$O:$O)</f>
        <v>0</v>
      </c>
      <c r="S142" s="320">
        <f>SUMIF('Additional &amp; Presentation Entry'!Q:Q,masterTBCY[[#This Row],[Note Line]],'Additional &amp; Presentation Entry'!S:S)</f>
        <v>0</v>
      </c>
      <c r="T142" s="320">
        <f>SUMIF('Additional &amp; Presentation Entry'!X:X,masterTBCY[[#This Row],[Note Line]],'Additional &amp; Presentation Entry'!Z:Z)</f>
        <v>0</v>
      </c>
      <c r="U142" s="320">
        <f t="shared" si="6"/>
        <v>0</v>
      </c>
      <c r="V142" s="320">
        <f>U142/'Master Data'!$C$25</f>
        <v>0</v>
      </c>
      <c r="W142" s="400" t="str">
        <f t="shared" si="7"/>
        <v>Balance Sheet</v>
      </c>
    </row>
    <row r="143" spans="2:23" x14ac:dyDescent="0.3">
      <c r="B143" s="678">
        <f t="shared" si="8"/>
        <v>133</v>
      </c>
      <c r="C143" s="319" t="s">
        <v>959</v>
      </c>
      <c r="D143" s="321" t="s">
        <v>1272</v>
      </c>
      <c r="E143" s="321" t="s">
        <v>1262</v>
      </c>
      <c r="F143" s="320">
        <f>+SUMIFS('TB Grouping'!F:F,'TB Grouping'!H:H,masterTBCY[[#This Row],[Note Line]])</f>
        <v>-248909.08</v>
      </c>
      <c r="G143" s="2562">
        <f ca="1">SUMIF('Additional &amp; Presentation Entry'!E:E,masterTBCY[[#This Row],[Note Line]],'Additional &amp; Presentation Entry'!G:G)</f>
        <v>-248909.08000000002</v>
      </c>
      <c r="H143" s="2562">
        <f>SUMIF('Additional &amp; Presentation Entry'!L:L,masterTBCY[[#This Row],[Note Line]],'Additional &amp; Presentation Entry'!N:N)</f>
        <v>0</v>
      </c>
      <c r="I143" s="320">
        <f>+masterTBCY[[#This Row],[Amount as per TB]]+masterTBCY[[#This Row],[Presentation Entry]]</f>
        <v>-248909.08</v>
      </c>
      <c r="J143" s="320">
        <f>I143/'Master Data'!$C$25</f>
        <v>-2489.0907999999999</v>
      </c>
      <c r="K143" s="404" t="s">
        <v>1329</v>
      </c>
      <c r="N143" s="399">
        <v>133</v>
      </c>
      <c r="O143" s="319" t="s">
        <v>959</v>
      </c>
      <c r="P143" s="321" t="s">
        <v>1272</v>
      </c>
      <c r="Q143" s="321" t="s">
        <v>1262</v>
      </c>
      <c r="R143" s="320">
        <f>SUMIF('TB Grouping'!$Q:$Q,'Master TB'!P143,'TB Grouping'!$O:$O)</f>
        <v>0</v>
      </c>
      <c r="S143" s="320">
        <f>SUMIF('Additional &amp; Presentation Entry'!Q:Q,masterTBCY[[#This Row],[Note Line]],'Additional &amp; Presentation Entry'!S:S)</f>
        <v>0</v>
      </c>
      <c r="T143" s="320">
        <f>SUMIF('Additional &amp; Presentation Entry'!X:X,masterTBCY[[#This Row],[Note Line]],'Additional &amp; Presentation Entry'!Z:Z)</f>
        <v>0</v>
      </c>
      <c r="U143" s="320">
        <f t="shared" si="6"/>
        <v>0</v>
      </c>
      <c r="V143" s="320">
        <f>U143/'Master Data'!$C$25</f>
        <v>0</v>
      </c>
      <c r="W143" s="400" t="str">
        <f t="shared" si="7"/>
        <v>Balance Sheet</v>
      </c>
    </row>
    <row r="144" spans="2:23" x14ac:dyDescent="0.3">
      <c r="B144" s="678">
        <f t="shared" si="8"/>
        <v>134</v>
      </c>
      <c r="C144" s="319" t="s">
        <v>959</v>
      </c>
      <c r="D144" s="321" t="s">
        <v>1273</v>
      </c>
      <c r="E144" s="321" t="s">
        <v>1263</v>
      </c>
      <c r="F144" s="320">
        <f>+SUMIFS('TB Grouping'!F:F,'TB Grouping'!H:H,masterTBCY[[#This Row],[Note Line]])</f>
        <v>0</v>
      </c>
      <c r="G144" s="2562">
        <f ca="1">SUMIF('Additional &amp; Presentation Entry'!E:E,masterTBCY[[#This Row],[Note Line]],'Additional &amp; Presentation Entry'!G:G)</f>
        <v>0</v>
      </c>
      <c r="H144" s="2562">
        <f>SUMIF('Additional &amp; Presentation Entry'!L:L,masterTBCY[[#This Row],[Note Line]],'Additional &amp; Presentation Entry'!N:N)</f>
        <v>0</v>
      </c>
      <c r="I144" s="320">
        <f>+masterTBCY[[#This Row],[Amount as per TB]]+masterTBCY[[#This Row],[Presentation Entry]]</f>
        <v>0</v>
      </c>
      <c r="J144" s="320">
        <f>I144/'Master Data'!$C$25</f>
        <v>0</v>
      </c>
      <c r="K144" s="404" t="s">
        <v>1329</v>
      </c>
      <c r="N144" s="399">
        <v>134</v>
      </c>
      <c r="O144" s="319" t="s">
        <v>959</v>
      </c>
      <c r="P144" s="321" t="s">
        <v>1273</v>
      </c>
      <c r="Q144" s="321" t="s">
        <v>1263</v>
      </c>
      <c r="R144" s="320">
        <f>SUMIF('TB Grouping'!$Q:$Q,'Master TB'!P144,'TB Grouping'!$O:$O)</f>
        <v>0</v>
      </c>
      <c r="S144" s="320">
        <f>SUMIF('Additional &amp; Presentation Entry'!Q:Q,masterTBCY[[#This Row],[Note Line]],'Additional &amp; Presentation Entry'!S:S)</f>
        <v>0</v>
      </c>
      <c r="T144" s="320">
        <f>SUMIF('Additional &amp; Presentation Entry'!X:X,masterTBCY[[#This Row],[Note Line]],'Additional &amp; Presentation Entry'!Z:Z)</f>
        <v>0</v>
      </c>
      <c r="U144" s="320">
        <f t="shared" si="6"/>
        <v>0</v>
      </c>
      <c r="V144" s="320">
        <f>U144/'Master Data'!$C$25</f>
        <v>0</v>
      </c>
      <c r="W144" s="400" t="str">
        <f t="shared" si="7"/>
        <v>Balance Sheet</v>
      </c>
    </row>
    <row r="145" spans="2:23" x14ac:dyDescent="0.3">
      <c r="B145" s="678">
        <f t="shared" si="8"/>
        <v>135</v>
      </c>
      <c r="C145" s="319" t="s">
        <v>959</v>
      </c>
      <c r="D145" s="321" t="s">
        <v>1274</v>
      </c>
      <c r="E145" s="321" t="s">
        <v>1264</v>
      </c>
      <c r="F145" s="320">
        <f>+SUMIFS('TB Grouping'!F:F,'TB Grouping'!H:H,masterTBCY[[#This Row],[Note Line]])</f>
        <v>0</v>
      </c>
      <c r="G145" s="2562">
        <f ca="1">SUMIF('Additional &amp; Presentation Entry'!E:E,masterTBCY[[#This Row],[Note Line]],'Additional &amp; Presentation Entry'!G:G)</f>
        <v>0</v>
      </c>
      <c r="H145" s="2562">
        <f>SUMIF('Additional &amp; Presentation Entry'!L:L,masterTBCY[[#This Row],[Note Line]],'Additional &amp; Presentation Entry'!N:N)</f>
        <v>0</v>
      </c>
      <c r="I145" s="320">
        <f>+masterTBCY[[#This Row],[Amount as per TB]]+masterTBCY[[#This Row],[Presentation Entry]]</f>
        <v>0</v>
      </c>
      <c r="J145" s="320">
        <f>I145/'Master Data'!$C$25</f>
        <v>0</v>
      </c>
      <c r="K145" s="404" t="s">
        <v>1329</v>
      </c>
      <c r="N145" s="399">
        <v>135</v>
      </c>
      <c r="O145" s="319" t="s">
        <v>959</v>
      </c>
      <c r="P145" s="321" t="s">
        <v>1274</v>
      </c>
      <c r="Q145" s="321" t="s">
        <v>1264</v>
      </c>
      <c r="R145" s="320">
        <f>SUMIF('TB Grouping'!$Q:$Q,'Master TB'!P145,'TB Grouping'!$O:$O)</f>
        <v>0</v>
      </c>
      <c r="S145" s="320">
        <f>SUMIF('Additional &amp; Presentation Entry'!Q:Q,masterTBCY[[#This Row],[Note Line]],'Additional &amp; Presentation Entry'!S:S)</f>
        <v>0</v>
      </c>
      <c r="T145" s="320">
        <f>SUMIF('Additional &amp; Presentation Entry'!X:X,masterTBCY[[#This Row],[Note Line]],'Additional &amp; Presentation Entry'!Z:Z)</f>
        <v>0</v>
      </c>
      <c r="U145" s="320">
        <f t="shared" si="6"/>
        <v>0</v>
      </c>
      <c r="V145" s="320">
        <f>U145/'Master Data'!$C$25</f>
        <v>0</v>
      </c>
      <c r="W145" s="400" t="str">
        <f t="shared" si="7"/>
        <v>Balance Sheet</v>
      </c>
    </row>
    <row r="146" spans="2:23" x14ac:dyDescent="0.3">
      <c r="B146" s="678">
        <f t="shared" si="8"/>
        <v>136</v>
      </c>
      <c r="C146" s="319" t="s">
        <v>959</v>
      </c>
      <c r="D146" s="321" t="s">
        <v>1275</v>
      </c>
      <c r="E146" s="397" t="s">
        <v>1265</v>
      </c>
      <c r="F146" s="320">
        <f>+SUMIFS('TB Grouping'!F:F,'TB Grouping'!H:H,masterTBCY[[#This Row],[Note Line]])</f>
        <v>0</v>
      </c>
      <c r="G146" s="2562">
        <f ca="1">SUMIF('Additional &amp; Presentation Entry'!E:E,masterTBCY[[#This Row],[Note Line]],'Additional &amp; Presentation Entry'!G:G)</f>
        <v>0</v>
      </c>
      <c r="H146" s="2562">
        <f>SUMIF('Additional &amp; Presentation Entry'!L:L,masterTBCY[[#This Row],[Note Line]],'Additional &amp; Presentation Entry'!N:N)</f>
        <v>0</v>
      </c>
      <c r="I146" s="320">
        <f>+masterTBCY[[#This Row],[Amount as per TB]]+masterTBCY[[#This Row],[Presentation Entry]]</f>
        <v>0</v>
      </c>
      <c r="J146" s="320">
        <f>I146/'Master Data'!$C$25</f>
        <v>0</v>
      </c>
      <c r="K146" s="404" t="s">
        <v>1329</v>
      </c>
      <c r="N146" s="399">
        <v>136</v>
      </c>
      <c r="O146" s="319" t="s">
        <v>959</v>
      </c>
      <c r="P146" s="321" t="s">
        <v>1275</v>
      </c>
      <c r="Q146" s="397" t="s">
        <v>1265</v>
      </c>
      <c r="R146" s="320">
        <f>SUMIF('TB Grouping'!$Q:$Q,'Master TB'!P146,'TB Grouping'!$O:$O)</f>
        <v>0</v>
      </c>
      <c r="S146" s="320">
        <f>SUMIF('Additional &amp; Presentation Entry'!Q:Q,masterTBCY[[#This Row],[Note Line]],'Additional &amp; Presentation Entry'!S:S)</f>
        <v>0</v>
      </c>
      <c r="T146" s="320">
        <f>SUMIF('Additional &amp; Presentation Entry'!X:X,masterTBCY[[#This Row],[Note Line]],'Additional &amp; Presentation Entry'!Z:Z)</f>
        <v>0</v>
      </c>
      <c r="U146" s="320">
        <f t="shared" si="6"/>
        <v>0</v>
      </c>
      <c r="V146" s="320">
        <f>U146/'Master Data'!$C$25</f>
        <v>0</v>
      </c>
      <c r="W146" s="400" t="str">
        <f t="shared" ref="W146:W177" si="9">K148</f>
        <v>Balance Sheet</v>
      </c>
    </row>
    <row r="147" spans="2:23" x14ac:dyDescent="0.3">
      <c r="B147" s="678">
        <f t="shared" si="8"/>
        <v>137</v>
      </c>
      <c r="C147" s="319" t="s">
        <v>959</v>
      </c>
      <c r="D147" s="321" t="s">
        <v>1276</v>
      </c>
      <c r="E147" s="321" t="s">
        <v>1266</v>
      </c>
      <c r="F147" s="320">
        <f>+SUMIFS('TB Grouping'!F:F,'TB Grouping'!H:H,masterTBCY[[#This Row],[Note Line]])</f>
        <v>0</v>
      </c>
      <c r="G147" s="2562">
        <f ca="1">SUMIF('Additional &amp; Presentation Entry'!E:E,masterTBCY[[#This Row],[Note Line]],'Additional &amp; Presentation Entry'!G:G)</f>
        <v>0</v>
      </c>
      <c r="H147" s="2562">
        <f>SUMIF('Additional &amp; Presentation Entry'!L:L,masterTBCY[[#This Row],[Note Line]],'Additional &amp; Presentation Entry'!N:N)</f>
        <v>0</v>
      </c>
      <c r="I147" s="320">
        <f>+masterTBCY[[#This Row],[Amount as per TB]]+masterTBCY[[#This Row],[Presentation Entry]]</f>
        <v>0</v>
      </c>
      <c r="J147" s="320">
        <f>I147/'Master Data'!$C$25</f>
        <v>0</v>
      </c>
      <c r="K147" s="404" t="s">
        <v>1329</v>
      </c>
      <c r="N147" s="399">
        <v>137</v>
      </c>
      <c r="O147" s="319" t="s">
        <v>959</v>
      </c>
      <c r="P147" s="321" t="s">
        <v>1276</v>
      </c>
      <c r="Q147" s="321" t="s">
        <v>1266</v>
      </c>
      <c r="R147" s="320">
        <f>SUMIF('TB Grouping'!$Q:$Q,'Master TB'!P147,'TB Grouping'!$O:$O)</f>
        <v>0</v>
      </c>
      <c r="S147" s="320">
        <f>SUMIF('Additional &amp; Presentation Entry'!Q:Q,masterTBCY[[#This Row],[Note Line]],'Additional &amp; Presentation Entry'!S:S)</f>
        <v>0</v>
      </c>
      <c r="T147" s="320">
        <f>SUMIF('Additional &amp; Presentation Entry'!X:X,masterTBCY[[#This Row],[Note Line]],'Additional &amp; Presentation Entry'!Z:Z)</f>
        <v>0</v>
      </c>
      <c r="U147" s="320">
        <f t="shared" si="6"/>
        <v>0</v>
      </c>
      <c r="V147" s="320">
        <f>U147/'Master Data'!$C$25</f>
        <v>0</v>
      </c>
      <c r="W147" s="400" t="str">
        <f t="shared" si="9"/>
        <v>Balance Sheet</v>
      </c>
    </row>
    <row r="148" spans="2:23" x14ac:dyDescent="0.3">
      <c r="B148" s="678">
        <f t="shared" si="8"/>
        <v>138</v>
      </c>
      <c r="C148" s="319" t="s">
        <v>959</v>
      </c>
      <c r="D148" s="321" t="s">
        <v>1277</v>
      </c>
      <c r="E148" s="321" t="s">
        <v>1267</v>
      </c>
      <c r="F148" s="320">
        <f>+SUMIFS('TB Grouping'!F:F,'TB Grouping'!H:H,masterTBCY[[#This Row],[Note Line]])</f>
        <v>-10983510</v>
      </c>
      <c r="G148" s="2562">
        <f ca="1">SUMIF('Additional &amp; Presentation Entry'!E:E,masterTBCY[[#This Row],[Note Line]],'Additional &amp; Presentation Entry'!G:G)</f>
        <v>701506.45159577508</v>
      </c>
      <c r="H148" s="2562">
        <f>SUMIF('Additional &amp; Presentation Entry'!L:L,masterTBCY[[#This Row],[Note Line]],'Additional &amp; Presentation Entry'!N:N)</f>
        <v>0</v>
      </c>
      <c r="I148" s="320">
        <f>+masterTBCY[[#This Row],[Amount as per TB]]+masterTBCY[[#This Row],[Presentation Entry]]</f>
        <v>-10983510</v>
      </c>
      <c r="J148" s="320">
        <f>I148/'Master Data'!$C$25</f>
        <v>-109835.1</v>
      </c>
      <c r="K148" s="404" t="s">
        <v>1329</v>
      </c>
      <c r="N148" s="399">
        <v>138</v>
      </c>
      <c r="O148" s="319" t="s">
        <v>959</v>
      </c>
      <c r="P148" s="321" t="s">
        <v>1277</v>
      </c>
      <c r="Q148" s="321" t="s">
        <v>1267</v>
      </c>
      <c r="R148" s="320">
        <f>SUMIF('TB Grouping'!$Q:$Q,'Master TB'!P148,'TB Grouping'!$O:$O)</f>
        <v>-6277185.0299999993</v>
      </c>
      <c r="S148" s="320">
        <f>SUMIF('Additional &amp; Presentation Entry'!Q:Q,masterTBCY[[#This Row],[Note Line]],'Additional &amp; Presentation Entry'!S:S)</f>
        <v>0</v>
      </c>
      <c r="T148" s="320">
        <f>SUMIF('Additional &amp; Presentation Entry'!X:X,masterTBCY[[#This Row],[Note Line]],'Additional &amp; Presentation Entry'!Z:Z)</f>
        <v>0</v>
      </c>
      <c r="U148" s="320">
        <f t="shared" si="6"/>
        <v>-6277185.0299999993</v>
      </c>
      <c r="V148" s="320">
        <f>U148/'Master Data'!$C$25</f>
        <v>-62771.850299999991</v>
      </c>
      <c r="W148" s="400" t="str">
        <f t="shared" si="9"/>
        <v>Balance Sheet</v>
      </c>
    </row>
    <row r="149" spans="2:23" x14ac:dyDescent="0.3">
      <c r="B149" s="678">
        <f t="shared" si="8"/>
        <v>139</v>
      </c>
      <c r="C149" s="319" t="s">
        <v>959</v>
      </c>
      <c r="D149" s="321" t="s">
        <v>1278</v>
      </c>
      <c r="E149" s="321" t="s">
        <v>1268</v>
      </c>
      <c r="F149" s="320">
        <f>+SUMIFS('TB Grouping'!F:F,'TB Grouping'!H:H,masterTBCY[[#This Row],[Note Line]])</f>
        <v>0</v>
      </c>
      <c r="G149" s="2562">
        <f ca="1">SUMIF('Additional &amp; Presentation Entry'!E:E,masterTBCY[[#This Row],[Note Line]],'Additional &amp; Presentation Entry'!G:G)</f>
        <v>0</v>
      </c>
      <c r="H149" s="2562">
        <f>SUMIF('Additional &amp; Presentation Entry'!L:L,masterTBCY[[#This Row],[Note Line]],'Additional &amp; Presentation Entry'!N:N)</f>
        <v>0</v>
      </c>
      <c r="I149" s="320">
        <f>+masterTBCY[[#This Row],[Amount as per TB]]+masterTBCY[[#This Row],[Presentation Entry]]</f>
        <v>0</v>
      </c>
      <c r="J149" s="320">
        <f>I149/'Master Data'!$C$25</f>
        <v>0</v>
      </c>
      <c r="K149" s="404" t="s">
        <v>1329</v>
      </c>
      <c r="N149" s="399">
        <v>139</v>
      </c>
      <c r="O149" s="319" t="s">
        <v>959</v>
      </c>
      <c r="P149" s="321" t="s">
        <v>1278</v>
      </c>
      <c r="Q149" s="321" t="s">
        <v>1268</v>
      </c>
      <c r="R149" s="320">
        <f>SUMIF('TB Grouping'!$Q:$Q,'Master TB'!P149,'TB Grouping'!$O:$O)</f>
        <v>0</v>
      </c>
      <c r="S149" s="320">
        <f>SUMIF('Additional &amp; Presentation Entry'!Q:Q,masterTBCY[[#This Row],[Note Line]],'Additional &amp; Presentation Entry'!S:S)</f>
        <v>0</v>
      </c>
      <c r="T149" s="320">
        <f>SUMIF('Additional &amp; Presentation Entry'!X:X,masterTBCY[[#This Row],[Note Line]],'Additional &amp; Presentation Entry'!Z:Z)</f>
        <v>0</v>
      </c>
      <c r="U149" s="320">
        <f t="shared" si="6"/>
        <v>0</v>
      </c>
      <c r="V149" s="320">
        <f>U149/'Master Data'!$C$25</f>
        <v>0</v>
      </c>
      <c r="W149" s="400" t="str">
        <f t="shared" si="9"/>
        <v>Balance Sheet</v>
      </c>
    </row>
    <row r="150" spans="2:23" x14ac:dyDescent="0.3">
      <c r="B150" s="678">
        <f t="shared" si="8"/>
        <v>140</v>
      </c>
      <c r="C150" s="319" t="s">
        <v>959</v>
      </c>
      <c r="D150" s="321" t="s">
        <v>1279</v>
      </c>
      <c r="E150" s="321" t="s">
        <v>1269</v>
      </c>
      <c r="F150" s="320">
        <f>+SUMIFS('TB Grouping'!F:F,'TB Grouping'!H:H,masterTBCY[[#This Row],[Note Line]])</f>
        <v>0</v>
      </c>
      <c r="G150" s="2562">
        <f ca="1">SUMIF('Additional &amp; Presentation Entry'!E:E,masterTBCY[[#This Row],[Note Line]],'Additional &amp; Presentation Entry'!G:G)</f>
        <v>0</v>
      </c>
      <c r="H150" s="2562">
        <f>SUMIF('Additional &amp; Presentation Entry'!L:L,masterTBCY[[#This Row],[Note Line]],'Additional &amp; Presentation Entry'!N:N)</f>
        <v>0</v>
      </c>
      <c r="I150" s="320">
        <f>+masterTBCY[[#This Row],[Amount as per TB]]+masterTBCY[[#This Row],[Presentation Entry]]</f>
        <v>0</v>
      </c>
      <c r="J150" s="320">
        <f>I150/'Master Data'!$C$25</f>
        <v>0</v>
      </c>
      <c r="K150" s="404" t="s">
        <v>1329</v>
      </c>
      <c r="N150" s="399">
        <v>140</v>
      </c>
      <c r="O150" s="319" t="s">
        <v>959</v>
      </c>
      <c r="P150" s="321" t="s">
        <v>1279</v>
      </c>
      <c r="Q150" s="321" t="s">
        <v>1269</v>
      </c>
      <c r="R150" s="320">
        <f>SUMIF('TB Grouping'!$Q:$Q,'Master TB'!P150,'TB Grouping'!$O:$O)</f>
        <v>0</v>
      </c>
      <c r="S150" s="320">
        <f>SUMIF('Additional &amp; Presentation Entry'!Q:Q,masterTBCY[[#This Row],[Note Line]],'Additional &amp; Presentation Entry'!S:S)</f>
        <v>0</v>
      </c>
      <c r="T150" s="320">
        <f>SUMIF('Additional &amp; Presentation Entry'!X:X,masterTBCY[[#This Row],[Note Line]],'Additional &amp; Presentation Entry'!Z:Z)</f>
        <v>0</v>
      </c>
      <c r="U150" s="320">
        <f t="shared" ref="U150:U213" si="10">SUM(R150:T150)</f>
        <v>0</v>
      </c>
      <c r="V150" s="320">
        <f>U150/'Master Data'!$C$25</f>
        <v>0</v>
      </c>
      <c r="W150" s="400" t="str">
        <f t="shared" si="9"/>
        <v>Balance Sheet</v>
      </c>
    </row>
    <row r="151" spans="2:23" x14ac:dyDescent="0.3">
      <c r="B151" s="678">
        <f t="shared" si="8"/>
        <v>141</v>
      </c>
      <c r="C151" s="319" t="s">
        <v>959</v>
      </c>
      <c r="D151" s="397" t="s">
        <v>1280</v>
      </c>
      <c r="E151" s="397" t="s">
        <v>1270</v>
      </c>
      <c r="F151" s="320">
        <f>+SUMIFS('TB Grouping'!F:F,'TB Grouping'!H:H,masterTBCY[[#This Row],[Note Line]])</f>
        <v>0</v>
      </c>
      <c r="G151" s="2562">
        <f ca="1">SUMIF('Additional &amp; Presentation Entry'!E:E,masterTBCY[[#This Row],[Note Line]],'Additional &amp; Presentation Entry'!G:G)</f>
        <v>0</v>
      </c>
      <c r="H151" s="2562">
        <f>SUMIF('Additional &amp; Presentation Entry'!L:L,masterTBCY[[#This Row],[Note Line]],'Additional &amp; Presentation Entry'!N:N)</f>
        <v>0</v>
      </c>
      <c r="I151" s="320">
        <f>+masterTBCY[[#This Row],[Amount as per TB]]+masterTBCY[[#This Row],[Presentation Entry]]</f>
        <v>0</v>
      </c>
      <c r="J151" s="320">
        <f>I151/'Master Data'!$C$25</f>
        <v>0</v>
      </c>
      <c r="K151" s="404" t="s">
        <v>1329</v>
      </c>
      <c r="N151" s="399">
        <v>141</v>
      </c>
      <c r="O151" s="319" t="s">
        <v>959</v>
      </c>
      <c r="P151" s="397" t="s">
        <v>1280</v>
      </c>
      <c r="Q151" s="397" t="s">
        <v>1270</v>
      </c>
      <c r="R151" s="320">
        <f>SUMIF('TB Grouping'!$Q:$Q,'Master TB'!P151,'TB Grouping'!$O:$O)</f>
        <v>0</v>
      </c>
      <c r="S151" s="320">
        <f>SUMIF('Additional &amp; Presentation Entry'!Q:Q,masterTBCY[[#This Row],[Note Line]],'Additional &amp; Presentation Entry'!S:S)</f>
        <v>0</v>
      </c>
      <c r="T151" s="320">
        <f>SUMIF('Additional &amp; Presentation Entry'!X:X,masterTBCY[[#This Row],[Note Line]],'Additional &amp; Presentation Entry'!Z:Z)</f>
        <v>0</v>
      </c>
      <c r="U151" s="320">
        <f t="shared" si="10"/>
        <v>0</v>
      </c>
      <c r="V151" s="320">
        <f>U151/'Master Data'!$C$25</f>
        <v>0</v>
      </c>
      <c r="W151" s="400" t="str">
        <f t="shared" si="9"/>
        <v>Balance Sheet</v>
      </c>
    </row>
    <row r="152" spans="2:23" x14ac:dyDescent="0.3">
      <c r="B152" s="678">
        <f t="shared" si="8"/>
        <v>142</v>
      </c>
      <c r="C152" s="396" t="s">
        <v>799</v>
      </c>
      <c r="D152" s="397" t="s">
        <v>1291</v>
      </c>
      <c r="E152" s="397" t="s">
        <v>1295</v>
      </c>
      <c r="F152" s="320">
        <f>+SUMIFS('TB Grouping'!F:F,'TB Grouping'!H:H,masterTBCY[[#This Row],[Note Line]])</f>
        <v>-2101005.25</v>
      </c>
      <c r="G152" s="2562">
        <f ca="1">SUMIF('Additional &amp; Presentation Entry'!E:E,masterTBCY[[#This Row],[Note Line]],'Additional &amp; Presentation Entry'!G:G)</f>
        <v>285052</v>
      </c>
      <c r="H152" s="2562">
        <f>SUMIF('Additional &amp; Presentation Entry'!L:L,masterTBCY[[#This Row],[Note Line]],'Additional &amp; Presentation Entry'!N:N)</f>
        <v>0</v>
      </c>
      <c r="I152" s="320">
        <f>+masterTBCY[[#This Row],[Amount as per TB]]+masterTBCY[[#This Row],[Presentation Entry]]</f>
        <v>-2101005.25</v>
      </c>
      <c r="J152" s="320">
        <f>I152/'Master Data'!$C$25</f>
        <v>-21010.052500000002</v>
      </c>
      <c r="K152" s="404" t="s">
        <v>1329</v>
      </c>
      <c r="N152" s="399">
        <v>142</v>
      </c>
      <c r="O152" s="396" t="s">
        <v>799</v>
      </c>
      <c r="P152" s="397" t="s">
        <v>1291</v>
      </c>
      <c r="Q152" s="397" t="s">
        <v>1295</v>
      </c>
      <c r="R152" s="320">
        <f>SUMIF('TB Grouping'!$Q:$Q,'Master TB'!P152,'TB Grouping'!$O:$O)</f>
        <v>0</v>
      </c>
      <c r="S152" s="320">
        <f>SUMIF('Additional &amp; Presentation Entry'!Q:Q,masterTBCY[[#This Row],[Note Line]],'Additional &amp; Presentation Entry'!S:S)</f>
        <v>0</v>
      </c>
      <c r="T152" s="320">
        <f>SUMIF('Additional &amp; Presentation Entry'!X:X,masterTBCY[[#This Row],[Note Line]],'Additional &amp; Presentation Entry'!Z:Z)</f>
        <v>0</v>
      </c>
      <c r="U152" s="320">
        <f t="shared" si="10"/>
        <v>0</v>
      </c>
      <c r="V152" s="320">
        <f>U152/'Master Data'!$C$25</f>
        <v>0</v>
      </c>
      <c r="W152" s="400" t="str">
        <f t="shared" si="9"/>
        <v>Balance Sheet</v>
      </c>
    </row>
    <row r="153" spans="2:23" x14ac:dyDescent="0.3">
      <c r="B153" s="678">
        <f t="shared" si="8"/>
        <v>143</v>
      </c>
      <c r="C153" s="396" t="s">
        <v>799</v>
      </c>
      <c r="D153" s="397" t="s">
        <v>1292</v>
      </c>
      <c r="E153" s="397" t="s">
        <v>1296</v>
      </c>
      <c r="F153" s="320">
        <f>+SUMIFS('TB Grouping'!F:F,'TB Grouping'!H:H,masterTBCY[[#This Row],[Note Line]])</f>
        <v>-48951437.319999993</v>
      </c>
      <c r="G153" s="2562">
        <f ca="1">SUMIF('Additional &amp; Presentation Entry'!E:E,masterTBCY[[#This Row],[Note Line]],'Additional &amp; Presentation Entry'!G:G)</f>
        <v>71971.76340000052</v>
      </c>
      <c r="H153" s="2562">
        <f>SUMIF('Additional &amp; Presentation Entry'!L:L,masterTBCY[[#This Row],[Note Line]],'Additional &amp; Presentation Entry'!N:N)</f>
        <v>0</v>
      </c>
      <c r="I153" s="320">
        <f>+masterTBCY[[#This Row],[Amount as per TB]]+masterTBCY[[#This Row],[Presentation Entry]]</f>
        <v>-48951437.319999993</v>
      </c>
      <c r="J153" s="320">
        <f>I153/'Master Data'!$C$25</f>
        <v>-489514.37319999991</v>
      </c>
      <c r="K153" s="404" t="s">
        <v>1329</v>
      </c>
      <c r="N153" s="399">
        <v>143</v>
      </c>
      <c r="O153" s="396" t="s">
        <v>799</v>
      </c>
      <c r="P153" s="397" t="s">
        <v>1292</v>
      </c>
      <c r="Q153" s="397" t="s">
        <v>1296</v>
      </c>
      <c r="R153" s="320">
        <f>SUMIF('TB Grouping'!$Q:$Q,'Master TB'!P153,'TB Grouping'!$O:$O)</f>
        <v>-29688398.800000004</v>
      </c>
      <c r="S153" s="320">
        <f>SUMIF('Additional &amp; Presentation Entry'!Q:Q,masterTBCY[[#This Row],[Note Line]],'Additional &amp; Presentation Entry'!S:S)</f>
        <v>0</v>
      </c>
      <c r="T153" s="320">
        <f>SUMIF('Additional &amp; Presentation Entry'!X:X,masterTBCY[[#This Row],[Note Line]],'Additional &amp; Presentation Entry'!Z:Z)</f>
        <v>0</v>
      </c>
      <c r="U153" s="320">
        <f t="shared" si="10"/>
        <v>-29688398.800000004</v>
      </c>
      <c r="V153" s="320">
        <f>U153/'Master Data'!$C$25</f>
        <v>-296883.98800000007</v>
      </c>
      <c r="W153" s="400" t="str">
        <f t="shared" si="9"/>
        <v>Balance Sheet</v>
      </c>
    </row>
    <row r="154" spans="2:23" x14ac:dyDescent="0.3">
      <c r="B154" s="678">
        <f t="shared" si="8"/>
        <v>144</v>
      </c>
      <c r="C154" s="396" t="s">
        <v>799</v>
      </c>
      <c r="D154" s="397" t="s">
        <v>1336</v>
      </c>
      <c r="E154" s="397" t="s">
        <v>1337</v>
      </c>
      <c r="F154" s="320">
        <f>+SUMIFS('TB Grouping'!F:F,'TB Grouping'!H:H,masterTBCY[[#This Row],[Note Line]])</f>
        <v>0</v>
      </c>
      <c r="G154" s="2562">
        <f ca="1">SUMIF('Additional &amp; Presentation Entry'!E:E,masterTBCY[[#This Row],[Note Line]],'Additional &amp; Presentation Entry'!G:G)</f>
        <v>0</v>
      </c>
      <c r="H154" s="2562">
        <f>SUMIF('Additional &amp; Presentation Entry'!L:L,masterTBCY[[#This Row],[Note Line]],'Additional &amp; Presentation Entry'!N:N)</f>
        <v>0</v>
      </c>
      <c r="I154" s="320">
        <f>+masterTBCY[[#This Row],[Amount as per TB]]+masterTBCY[[#This Row],[Presentation Entry]]</f>
        <v>0</v>
      </c>
      <c r="J154" s="320">
        <f>I154/'Master Data'!$C$25</f>
        <v>0</v>
      </c>
      <c r="K154" s="404" t="s">
        <v>1329</v>
      </c>
      <c r="N154" s="399">
        <v>144</v>
      </c>
      <c r="O154" s="396" t="s">
        <v>799</v>
      </c>
      <c r="P154" s="397" t="s">
        <v>1336</v>
      </c>
      <c r="Q154" s="397" t="s">
        <v>1337</v>
      </c>
      <c r="R154" s="320">
        <f>SUMIF('TB Grouping'!$Q:$Q,'Master TB'!P154,'TB Grouping'!$O:$O)</f>
        <v>0</v>
      </c>
      <c r="S154" s="320">
        <f>SUMIF('Additional &amp; Presentation Entry'!Q:Q,masterTBCY[[#This Row],[Note Line]],'Additional &amp; Presentation Entry'!S:S)</f>
        <v>0</v>
      </c>
      <c r="T154" s="320">
        <f>SUMIF('Additional &amp; Presentation Entry'!X:X,masterTBCY[[#This Row],[Note Line]],'Additional &amp; Presentation Entry'!Z:Z)</f>
        <v>0</v>
      </c>
      <c r="U154" s="320">
        <f t="shared" si="10"/>
        <v>0</v>
      </c>
      <c r="V154" s="320">
        <f>U154/'Master Data'!$C$25</f>
        <v>0</v>
      </c>
      <c r="W154" s="400" t="str">
        <f t="shared" si="9"/>
        <v>Balance Sheet</v>
      </c>
    </row>
    <row r="155" spans="2:23" x14ac:dyDescent="0.3">
      <c r="B155" s="678">
        <f t="shared" si="8"/>
        <v>145</v>
      </c>
      <c r="C155" s="396" t="s">
        <v>508</v>
      </c>
      <c r="D155" s="397" t="s">
        <v>739</v>
      </c>
      <c r="E155" s="321" t="s">
        <v>1313</v>
      </c>
      <c r="F155" s="320">
        <f>+SUMIFS('TB Grouping'!F:F,'TB Grouping'!H:H,masterTBCY[[#This Row],[Note Line]])</f>
        <v>0</v>
      </c>
      <c r="G155" s="2562">
        <f ca="1">SUMIF('Additional &amp; Presentation Entry'!E:E,masterTBCY[[#This Row],[Note Line]],'Additional &amp; Presentation Entry'!G:G)</f>
        <v>0</v>
      </c>
      <c r="H155" s="2562">
        <f>SUMIF('Additional &amp; Presentation Entry'!L:L,masterTBCY[[#This Row],[Note Line]],'Additional &amp; Presentation Entry'!N:N)</f>
        <v>0</v>
      </c>
      <c r="I155" s="320">
        <f>+masterTBCY[[#This Row],[Amount as per TB]]+masterTBCY[[#This Row],[Presentation Entry]]</f>
        <v>0</v>
      </c>
      <c r="J155" s="320">
        <f>I155/'Master Data'!$C$25</f>
        <v>0</v>
      </c>
      <c r="K155" s="404" t="s">
        <v>1329</v>
      </c>
      <c r="N155" s="399">
        <v>145</v>
      </c>
      <c r="O155" s="396" t="s">
        <v>508</v>
      </c>
      <c r="P155" s="397" t="s">
        <v>739</v>
      </c>
      <c r="Q155" s="321" t="s">
        <v>1313</v>
      </c>
      <c r="R155" s="320">
        <f>SUMIF('TB Grouping'!$Q:$Q,'Master TB'!P155,'TB Grouping'!$O:$O)</f>
        <v>0</v>
      </c>
      <c r="S155" s="320">
        <f>SUMIF('Additional &amp; Presentation Entry'!Q:Q,masterTBCY[[#This Row],[Note Line]],'Additional &amp; Presentation Entry'!S:S)</f>
        <v>0</v>
      </c>
      <c r="T155" s="320">
        <f>SUMIF('Additional &amp; Presentation Entry'!X:X,masterTBCY[[#This Row],[Note Line]],'Additional &amp; Presentation Entry'!Z:Z)</f>
        <v>0</v>
      </c>
      <c r="U155" s="320">
        <f t="shared" si="10"/>
        <v>0</v>
      </c>
      <c r="V155" s="320">
        <f>U155/'Master Data'!$C$25</f>
        <v>0</v>
      </c>
      <c r="W155" s="400" t="str">
        <f t="shared" si="9"/>
        <v>Balance Sheet</v>
      </c>
    </row>
    <row r="156" spans="2:23" x14ac:dyDescent="0.3">
      <c r="B156" s="678">
        <f t="shared" si="8"/>
        <v>146</v>
      </c>
      <c r="C156" s="396" t="s">
        <v>508</v>
      </c>
      <c r="D156" s="321" t="s">
        <v>1664</v>
      </c>
      <c r="E156" s="321" t="s">
        <v>1314</v>
      </c>
      <c r="F156" s="320">
        <f>+SUMIFS('TB Grouping'!F:F,'TB Grouping'!H:H,masterTBCY[[#This Row],[Note Line]])</f>
        <v>0</v>
      </c>
      <c r="G156" s="2562">
        <f ca="1">SUMIF('Additional &amp; Presentation Entry'!E:E,masterTBCY[[#This Row],[Note Line]],'Additional &amp; Presentation Entry'!G:G)</f>
        <v>0</v>
      </c>
      <c r="H156" s="2562">
        <f>SUMIF('Additional &amp; Presentation Entry'!L:L,masterTBCY[[#This Row],[Note Line]],'Additional &amp; Presentation Entry'!N:N)</f>
        <v>0</v>
      </c>
      <c r="I156" s="320">
        <f>+masterTBCY[[#This Row],[Amount as per TB]]+masterTBCY[[#This Row],[Presentation Entry]]</f>
        <v>0</v>
      </c>
      <c r="J156" s="320">
        <f>I156/'Master Data'!$C$25</f>
        <v>0</v>
      </c>
      <c r="K156" s="404" t="s">
        <v>1329</v>
      </c>
      <c r="N156" s="399">
        <v>146</v>
      </c>
      <c r="O156" s="396" t="s">
        <v>508</v>
      </c>
      <c r="P156" s="321" t="s">
        <v>1664</v>
      </c>
      <c r="Q156" s="321" t="s">
        <v>1314</v>
      </c>
      <c r="R156" s="320">
        <f>SUMIF('TB Grouping'!$Q:$Q,'Master TB'!P156,'TB Grouping'!$O:$O)</f>
        <v>0</v>
      </c>
      <c r="S156" s="320">
        <f>SUMIF('Additional &amp; Presentation Entry'!Q:Q,masterTBCY[[#This Row],[Note Line]],'Additional &amp; Presentation Entry'!S:S)</f>
        <v>0</v>
      </c>
      <c r="T156" s="320">
        <f>SUMIF('Additional &amp; Presentation Entry'!X:X,masterTBCY[[#This Row],[Note Line]],'Additional &amp; Presentation Entry'!Z:Z)</f>
        <v>0</v>
      </c>
      <c r="U156" s="320">
        <f t="shared" si="10"/>
        <v>0</v>
      </c>
      <c r="V156" s="320">
        <f>U156/'Master Data'!$C$25</f>
        <v>0</v>
      </c>
      <c r="W156" s="400" t="str">
        <f t="shared" si="9"/>
        <v>Balance Sheet</v>
      </c>
    </row>
    <row r="157" spans="2:23" x14ac:dyDescent="0.3">
      <c r="B157" s="678">
        <f t="shared" si="8"/>
        <v>147</v>
      </c>
      <c r="C157" s="396" t="s">
        <v>508</v>
      </c>
      <c r="D157" s="321" t="s">
        <v>740</v>
      </c>
      <c r="E157" s="321" t="s">
        <v>1318</v>
      </c>
      <c r="F157" s="320">
        <f>+SUMIFS('TB Grouping'!F:F,'TB Grouping'!H:H,masterTBCY[[#This Row],[Note Line]])</f>
        <v>0</v>
      </c>
      <c r="G157" s="2562">
        <f ca="1">SUMIF('Additional &amp; Presentation Entry'!E:E,masterTBCY[[#This Row],[Note Line]],'Additional &amp; Presentation Entry'!G:G)</f>
        <v>0</v>
      </c>
      <c r="H157" s="2562">
        <f>SUMIF('Additional &amp; Presentation Entry'!L:L,masterTBCY[[#This Row],[Note Line]],'Additional &amp; Presentation Entry'!N:N)</f>
        <v>0</v>
      </c>
      <c r="I157" s="320">
        <f>+masterTBCY[[#This Row],[Amount as per TB]]+masterTBCY[[#This Row],[Presentation Entry]]</f>
        <v>0</v>
      </c>
      <c r="J157" s="320">
        <f>I157/'Master Data'!$C$25</f>
        <v>0</v>
      </c>
      <c r="K157" s="404" t="s">
        <v>1329</v>
      </c>
      <c r="N157" s="399">
        <v>147</v>
      </c>
      <c r="O157" s="396" t="s">
        <v>508</v>
      </c>
      <c r="P157" s="321" t="s">
        <v>740</v>
      </c>
      <c r="Q157" s="321" t="s">
        <v>1318</v>
      </c>
      <c r="R157" s="320">
        <f>SUMIF('TB Grouping'!$Q:$Q,'Master TB'!P157,'TB Grouping'!$O:$O)</f>
        <v>0</v>
      </c>
      <c r="S157" s="320">
        <f>SUMIF('Additional &amp; Presentation Entry'!Q:Q,masterTBCY[[#This Row],[Note Line]],'Additional &amp; Presentation Entry'!S:S)</f>
        <v>0</v>
      </c>
      <c r="T157" s="320">
        <f>SUMIF('Additional &amp; Presentation Entry'!X:X,masterTBCY[[#This Row],[Note Line]],'Additional &amp; Presentation Entry'!Z:Z)</f>
        <v>0</v>
      </c>
      <c r="U157" s="320">
        <f t="shared" si="10"/>
        <v>0</v>
      </c>
      <c r="V157" s="320">
        <f>U157/'Master Data'!$C$25</f>
        <v>0</v>
      </c>
      <c r="W157" s="400" t="str">
        <f t="shared" si="9"/>
        <v>Balance Sheet</v>
      </c>
    </row>
    <row r="158" spans="2:23" x14ac:dyDescent="0.3">
      <c r="B158" s="678">
        <f t="shared" si="8"/>
        <v>148</v>
      </c>
      <c r="C158" s="319" t="s">
        <v>508</v>
      </c>
      <c r="D158" s="321" t="s">
        <v>1645</v>
      </c>
      <c r="E158" s="321" t="s">
        <v>1319</v>
      </c>
      <c r="F158" s="320">
        <f>+SUMIFS('TB Grouping'!F:F,'TB Grouping'!H:H,masterTBCY[[#This Row],[Note Line]])</f>
        <v>0</v>
      </c>
      <c r="G158" s="2562">
        <f ca="1">SUMIF('Additional &amp; Presentation Entry'!E:E,masterTBCY[[#This Row],[Note Line]],'Additional &amp; Presentation Entry'!G:G)</f>
        <v>0</v>
      </c>
      <c r="H158" s="2562">
        <f>SUMIF('Additional &amp; Presentation Entry'!L:L,masterTBCY[[#This Row],[Note Line]],'Additional &amp; Presentation Entry'!N:N)</f>
        <v>0</v>
      </c>
      <c r="I158" s="320">
        <f>+masterTBCY[[#This Row],[Amount as per TB]]+masterTBCY[[#This Row],[Presentation Entry]]</f>
        <v>0</v>
      </c>
      <c r="J158" s="320">
        <f>I158/'Master Data'!$C$25</f>
        <v>0</v>
      </c>
      <c r="K158" s="404" t="s">
        <v>1329</v>
      </c>
      <c r="N158" s="399">
        <v>148</v>
      </c>
      <c r="O158" s="319" t="s">
        <v>508</v>
      </c>
      <c r="P158" s="321" t="s">
        <v>1645</v>
      </c>
      <c r="Q158" s="321" t="s">
        <v>1319</v>
      </c>
      <c r="R158" s="320">
        <f>SUMIF('TB Grouping'!$Q:$Q,'Master TB'!P158,'TB Grouping'!$O:$O)</f>
        <v>0</v>
      </c>
      <c r="S158" s="320">
        <f>SUMIF('Additional &amp; Presentation Entry'!Q:Q,masterTBCY[[#This Row],[Note Line]],'Additional &amp; Presentation Entry'!S:S)</f>
        <v>0</v>
      </c>
      <c r="T158" s="320">
        <f>SUMIF('Additional &amp; Presentation Entry'!X:X,masterTBCY[[#This Row],[Note Line]],'Additional &amp; Presentation Entry'!Z:Z)</f>
        <v>0</v>
      </c>
      <c r="U158" s="320">
        <f t="shared" si="10"/>
        <v>0</v>
      </c>
      <c r="V158" s="320">
        <f>U158/'Master Data'!$C$25</f>
        <v>0</v>
      </c>
      <c r="W158" s="400" t="str">
        <f t="shared" si="9"/>
        <v>Balance Sheet</v>
      </c>
    </row>
    <row r="159" spans="2:23" x14ac:dyDescent="0.3">
      <c r="B159" s="678">
        <f t="shared" si="8"/>
        <v>149</v>
      </c>
      <c r="C159" s="396" t="s">
        <v>508</v>
      </c>
      <c r="D159" s="321" t="s">
        <v>1310</v>
      </c>
      <c r="E159" s="321" t="s">
        <v>1320</v>
      </c>
      <c r="F159" s="320">
        <f>+SUMIFS('TB Grouping'!F:F,'TB Grouping'!H:H,masterTBCY[[#This Row],[Note Line]])</f>
        <v>0</v>
      </c>
      <c r="G159" s="2562">
        <f ca="1">SUMIF('Additional &amp; Presentation Entry'!E:E,masterTBCY[[#This Row],[Note Line]],'Additional &amp; Presentation Entry'!G:G)</f>
        <v>0</v>
      </c>
      <c r="H159" s="2562">
        <f>SUMIF('Additional &amp; Presentation Entry'!L:L,masterTBCY[[#This Row],[Note Line]],'Additional &amp; Presentation Entry'!N:N)</f>
        <v>0</v>
      </c>
      <c r="I159" s="320">
        <f>+masterTBCY[[#This Row],[Amount as per TB]]+masterTBCY[[#This Row],[Presentation Entry]]</f>
        <v>0</v>
      </c>
      <c r="J159" s="320">
        <f>I159/'Master Data'!$C$25</f>
        <v>0</v>
      </c>
      <c r="K159" s="404" t="s">
        <v>1329</v>
      </c>
      <c r="N159" s="399">
        <v>149</v>
      </c>
      <c r="O159" s="396" t="s">
        <v>508</v>
      </c>
      <c r="P159" s="321" t="s">
        <v>1310</v>
      </c>
      <c r="Q159" s="321" t="s">
        <v>1320</v>
      </c>
      <c r="R159" s="320">
        <f>SUMIF('TB Grouping'!$Q:$Q,'Master TB'!P159,'TB Grouping'!$O:$O)</f>
        <v>0</v>
      </c>
      <c r="S159" s="320">
        <f>SUMIF('Additional &amp; Presentation Entry'!Q:Q,masterTBCY[[#This Row],[Note Line]],'Additional &amp; Presentation Entry'!S:S)</f>
        <v>0</v>
      </c>
      <c r="T159" s="320">
        <f>SUMIF('Additional &amp; Presentation Entry'!X:X,masterTBCY[[#This Row],[Note Line]],'Additional &amp; Presentation Entry'!Z:Z)</f>
        <v>0</v>
      </c>
      <c r="U159" s="320">
        <f t="shared" si="10"/>
        <v>0</v>
      </c>
      <c r="V159" s="320">
        <f>U159/'Master Data'!$C$25</f>
        <v>0</v>
      </c>
      <c r="W159" s="400" t="str">
        <f t="shared" si="9"/>
        <v>Balance Sheet</v>
      </c>
    </row>
    <row r="160" spans="2:23" x14ac:dyDescent="0.3">
      <c r="B160" s="678">
        <f t="shared" si="8"/>
        <v>150</v>
      </c>
      <c r="C160" s="396" t="s">
        <v>508</v>
      </c>
      <c r="D160" s="321" t="s">
        <v>1311</v>
      </c>
      <c r="E160" s="321" t="s">
        <v>1321</v>
      </c>
      <c r="F160" s="320">
        <f>+SUMIFS('TB Grouping'!F:F,'TB Grouping'!H:H,masterTBCY[[#This Row],[Note Line]])</f>
        <v>0</v>
      </c>
      <c r="G160" s="2562">
        <f ca="1">SUMIF('Additional &amp; Presentation Entry'!E:E,masterTBCY[[#This Row],[Note Line]],'Additional &amp; Presentation Entry'!G:G)</f>
        <v>0</v>
      </c>
      <c r="H160" s="2562">
        <f>SUMIF('Additional &amp; Presentation Entry'!L:L,masterTBCY[[#This Row],[Note Line]],'Additional &amp; Presentation Entry'!N:N)</f>
        <v>0</v>
      </c>
      <c r="I160" s="320">
        <f>+masterTBCY[[#This Row],[Amount as per TB]]+masterTBCY[[#This Row],[Presentation Entry]]</f>
        <v>0</v>
      </c>
      <c r="J160" s="320">
        <f>I160/'Master Data'!$C$25</f>
        <v>0</v>
      </c>
      <c r="K160" s="404" t="s">
        <v>1329</v>
      </c>
      <c r="N160" s="399">
        <v>150</v>
      </c>
      <c r="O160" s="396" t="s">
        <v>508</v>
      </c>
      <c r="P160" s="321" t="s">
        <v>1311</v>
      </c>
      <c r="Q160" s="321" t="s">
        <v>1321</v>
      </c>
      <c r="R160" s="320">
        <f>SUMIF('TB Grouping'!$Q:$Q,'Master TB'!P160,'TB Grouping'!$O:$O)</f>
        <v>0</v>
      </c>
      <c r="S160" s="320">
        <f>SUMIF('Additional &amp; Presentation Entry'!Q:Q,masterTBCY[[#This Row],[Note Line]],'Additional &amp; Presentation Entry'!S:S)</f>
        <v>0</v>
      </c>
      <c r="T160" s="320">
        <f>SUMIF('Additional &amp; Presentation Entry'!X:X,masterTBCY[[#This Row],[Note Line]],'Additional &amp; Presentation Entry'!Z:Z)</f>
        <v>0</v>
      </c>
      <c r="U160" s="320">
        <f t="shared" si="10"/>
        <v>0</v>
      </c>
      <c r="V160" s="320">
        <f>U160/'Master Data'!$C$25</f>
        <v>0</v>
      </c>
      <c r="W160" s="400" t="str">
        <f t="shared" si="9"/>
        <v>Balance Sheet</v>
      </c>
    </row>
    <row r="161" spans="2:23" x14ac:dyDescent="0.3">
      <c r="B161" s="678">
        <f t="shared" si="8"/>
        <v>151</v>
      </c>
      <c r="C161" s="396" t="s">
        <v>508</v>
      </c>
      <c r="D161" s="321" t="s">
        <v>1312</v>
      </c>
      <c r="E161" s="321" t="s">
        <v>1315</v>
      </c>
      <c r="F161" s="320">
        <f>+SUMIFS('TB Grouping'!F:F,'TB Grouping'!H:H,masterTBCY[[#This Row],[Note Line]])</f>
        <v>0</v>
      </c>
      <c r="G161" s="2562">
        <f ca="1">SUMIF('Additional &amp; Presentation Entry'!E:E,masterTBCY[[#This Row],[Note Line]],'Additional &amp; Presentation Entry'!G:G)</f>
        <v>0</v>
      </c>
      <c r="H161" s="2562">
        <f>SUMIF('Additional &amp; Presentation Entry'!L:L,masterTBCY[[#This Row],[Note Line]],'Additional &amp; Presentation Entry'!N:N)</f>
        <v>0</v>
      </c>
      <c r="I161" s="320">
        <f>+masterTBCY[[#This Row],[Amount as per TB]]+masterTBCY[[#This Row],[Presentation Entry]]</f>
        <v>0</v>
      </c>
      <c r="J161" s="320">
        <f>I161/'Master Data'!$C$25</f>
        <v>0</v>
      </c>
      <c r="K161" s="404" t="s">
        <v>1329</v>
      </c>
      <c r="N161" s="399">
        <v>151</v>
      </c>
      <c r="O161" s="396" t="s">
        <v>508</v>
      </c>
      <c r="P161" s="321" t="s">
        <v>1312</v>
      </c>
      <c r="Q161" s="321" t="s">
        <v>1315</v>
      </c>
      <c r="R161" s="320">
        <f>SUMIF('TB Grouping'!$Q:$Q,'Master TB'!P161,'TB Grouping'!$O:$O)</f>
        <v>0</v>
      </c>
      <c r="S161" s="320">
        <f>SUMIF('Additional &amp; Presentation Entry'!Q:Q,masterTBCY[[#This Row],[Note Line]],'Additional &amp; Presentation Entry'!S:S)</f>
        <v>0</v>
      </c>
      <c r="T161" s="320">
        <f>SUMIF('Additional &amp; Presentation Entry'!X:X,masterTBCY[[#This Row],[Note Line]],'Additional &amp; Presentation Entry'!Z:Z)</f>
        <v>0</v>
      </c>
      <c r="U161" s="320">
        <f t="shared" si="10"/>
        <v>0</v>
      </c>
      <c r="V161" s="320">
        <f>U161/'Master Data'!$C$25</f>
        <v>0</v>
      </c>
      <c r="W161" s="400" t="str">
        <f t="shared" si="9"/>
        <v>Balance Sheet</v>
      </c>
    </row>
    <row r="162" spans="2:23" ht="33" x14ac:dyDescent="0.3">
      <c r="B162" s="678">
        <f t="shared" si="8"/>
        <v>152</v>
      </c>
      <c r="C162" s="396" t="s">
        <v>508</v>
      </c>
      <c r="D162" s="482" t="s">
        <v>1303</v>
      </c>
      <c r="E162" s="321" t="s">
        <v>1316</v>
      </c>
      <c r="F162" s="320">
        <f>+SUMIFS('TB Grouping'!F:F,'TB Grouping'!H:H,masterTBCY[[#This Row],[Note Line]])</f>
        <v>-3432973.91</v>
      </c>
      <c r="G162" s="2562">
        <f ca="1">SUMIF('Additional &amp; Presentation Entry'!E:E,masterTBCY[[#This Row],[Note Line]],'Additional &amp; Presentation Entry'!G:G)</f>
        <v>-323609.06666666665</v>
      </c>
      <c r="H162" s="2562">
        <f>SUMIF('Additional &amp; Presentation Entry'!L:L,masterTBCY[[#This Row],[Note Line]],'Additional &amp; Presentation Entry'!N:N)</f>
        <v>0</v>
      </c>
      <c r="I162" s="320">
        <f>+masterTBCY[[#This Row],[Amount as per TB]]+masterTBCY[[#This Row],[Presentation Entry]]</f>
        <v>-3432973.91</v>
      </c>
      <c r="J162" s="320">
        <f>I162/'Master Data'!$C$25</f>
        <v>-34329.739099999999</v>
      </c>
      <c r="K162" s="404" t="s">
        <v>1329</v>
      </c>
      <c r="N162" s="399">
        <v>152</v>
      </c>
      <c r="O162" s="396" t="s">
        <v>508</v>
      </c>
      <c r="P162" s="482" t="s">
        <v>1303</v>
      </c>
      <c r="Q162" s="321" t="s">
        <v>1316</v>
      </c>
      <c r="R162" s="320">
        <f>SUMIF('TB Grouping'!$Q:$Q,'Master TB'!P162,'TB Grouping'!$O:$O)</f>
        <v>-6729928.0800000001</v>
      </c>
      <c r="S162" s="320">
        <f>SUMIF('Additional &amp; Presentation Entry'!Q:Q,masterTBCY[[#This Row],[Note Line]],'Additional &amp; Presentation Entry'!S:S)</f>
        <v>0</v>
      </c>
      <c r="T162" s="320">
        <f>SUMIF('Additional &amp; Presentation Entry'!X:X,masterTBCY[[#This Row],[Note Line]],'Additional &amp; Presentation Entry'!Z:Z)</f>
        <v>0</v>
      </c>
      <c r="U162" s="320">
        <f t="shared" si="10"/>
        <v>-6729928.0800000001</v>
      </c>
      <c r="V162" s="320">
        <f>U162/'Master Data'!$C$25</f>
        <v>-67299.280800000008</v>
      </c>
      <c r="W162" s="400" t="str">
        <f t="shared" si="9"/>
        <v>Balance Sheet</v>
      </c>
    </row>
    <row r="163" spans="2:23" x14ac:dyDescent="0.3">
      <c r="B163" s="678">
        <f t="shared" si="8"/>
        <v>153</v>
      </c>
      <c r="C163" s="396" t="s">
        <v>508</v>
      </c>
      <c r="D163" s="321" t="s">
        <v>1304</v>
      </c>
      <c r="E163" s="321" t="s">
        <v>1317</v>
      </c>
      <c r="F163" s="320">
        <f>+SUMIFS('TB Grouping'!F:F,'TB Grouping'!H:H,masterTBCY[[#This Row],[Note Line]])</f>
        <v>0</v>
      </c>
      <c r="G163" s="2562">
        <f ca="1">SUMIF('Additional &amp; Presentation Entry'!E:E,masterTBCY[[#This Row],[Note Line]],'Additional &amp; Presentation Entry'!G:G)</f>
        <v>0</v>
      </c>
      <c r="H163" s="2562">
        <f>SUMIF('Additional &amp; Presentation Entry'!L:L,masterTBCY[[#This Row],[Note Line]],'Additional &amp; Presentation Entry'!N:N)</f>
        <v>0</v>
      </c>
      <c r="I163" s="320">
        <f>+masterTBCY[[#This Row],[Amount as per TB]]+masterTBCY[[#This Row],[Presentation Entry]]</f>
        <v>0</v>
      </c>
      <c r="J163" s="320">
        <f>I163/'Master Data'!$C$25</f>
        <v>0</v>
      </c>
      <c r="K163" s="404" t="s">
        <v>1329</v>
      </c>
      <c r="N163" s="399">
        <v>153</v>
      </c>
      <c r="O163" s="396" t="s">
        <v>508</v>
      </c>
      <c r="P163" s="321" t="s">
        <v>1304</v>
      </c>
      <c r="Q163" s="321" t="s">
        <v>1317</v>
      </c>
      <c r="R163" s="320">
        <f>SUMIF('TB Grouping'!$Q:$Q,'Master TB'!P163,'TB Grouping'!$O:$O)</f>
        <v>0</v>
      </c>
      <c r="S163" s="320">
        <f>SUMIF('Additional &amp; Presentation Entry'!Q:Q,masterTBCY[[#This Row],[Note Line]],'Additional &amp; Presentation Entry'!S:S)</f>
        <v>0</v>
      </c>
      <c r="T163" s="320">
        <f>SUMIF('Additional &amp; Presentation Entry'!X:X,masterTBCY[[#This Row],[Note Line]],'Additional &amp; Presentation Entry'!Z:Z)</f>
        <v>0</v>
      </c>
      <c r="U163" s="320">
        <f t="shared" si="10"/>
        <v>0</v>
      </c>
      <c r="V163" s="320">
        <f>U163/'Master Data'!$C$25</f>
        <v>0</v>
      </c>
      <c r="W163" s="400" t="str">
        <f t="shared" si="9"/>
        <v>Balance Sheet</v>
      </c>
    </row>
    <row r="164" spans="2:23" x14ac:dyDescent="0.3">
      <c r="B164" s="678">
        <f t="shared" si="8"/>
        <v>154</v>
      </c>
      <c r="C164" s="396" t="s">
        <v>508</v>
      </c>
      <c r="D164" s="321" t="s">
        <v>1305</v>
      </c>
      <c r="E164" s="321" t="s">
        <v>1322</v>
      </c>
      <c r="F164" s="320">
        <f>+SUMIFS('TB Grouping'!F:F,'TB Grouping'!H:H,masterTBCY[[#This Row],[Note Line]])</f>
        <v>0</v>
      </c>
      <c r="G164" s="2562">
        <f ca="1">SUMIF('Additional &amp; Presentation Entry'!E:E,masterTBCY[[#This Row],[Note Line]],'Additional &amp; Presentation Entry'!G:G)</f>
        <v>0</v>
      </c>
      <c r="H164" s="2562">
        <f>SUMIF('Additional &amp; Presentation Entry'!L:L,masterTBCY[[#This Row],[Note Line]],'Additional &amp; Presentation Entry'!N:N)</f>
        <v>0</v>
      </c>
      <c r="I164" s="320">
        <f>+masterTBCY[[#This Row],[Amount as per TB]]+masterTBCY[[#This Row],[Presentation Entry]]</f>
        <v>0</v>
      </c>
      <c r="J164" s="320">
        <f>I164/'Master Data'!$C$25</f>
        <v>0</v>
      </c>
      <c r="K164" s="404" t="s">
        <v>1329</v>
      </c>
      <c r="N164" s="399">
        <v>154</v>
      </c>
      <c r="O164" s="396" t="s">
        <v>508</v>
      </c>
      <c r="P164" s="321" t="s">
        <v>1305</v>
      </c>
      <c r="Q164" s="321" t="s">
        <v>1322</v>
      </c>
      <c r="R164" s="320">
        <f>SUMIF('TB Grouping'!$Q:$Q,'Master TB'!P164,'TB Grouping'!$O:$O)</f>
        <v>0</v>
      </c>
      <c r="S164" s="320">
        <f>SUMIF('Additional &amp; Presentation Entry'!Q:Q,masterTBCY[[#This Row],[Note Line]],'Additional &amp; Presentation Entry'!S:S)</f>
        <v>0</v>
      </c>
      <c r="T164" s="320">
        <f>SUMIF('Additional &amp; Presentation Entry'!X:X,masterTBCY[[#This Row],[Note Line]],'Additional &amp; Presentation Entry'!Z:Z)</f>
        <v>0</v>
      </c>
      <c r="U164" s="320">
        <f t="shared" si="10"/>
        <v>0</v>
      </c>
      <c r="V164" s="320">
        <f>U164/'Master Data'!$C$25</f>
        <v>0</v>
      </c>
      <c r="W164" s="400" t="str">
        <f t="shared" si="9"/>
        <v>Balance Sheet</v>
      </c>
    </row>
    <row r="165" spans="2:23" x14ac:dyDescent="0.3">
      <c r="B165" s="678">
        <f t="shared" si="8"/>
        <v>155</v>
      </c>
      <c r="C165" s="396" t="s">
        <v>508</v>
      </c>
      <c r="D165" s="321" t="s">
        <v>1306</v>
      </c>
      <c r="E165" s="321" t="s">
        <v>1323</v>
      </c>
      <c r="F165" s="320">
        <f>+SUMIFS('TB Grouping'!F:F,'TB Grouping'!H:H,masterTBCY[[#This Row],[Note Line]])</f>
        <v>0</v>
      </c>
      <c r="G165" s="2562">
        <f ca="1">SUMIF('Additional &amp; Presentation Entry'!E:E,masterTBCY[[#This Row],[Note Line]],'Additional &amp; Presentation Entry'!G:G)</f>
        <v>0</v>
      </c>
      <c r="H165" s="2562">
        <f>SUMIF('Additional &amp; Presentation Entry'!L:L,masterTBCY[[#This Row],[Note Line]],'Additional &amp; Presentation Entry'!N:N)</f>
        <v>0</v>
      </c>
      <c r="I165" s="320">
        <f>+masterTBCY[[#This Row],[Amount as per TB]]+masterTBCY[[#This Row],[Presentation Entry]]</f>
        <v>0</v>
      </c>
      <c r="J165" s="320">
        <f>I165/'Master Data'!$C$25</f>
        <v>0</v>
      </c>
      <c r="K165" s="404" t="s">
        <v>1329</v>
      </c>
      <c r="N165" s="399">
        <v>155</v>
      </c>
      <c r="O165" s="396" t="s">
        <v>508</v>
      </c>
      <c r="P165" s="321" t="s">
        <v>1306</v>
      </c>
      <c r="Q165" s="321" t="s">
        <v>1323</v>
      </c>
      <c r="R165" s="320">
        <f>SUMIF('TB Grouping'!$Q:$Q,'Master TB'!P165,'TB Grouping'!$O:$O)</f>
        <v>0</v>
      </c>
      <c r="S165" s="320">
        <f>SUMIF('Additional &amp; Presentation Entry'!Q:Q,masterTBCY[[#This Row],[Note Line]],'Additional &amp; Presentation Entry'!S:S)</f>
        <v>0</v>
      </c>
      <c r="T165" s="320">
        <f>SUMIF('Additional &amp; Presentation Entry'!X:X,masterTBCY[[#This Row],[Note Line]],'Additional &amp; Presentation Entry'!Z:Z)</f>
        <v>0</v>
      </c>
      <c r="U165" s="320">
        <f t="shared" si="10"/>
        <v>0</v>
      </c>
      <c r="V165" s="320">
        <f>U165/'Master Data'!$C$25</f>
        <v>0</v>
      </c>
      <c r="W165" s="400" t="str">
        <f t="shared" si="9"/>
        <v>Balance Sheet</v>
      </c>
    </row>
    <row r="166" spans="2:23" x14ac:dyDescent="0.3">
      <c r="B166" s="678">
        <f t="shared" si="8"/>
        <v>156</v>
      </c>
      <c r="C166" s="396" t="s">
        <v>508</v>
      </c>
      <c r="D166" s="321" t="s">
        <v>1307</v>
      </c>
      <c r="E166" s="321" t="s">
        <v>1324</v>
      </c>
      <c r="F166" s="320">
        <f>+SUMIFS('TB Grouping'!F:F,'TB Grouping'!H:H,masterTBCY[[#This Row],[Note Line]])</f>
        <v>0</v>
      </c>
      <c r="G166" s="2562">
        <f ca="1">SUMIF('Additional &amp; Presentation Entry'!E:E,masterTBCY[[#This Row],[Note Line]],'Additional &amp; Presentation Entry'!G:G)</f>
        <v>0</v>
      </c>
      <c r="H166" s="2562">
        <f>SUMIF('Additional &amp; Presentation Entry'!L:L,masterTBCY[[#This Row],[Note Line]],'Additional &amp; Presentation Entry'!N:N)</f>
        <v>0</v>
      </c>
      <c r="I166" s="320">
        <f>+masterTBCY[[#This Row],[Amount as per TB]]+masterTBCY[[#This Row],[Presentation Entry]]</f>
        <v>0</v>
      </c>
      <c r="J166" s="320">
        <f>I166/'Master Data'!$C$25</f>
        <v>0</v>
      </c>
      <c r="K166" s="404" t="s">
        <v>1329</v>
      </c>
      <c r="N166" s="399">
        <v>156</v>
      </c>
      <c r="O166" s="396" t="s">
        <v>508</v>
      </c>
      <c r="P166" s="321" t="s">
        <v>1307</v>
      </c>
      <c r="Q166" s="321" t="s">
        <v>1324</v>
      </c>
      <c r="R166" s="320">
        <f>SUMIF('TB Grouping'!$Q:$Q,'Master TB'!P166,'TB Grouping'!$O:$O)</f>
        <v>0</v>
      </c>
      <c r="S166" s="320">
        <f>SUMIF('Additional &amp; Presentation Entry'!Q:Q,masterTBCY[[#This Row],[Note Line]],'Additional &amp; Presentation Entry'!S:S)</f>
        <v>0</v>
      </c>
      <c r="T166" s="320">
        <f>SUMIF('Additional &amp; Presentation Entry'!X:X,masterTBCY[[#This Row],[Note Line]],'Additional &amp; Presentation Entry'!Z:Z)</f>
        <v>0</v>
      </c>
      <c r="U166" s="320">
        <f t="shared" si="10"/>
        <v>0</v>
      </c>
      <c r="V166" s="320">
        <f>U166/'Master Data'!$C$25</f>
        <v>0</v>
      </c>
      <c r="W166" s="400" t="str">
        <f t="shared" si="9"/>
        <v>Balance Sheet</v>
      </c>
    </row>
    <row r="167" spans="2:23" x14ac:dyDescent="0.3">
      <c r="B167" s="678">
        <f t="shared" si="8"/>
        <v>157</v>
      </c>
      <c r="C167" s="396" t="s">
        <v>508</v>
      </c>
      <c r="D167" s="321" t="s">
        <v>1308</v>
      </c>
      <c r="E167" s="321" t="s">
        <v>1325</v>
      </c>
      <c r="F167" s="320">
        <f>+SUMIFS('TB Grouping'!F:F,'TB Grouping'!H:H,masterTBCY[[#This Row],[Note Line]])</f>
        <v>0</v>
      </c>
      <c r="G167" s="2562">
        <f ca="1">SUMIF('Additional &amp; Presentation Entry'!E:E,masterTBCY[[#This Row],[Note Line]],'Additional &amp; Presentation Entry'!G:G)</f>
        <v>0</v>
      </c>
      <c r="H167" s="2562">
        <f>SUMIF('Additional &amp; Presentation Entry'!L:L,masterTBCY[[#This Row],[Note Line]],'Additional &amp; Presentation Entry'!N:N)</f>
        <v>0</v>
      </c>
      <c r="I167" s="320">
        <f>+masterTBCY[[#This Row],[Amount as per TB]]+masterTBCY[[#This Row],[Presentation Entry]]</f>
        <v>0</v>
      </c>
      <c r="J167" s="320">
        <f>I167/'Master Data'!$C$25</f>
        <v>0</v>
      </c>
      <c r="K167" s="404" t="s">
        <v>1329</v>
      </c>
      <c r="N167" s="399">
        <v>157</v>
      </c>
      <c r="O167" s="396" t="s">
        <v>508</v>
      </c>
      <c r="P167" s="321" t="s">
        <v>1308</v>
      </c>
      <c r="Q167" s="321" t="s">
        <v>1325</v>
      </c>
      <c r="R167" s="320">
        <f>SUMIF('TB Grouping'!$Q:$Q,'Master TB'!P167,'TB Grouping'!$O:$O)</f>
        <v>0</v>
      </c>
      <c r="S167" s="320">
        <f>SUMIF('Additional &amp; Presentation Entry'!Q:Q,masterTBCY[[#This Row],[Note Line]],'Additional &amp; Presentation Entry'!S:S)</f>
        <v>0</v>
      </c>
      <c r="T167" s="320">
        <f>SUMIF('Additional &amp; Presentation Entry'!X:X,masterTBCY[[#This Row],[Note Line]],'Additional &amp; Presentation Entry'!Z:Z)</f>
        <v>0</v>
      </c>
      <c r="U167" s="320">
        <f t="shared" si="10"/>
        <v>0</v>
      </c>
      <c r="V167" s="320">
        <f>U167/'Master Data'!$C$25</f>
        <v>0</v>
      </c>
      <c r="W167" s="400" t="str">
        <f t="shared" si="9"/>
        <v>Balance Sheet</v>
      </c>
    </row>
    <row r="168" spans="2:23" x14ac:dyDescent="0.3">
      <c r="B168" s="678">
        <f t="shared" si="8"/>
        <v>158</v>
      </c>
      <c r="C168" s="396" t="s">
        <v>508</v>
      </c>
      <c r="D168" s="321" t="s">
        <v>1309</v>
      </c>
      <c r="E168" s="321" t="s">
        <v>1326</v>
      </c>
      <c r="F168" s="320">
        <f>+SUMIFS('TB Grouping'!F:F,'TB Grouping'!H:H,masterTBCY[[#This Row],[Note Line]])</f>
        <v>0</v>
      </c>
      <c r="G168" s="2562">
        <f ca="1">SUMIF('Additional &amp; Presentation Entry'!E:E,masterTBCY[[#This Row],[Note Line]],'Additional &amp; Presentation Entry'!G:G)</f>
        <v>0</v>
      </c>
      <c r="H168" s="2562">
        <f>SUMIF('Additional &amp; Presentation Entry'!L:L,masterTBCY[[#This Row],[Note Line]],'Additional &amp; Presentation Entry'!N:N)</f>
        <v>0</v>
      </c>
      <c r="I168" s="320">
        <f>+masterTBCY[[#This Row],[Amount as per TB]]+masterTBCY[[#This Row],[Presentation Entry]]</f>
        <v>0</v>
      </c>
      <c r="J168" s="320">
        <f>I168/'Master Data'!$C$25</f>
        <v>0</v>
      </c>
      <c r="K168" s="404" t="s">
        <v>1329</v>
      </c>
      <c r="N168" s="399">
        <v>158</v>
      </c>
      <c r="O168" s="396" t="s">
        <v>508</v>
      </c>
      <c r="P168" s="321" t="s">
        <v>1309</v>
      </c>
      <c r="Q168" s="321" t="s">
        <v>1326</v>
      </c>
      <c r="R168" s="320">
        <f>SUMIF('TB Grouping'!$Q:$Q,'Master TB'!P168,'TB Grouping'!$O:$O)</f>
        <v>0</v>
      </c>
      <c r="S168" s="320">
        <f>SUMIF('Additional &amp; Presentation Entry'!Q:Q,masterTBCY[[#This Row],[Note Line]],'Additional &amp; Presentation Entry'!S:S)</f>
        <v>0</v>
      </c>
      <c r="T168" s="320">
        <f>SUMIF('Additional &amp; Presentation Entry'!X:X,masterTBCY[[#This Row],[Note Line]],'Additional &amp; Presentation Entry'!Z:Z)</f>
        <v>0</v>
      </c>
      <c r="U168" s="320">
        <f t="shared" si="10"/>
        <v>0</v>
      </c>
      <c r="V168" s="320">
        <f>U168/'Master Data'!$C$25</f>
        <v>0</v>
      </c>
      <c r="W168" s="400" t="str">
        <f t="shared" si="9"/>
        <v>Balance Sheet</v>
      </c>
    </row>
    <row r="169" spans="2:23" x14ac:dyDescent="0.3">
      <c r="B169" s="678">
        <f t="shared" si="8"/>
        <v>159</v>
      </c>
      <c r="C169" s="396" t="s">
        <v>508</v>
      </c>
      <c r="D169" s="397" t="s">
        <v>1647</v>
      </c>
      <c r="E169" s="321" t="s">
        <v>1327</v>
      </c>
      <c r="F169" s="320">
        <f>+SUMIFS('TB Grouping'!F:F,'TB Grouping'!H:H,masterTBCY[[#This Row],[Note Line]])</f>
        <v>-4091133.5</v>
      </c>
      <c r="G169" s="2562">
        <f ca="1">SUMIF('Additional &amp; Presentation Entry'!E:E,masterTBCY[[#This Row],[Note Line]],'Additional &amp; Presentation Entry'!G:G)</f>
        <v>699861.33999999985</v>
      </c>
      <c r="H169" s="2562">
        <f>SUMIF('Additional &amp; Presentation Entry'!L:L,masterTBCY[[#This Row],[Note Line]],'Additional &amp; Presentation Entry'!N:N)</f>
        <v>0</v>
      </c>
      <c r="I169" s="320">
        <f>+masterTBCY[[#This Row],[Amount as per TB]]+masterTBCY[[#This Row],[Presentation Entry]]</f>
        <v>-4091133.5</v>
      </c>
      <c r="J169" s="320">
        <f>I169/'Master Data'!$C$25</f>
        <v>-40911.334999999999</v>
      </c>
      <c r="K169" s="404" t="s">
        <v>1329</v>
      </c>
      <c r="N169" s="399">
        <v>159</v>
      </c>
      <c r="O169" s="396" t="s">
        <v>508</v>
      </c>
      <c r="P169" s="397" t="s">
        <v>1647</v>
      </c>
      <c r="Q169" s="321" t="s">
        <v>1327</v>
      </c>
      <c r="R169" s="320">
        <f>SUMIF('TB Grouping'!$Q:$Q,'Master TB'!P169,'TB Grouping'!$O:$O)</f>
        <v>-277059.64</v>
      </c>
      <c r="S169" s="320">
        <f>SUMIF('Additional &amp; Presentation Entry'!Q:Q,masterTBCY[[#This Row],[Note Line]],'Additional &amp; Presentation Entry'!S:S)</f>
        <v>0</v>
      </c>
      <c r="T169" s="320">
        <f>SUMIF('Additional &amp; Presentation Entry'!X:X,masterTBCY[[#This Row],[Note Line]],'Additional &amp; Presentation Entry'!Z:Z)</f>
        <v>0</v>
      </c>
      <c r="U169" s="320">
        <f t="shared" si="10"/>
        <v>-277059.64</v>
      </c>
      <c r="V169" s="320">
        <f>U169/'Master Data'!$C$25</f>
        <v>-2770.5964000000004</v>
      </c>
      <c r="W169" s="400" t="str">
        <f t="shared" si="9"/>
        <v>Balance Sheet</v>
      </c>
    </row>
    <row r="170" spans="2:23" x14ac:dyDescent="0.3">
      <c r="B170" s="678">
        <f t="shared" si="8"/>
        <v>160</v>
      </c>
      <c r="C170" s="396" t="s">
        <v>508</v>
      </c>
      <c r="D170" s="397" t="s">
        <v>1669</v>
      </c>
      <c r="E170" s="321" t="s">
        <v>1646</v>
      </c>
      <c r="F170" s="320">
        <f>+SUMIFS('TB Grouping'!F:F,'TB Grouping'!H:H,masterTBCY[[#This Row],[Note Line]])</f>
        <v>-294331.58</v>
      </c>
      <c r="G170" s="2562">
        <f ca="1">SUMIF('Additional &amp; Presentation Entry'!E:E,masterTBCY[[#This Row],[Note Line]],'Additional &amp; Presentation Entry'!G:G)</f>
        <v>-294331.57333333325</v>
      </c>
      <c r="H170" s="2562">
        <f>SUMIF('Additional &amp; Presentation Entry'!L:L,masterTBCY[[#This Row],[Note Line]],'Additional &amp; Presentation Entry'!N:N)</f>
        <v>0</v>
      </c>
      <c r="I170" s="320">
        <f>+masterTBCY[[#This Row],[Amount as per TB]]+masterTBCY[[#This Row],[Presentation Entry]]</f>
        <v>-294331.58</v>
      </c>
      <c r="J170" s="320">
        <f>I170/'Master Data'!$C$25</f>
        <v>-2943.3158000000003</v>
      </c>
      <c r="K170" s="404" t="s">
        <v>1329</v>
      </c>
      <c r="N170" s="399">
        <v>160</v>
      </c>
      <c r="O170" s="396" t="s">
        <v>508</v>
      </c>
      <c r="P170" s="397" t="s">
        <v>1669</v>
      </c>
      <c r="Q170" s="321" t="s">
        <v>1646</v>
      </c>
      <c r="R170" s="320">
        <f>SUMIF('TB Grouping'!$Q:$Q,'Master TB'!P170,'TB Grouping'!$O:$O)</f>
        <v>0</v>
      </c>
      <c r="S170" s="320">
        <f>SUMIF('Additional &amp; Presentation Entry'!Q:Q,masterTBCY[[#This Row],[Note Line]],'Additional &amp; Presentation Entry'!S:S)</f>
        <v>0</v>
      </c>
      <c r="T170" s="320">
        <f>SUMIF('Additional &amp; Presentation Entry'!X:X,masterTBCY[[#This Row],[Note Line]],'Additional &amp; Presentation Entry'!Z:Z)</f>
        <v>0</v>
      </c>
      <c r="U170" s="320">
        <f t="shared" si="10"/>
        <v>0</v>
      </c>
      <c r="V170" s="320">
        <f>U170/'Master Data'!$C$25</f>
        <v>0</v>
      </c>
      <c r="W170" s="400" t="str">
        <f t="shared" si="9"/>
        <v>Balance Sheet</v>
      </c>
    </row>
    <row r="171" spans="2:23" x14ac:dyDescent="0.3">
      <c r="B171" s="678">
        <f t="shared" si="8"/>
        <v>161</v>
      </c>
      <c r="C171" s="396" t="s">
        <v>508</v>
      </c>
      <c r="D171" s="397" t="s">
        <v>1970</v>
      </c>
      <c r="E171" s="321" t="s">
        <v>1667</v>
      </c>
      <c r="F171" s="320">
        <f>+SUMIFS('TB Grouping'!F:F,'TB Grouping'!H:H,masterTBCY[[#This Row],[Note Line]])</f>
        <v>0.4</v>
      </c>
      <c r="G171" s="2562">
        <f ca="1">SUMIF('Additional &amp; Presentation Entry'!E:E,masterTBCY[[#This Row],[Note Line]],'Additional &amp; Presentation Entry'!G:G)</f>
        <v>51027.040000000001</v>
      </c>
      <c r="H171" s="2562">
        <f>SUMIF('Additional &amp; Presentation Entry'!L:L,masterTBCY[[#This Row],[Note Line]],'Additional &amp; Presentation Entry'!N:N)</f>
        <v>0</v>
      </c>
      <c r="I171" s="320">
        <f>+masterTBCY[[#This Row],[Amount as per TB]]+masterTBCY[[#This Row],[Presentation Entry]]</f>
        <v>0.4</v>
      </c>
      <c r="J171" s="320">
        <f>I171/'Master Data'!$C$25</f>
        <v>4.0000000000000001E-3</v>
      </c>
      <c r="K171" s="404" t="s">
        <v>1329</v>
      </c>
      <c r="N171" s="399">
        <v>161</v>
      </c>
      <c r="O171" s="396" t="s">
        <v>508</v>
      </c>
      <c r="P171" s="397" t="s">
        <v>1970</v>
      </c>
      <c r="Q171" s="321" t="s">
        <v>1667</v>
      </c>
      <c r="R171" s="320">
        <f>SUMIF('TB Grouping'!$Q:$Q,'Master TB'!P171,'TB Grouping'!$O:$O)</f>
        <v>-0.01</v>
      </c>
      <c r="S171" s="320">
        <f>SUMIF('Additional &amp; Presentation Entry'!Q:Q,masterTBCY[[#This Row],[Note Line]],'Additional &amp; Presentation Entry'!S:S)</f>
        <v>0</v>
      </c>
      <c r="T171" s="320">
        <f>SUMIF('Additional &amp; Presentation Entry'!X:X,masterTBCY[[#This Row],[Note Line]],'Additional &amp; Presentation Entry'!Z:Z)</f>
        <v>0</v>
      </c>
      <c r="U171" s="320">
        <f t="shared" si="10"/>
        <v>-0.01</v>
      </c>
      <c r="V171" s="320">
        <f>U171/'Master Data'!$C$25</f>
        <v>-1E-4</v>
      </c>
      <c r="W171" s="400" t="str">
        <f t="shared" si="9"/>
        <v>Balance Sheet</v>
      </c>
    </row>
    <row r="172" spans="2:23" x14ac:dyDescent="0.3">
      <c r="B172" s="678">
        <f t="shared" si="8"/>
        <v>162</v>
      </c>
      <c r="C172" s="319" t="s">
        <v>1812</v>
      </c>
      <c r="D172" s="321" t="s">
        <v>1388</v>
      </c>
      <c r="E172" s="321" t="s">
        <v>1389</v>
      </c>
      <c r="F172" s="320">
        <f>+SUMIFS('TB Grouping'!F:F,'TB Grouping'!H:H,masterTBCY[[#This Row],[Note Line]])</f>
        <v>0</v>
      </c>
      <c r="G172" s="2562">
        <f ca="1">SUMIF('Additional &amp; Presentation Entry'!E:E,masterTBCY[[#This Row],[Note Line]],'Additional &amp; Presentation Entry'!G:G)</f>
        <v>0</v>
      </c>
      <c r="H172" s="2562">
        <f>SUMIF('Additional &amp; Presentation Entry'!L:L,masterTBCY[[#This Row],[Note Line]],'Additional &amp; Presentation Entry'!N:N)</f>
        <v>0</v>
      </c>
      <c r="I172" s="320">
        <f>+masterTBCY[[#This Row],[Amount as per TB]]+masterTBCY[[#This Row],[Presentation Entry]]</f>
        <v>0</v>
      </c>
      <c r="J172" s="320">
        <f>I172/'Master Data'!$C$25</f>
        <v>0</v>
      </c>
      <c r="K172" s="404" t="s">
        <v>1329</v>
      </c>
      <c r="N172" s="399">
        <v>162</v>
      </c>
      <c r="O172" s="319" t="s">
        <v>1812</v>
      </c>
      <c r="P172" s="321" t="s">
        <v>1388</v>
      </c>
      <c r="Q172" s="321" t="s">
        <v>1389</v>
      </c>
      <c r="R172" s="320">
        <f>SUMIF('TB Grouping'!$Q:$Q,'Master TB'!P172,'TB Grouping'!$O:$O)</f>
        <v>0</v>
      </c>
      <c r="S172" s="320">
        <f>SUMIF('Additional &amp; Presentation Entry'!Q:Q,masterTBCY[[#This Row],[Note Line]],'Additional &amp; Presentation Entry'!S:S)</f>
        <v>0</v>
      </c>
      <c r="T172" s="320">
        <f>SUMIF('Additional &amp; Presentation Entry'!X:X,masterTBCY[[#This Row],[Note Line]],'Additional &amp; Presentation Entry'!Z:Z)</f>
        <v>0</v>
      </c>
      <c r="U172" s="320">
        <f t="shared" si="10"/>
        <v>0</v>
      </c>
      <c r="V172" s="320">
        <f>U172/'Master Data'!$C$25</f>
        <v>0</v>
      </c>
      <c r="W172" s="400" t="str">
        <f t="shared" si="9"/>
        <v>Balance Sheet</v>
      </c>
    </row>
    <row r="173" spans="2:23" x14ac:dyDescent="0.3">
      <c r="B173" s="678">
        <f t="shared" si="8"/>
        <v>163</v>
      </c>
      <c r="C173" s="319" t="s">
        <v>1812</v>
      </c>
      <c r="D173" s="321" t="s">
        <v>1390</v>
      </c>
      <c r="E173" s="321" t="s">
        <v>1391</v>
      </c>
      <c r="F173" s="320">
        <f>+SUMIFS('TB Grouping'!F:F,'TB Grouping'!H:H,masterTBCY[[#This Row],[Note Line]])</f>
        <v>0</v>
      </c>
      <c r="G173" s="2562">
        <f ca="1">SUMIF('Additional &amp; Presentation Entry'!E:E,masterTBCY[[#This Row],[Note Line]],'Additional &amp; Presentation Entry'!G:G)</f>
        <v>0</v>
      </c>
      <c r="H173" s="2562">
        <f>SUMIF('Additional &amp; Presentation Entry'!L:L,masterTBCY[[#This Row],[Note Line]],'Additional &amp; Presentation Entry'!N:N)</f>
        <v>0</v>
      </c>
      <c r="I173" s="320">
        <f>+masterTBCY[[#This Row],[Amount as per TB]]+masterTBCY[[#This Row],[Presentation Entry]]</f>
        <v>0</v>
      </c>
      <c r="J173" s="320">
        <f>I173/'Master Data'!$C$25</f>
        <v>0</v>
      </c>
      <c r="K173" s="404" t="s">
        <v>1329</v>
      </c>
      <c r="N173" s="399">
        <v>163</v>
      </c>
      <c r="O173" s="319" t="s">
        <v>1812</v>
      </c>
      <c r="P173" s="321" t="s">
        <v>1390</v>
      </c>
      <c r="Q173" s="321" t="s">
        <v>1391</v>
      </c>
      <c r="R173" s="320">
        <f>SUMIF('TB Grouping'!$Q:$Q,'Master TB'!P173,'TB Grouping'!$O:$O)</f>
        <v>0</v>
      </c>
      <c r="S173" s="320">
        <f>SUMIF('Additional &amp; Presentation Entry'!Q:Q,masterTBCY[[#This Row],[Note Line]],'Additional &amp; Presentation Entry'!S:S)</f>
        <v>0</v>
      </c>
      <c r="T173" s="320">
        <f>SUMIF('Additional &amp; Presentation Entry'!X:X,masterTBCY[[#This Row],[Note Line]],'Additional &amp; Presentation Entry'!Z:Z)</f>
        <v>0</v>
      </c>
      <c r="U173" s="320">
        <f t="shared" si="10"/>
        <v>0</v>
      </c>
      <c r="V173" s="320">
        <f>U173/'Master Data'!$C$25</f>
        <v>0</v>
      </c>
      <c r="W173" s="400" t="str">
        <f t="shared" si="9"/>
        <v>Balance Sheet</v>
      </c>
    </row>
    <row r="174" spans="2:23" x14ac:dyDescent="0.3">
      <c r="B174" s="678">
        <f t="shared" si="8"/>
        <v>164</v>
      </c>
      <c r="C174" s="319" t="s">
        <v>1813</v>
      </c>
      <c r="D174" s="321" t="s">
        <v>1392</v>
      </c>
      <c r="E174" s="321" t="s">
        <v>1393</v>
      </c>
      <c r="F174" s="320">
        <f>+SUMIFS('TB Grouping'!F:F,'TB Grouping'!H:H,masterTBCY[[#This Row],[Note Line]])</f>
        <v>0</v>
      </c>
      <c r="G174" s="2562">
        <f ca="1">SUMIF('Additional &amp; Presentation Entry'!E:E,masterTBCY[[#This Row],[Note Line]],'Additional &amp; Presentation Entry'!G:G)</f>
        <v>0</v>
      </c>
      <c r="H174" s="2562">
        <f>SUMIF('Additional &amp; Presentation Entry'!L:L,masterTBCY[[#This Row],[Note Line]],'Additional &amp; Presentation Entry'!N:N)</f>
        <v>0</v>
      </c>
      <c r="I174" s="320">
        <f>+masterTBCY[[#This Row],[Amount as per TB]]+masterTBCY[[#This Row],[Presentation Entry]]</f>
        <v>0</v>
      </c>
      <c r="J174" s="320">
        <f>I174/'Master Data'!$C$25</f>
        <v>0</v>
      </c>
      <c r="K174" s="404" t="s">
        <v>1329</v>
      </c>
      <c r="N174" s="399">
        <v>164</v>
      </c>
      <c r="O174" s="319" t="s">
        <v>1813</v>
      </c>
      <c r="P174" s="321" t="s">
        <v>1392</v>
      </c>
      <c r="Q174" s="321" t="s">
        <v>1393</v>
      </c>
      <c r="R174" s="320">
        <f>SUMIF('TB Grouping'!$Q:$Q,'Master TB'!P174,'TB Grouping'!$O:$O)</f>
        <v>0</v>
      </c>
      <c r="S174" s="320">
        <f>SUMIF('Additional &amp; Presentation Entry'!Q:Q,masterTBCY[[#This Row],[Note Line]],'Additional &amp; Presentation Entry'!S:S)</f>
        <v>0</v>
      </c>
      <c r="T174" s="320">
        <f>SUMIF('Additional &amp; Presentation Entry'!X:X,masterTBCY[[#This Row],[Note Line]],'Additional &amp; Presentation Entry'!Z:Z)</f>
        <v>0</v>
      </c>
      <c r="U174" s="320">
        <f t="shared" si="10"/>
        <v>0</v>
      </c>
      <c r="V174" s="320">
        <f>U174/'Master Data'!$C$25</f>
        <v>0</v>
      </c>
      <c r="W174" s="400" t="str">
        <f t="shared" si="9"/>
        <v>Balance Sheet</v>
      </c>
    </row>
    <row r="175" spans="2:23" x14ac:dyDescent="0.3">
      <c r="B175" s="678">
        <f t="shared" si="8"/>
        <v>165</v>
      </c>
      <c r="C175" s="319" t="s">
        <v>1813</v>
      </c>
      <c r="D175" s="321" t="s">
        <v>1394</v>
      </c>
      <c r="E175" s="321" t="s">
        <v>1395</v>
      </c>
      <c r="F175" s="320">
        <f>+SUMIFS('TB Grouping'!F:F,'TB Grouping'!H:H,masterTBCY[[#This Row],[Note Line]])</f>
        <v>0</v>
      </c>
      <c r="G175" s="2562">
        <f ca="1">SUMIF('Additional &amp; Presentation Entry'!E:E,masterTBCY[[#This Row],[Note Line]],'Additional &amp; Presentation Entry'!G:G)</f>
        <v>0</v>
      </c>
      <c r="H175" s="2562">
        <f>SUMIF('Additional &amp; Presentation Entry'!L:L,masterTBCY[[#This Row],[Note Line]],'Additional &amp; Presentation Entry'!N:N)</f>
        <v>0</v>
      </c>
      <c r="I175" s="320">
        <f>+masterTBCY[[#This Row],[Amount as per TB]]+masterTBCY[[#This Row],[Presentation Entry]]</f>
        <v>0</v>
      </c>
      <c r="J175" s="320">
        <f>I175/'Master Data'!$C$25</f>
        <v>0</v>
      </c>
      <c r="K175" s="404" t="s">
        <v>1329</v>
      </c>
      <c r="N175" s="399">
        <v>165</v>
      </c>
      <c r="O175" s="319" t="s">
        <v>1813</v>
      </c>
      <c r="P175" s="321" t="s">
        <v>1394</v>
      </c>
      <c r="Q175" s="321" t="s">
        <v>1395</v>
      </c>
      <c r="R175" s="320">
        <f>SUMIF('TB Grouping'!$Q:$Q,'Master TB'!P175,'TB Grouping'!$O:$O)</f>
        <v>0</v>
      </c>
      <c r="S175" s="320">
        <f>SUMIF('Additional &amp; Presentation Entry'!Q:Q,masterTBCY[[#This Row],[Note Line]],'Additional &amp; Presentation Entry'!S:S)</f>
        <v>0</v>
      </c>
      <c r="T175" s="320">
        <f>SUMIF('Additional &amp; Presentation Entry'!X:X,masterTBCY[[#This Row],[Note Line]],'Additional &amp; Presentation Entry'!Z:Z)</f>
        <v>0</v>
      </c>
      <c r="U175" s="320">
        <f t="shared" si="10"/>
        <v>0</v>
      </c>
      <c r="V175" s="320">
        <f>U175/'Master Data'!$C$25</f>
        <v>0</v>
      </c>
      <c r="W175" s="400" t="str">
        <f t="shared" si="9"/>
        <v>Balance Sheet</v>
      </c>
    </row>
    <row r="176" spans="2:23" x14ac:dyDescent="0.3">
      <c r="B176" s="678">
        <f t="shared" si="8"/>
        <v>166</v>
      </c>
      <c r="C176" s="319" t="s">
        <v>1813</v>
      </c>
      <c r="D176" s="321" t="s">
        <v>1396</v>
      </c>
      <c r="E176" s="321" t="s">
        <v>1397</v>
      </c>
      <c r="F176" s="320">
        <f>+SUMIFS('TB Grouping'!F:F,'TB Grouping'!H:H,masterTBCY[[#This Row],[Note Line]])</f>
        <v>0</v>
      </c>
      <c r="G176" s="2562">
        <f ca="1">SUMIF('Additional &amp; Presentation Entry'!E:E,masterTBCY[[#This Row],[Note Line]],'Additional &amp; Presentation Entry'!G:G)</f>
        <v>0</v>
      </c>
      <c r="H176" s="2562">
        <f>SUMIF('Additional &amp; Presentation Entry'!L:L,masterTBCY[[#This Row],[Note Line]],'Additional &amp; Presentation Entry'!N:N)</f>
        <v>0</v>
      </c>
      <c r="I176" s="320">
        <f>+masterTBCY[[#This Row],[Amount as per TB]]+masterTBCY[[#This Row],[Presentation Entry]]</f>
        <v>0</v>
      </c>
      <c r="J176" s="320">
        <f>I176/'Master Data'!$C$25</f>
        <v>0</v>
      </c>
      <c r="K176" s="404" t="s">
        <v>1329</v>
      </c>
      <c r="N176" s="399">
        <v>166</v>
      </c>
      <c r="O176" s="319" t="s">
        <v>1813</v>
      </c>
      <c r="P176" s="321" t="s">
        <v>1396</v>
      </c>
      <c r="Q176" s="321" t="s">
        <v>1397</v>
      </c>
      <c r="R176" s="320">
        <f>SUMIF('TB Grouping'!$Q:$Q,'Master TB'!P176,'TB Grouping'!$O:$O)</f>
        <v>0</v>
      </c>
      <c r="S176" s="320">
        <f>SUMIF('Additional &amp; Presentation Entry'!Q:Q,masterTBCY[[#This Row],[Note Line]],'Additional &amp; Presentation Entry'!S:S)</f>
        <v>0</v>
      </c>
      <c r="T176" s="320">
        <f>SUMIF('Additional &amp; Presentation Entry'!X:X,masterTBCY[[#This Row],[Note Line]],'Additional &amp; Presentation Entry'!Z:Z)</f>
        <v>0</v>
      </c>
      <c r="U176" s="320">
        <f t="shared" si="10"/>
        <v>0</v>
      </c>
      <c r="V176" s="320">
        <f>U176/'Master Data'!$C$25</f>
        <v>0</v>
      </c>
      <c r="W176" s="400" t="str">
        <f t="shared" si="9"/>
        <v>Balance Sheet</v>
      </c>
    </row>
    <row r="177" spans="2:23" x14ac:dyDescent="0.3">
      <c r="B177" s="678">
        <f t="shared" si="8"/>
        <v>167</v>
      </c>
      <c r="C177" s="319" t="s">
        <v>1813</v>
      </c>
      <c r="D177" s="321" t="s">
        <v>1398</v>
      </c>
      <c r="E177" s="321" t="s">
        <v>1399</v>
      </c>
      <c r="F177" s="320">
        <f>+SUMIFS('TB Grouping'!F:F,'TB Grouping'!H:H,masterTBCY[[#This Row],[Note Line]])</f>
        <v>0</v>
      </c>
      <c r="G177" s="2562">
        <f ca="1">SUMIF('Additional &amp; Presentation Entry'!E:E,masterTBCY[[#This Row],[Note Line]],'Additional &amp; Presentation Entry'!G:G)</f>
        <v>0</v>
      </c>
      <c r="H177" s="2562">
        <f>SUMIF('Additional &amp; Presentation Entry'!L:L,masterTBCY[[#This Row],[Note Line]],'Additional &amp; Presentation Entry'!N:N)</f>
        <v>0</v>
      </c>
      <c r="I177" s="320">
        <f>+masterTBCY[[#This Row],[Amount as per TB]]+masterTBCY[[#This Row],[Presentation Entry]]</f>
        <v>0</v>
      </c>
      <c r="J177" s="320">
        <f>I177/'Master Data'!$C$25</f>
        <v>0</v>
      </c>
      <c r="K177" s="404" t="s">
        <v>1329</v>
      </c>
      <c r="N177" s="399">
        <v>167</v>
      </c>
      <c r="O177" s="319" t="s">
        <v>1813</v>
      </c>
      <c r="P177" s="321" t="s">
        <v>1398</v>
      </c>
      <c r="Q177" s="321" t="s">
        <v>1399</v>
      </c>
      <c r="R177" s="320">
        <f>SUMIF('TB Grouping'!$Q:$Q,'Master TB'!P177,'TB Grouping'!$O:$O)</f>
        <v>0</v>
      </c>
      <c r="S177" s="320">
        <f>SUMIF('Additional &amp; Presentation Entry'!Q:Q,masterTBCY[[#This Row],[Note Line]],'Additional &amp; Presentation Entry'!S:S)</f>
        <v>0</v>
      </c>
      <c r="T177" s="320">
        <f>SUMIF('Additional &amp; Presentation Entry'!X:X,masterTBCY[[#This Row],[Note Line]],'Additional &amp; Presentation Entry'!Z:Z)</f>
        <v>0</v>
      </c>
      <c r="U177" s="320">
        <f t="shared" si="10"/>
        <v>0</v>
      </c>
      <c r="V177" s="320">
        <f>U177/'Master Data'!$C$25</f>
        <v>0</v>
      </c>
      <c r="W177" s="400" t="str">
        <f t="shared" si="9"/>
        <v>Balance Sheet</v>
      </c>
    </row>
    <row r="178" spans="2:23" x14ac:dyDescent="0.3">
      <c r="B178" s="678">
        <f t="shared" si="8"/>
        <v>168</v>
      </c>
      <c r="C178" s="319" t="s">
        <v>1813</v>
      </c>
      <c r="D178" s="321" t="s">
        <v>1400</v>
      </c>
      <c r="E178" s="321" t="s">
        <v>1401</v>
      </c>
      <c r="F178" s="320">
        <f>+SUMIFS('TB Grouping'!F:F,'TB Grouping'!H:H,masterTBCY[[#This Row],[Note Line]])</f>
        <v>0</v>
      </c>
      <c r="G178" s="2562">
        <f ca="1">SUMIF('Additional &amp; Presentation Entry'!E:E,masterTBCY[[#This Row],[Note Line]],'Additional &amp; Presentation Entry'!G:G)</f>
        <v>0</v>
      </c>
      <c r="H178" s="2562">
        <f>SUMIF('Additional &amp; Presentation Entry'!L:L,masterTBCY[[#This Row],[Note Line]],'Additional &amp; Presentation Entry'!N:N)</f>
        <v>0</v>
      </c>
      <c r="I178" s="320">
        <f>+masterTBCY[[#This Row],[Amount as per TB]]+masterTBCY[[#This Row],[Presentation Entry]]</f>
        <v>0</v>
      </c>
      <c r="J178" s="320">
        <f>I178/'Master Data'!$C$25</f>
        <v>0</v>
      </c>
      <c r="K178" s="404" t="s">
        <v>1329</v>
      </c>
      <c r="N178" s="399">
        <v>168</v>
      </c>
      <c r="O178" s="319" t="s">
        <v>1813</v>
      </c>
      <c r="P178" s="321" t="s">
        <v>1400</v>
      </c>
      <c r="Q178" s="321" t="s">
        <v>1401</v>
      </c>
      <c r="R178" s="320">
        <f>SUMIF('TB Grouping'!$Q:$Q,'Master TB'!P178,'TB Grouping'!$O:$O)</f>
        <v>0</v>
      </c>
      <c r="S178" s="320">
        <f>SUMIF('Additional &amp; Presentation Entry'!Q:Q,masterTBCY[[#This Row],[Note Line]],'Additional &amp; Presentation Entry'!S:S)</f>
        <v>0</v>
      </c>
      <c r="T178" s="320">
        <f>SUMIF('Additional &amp; Presentation Entry'!X:X,masterTBCY[[#This Row],[Note Line]],'Additional &amp; Presentation Entry'!Z:Z)</f>
        <v>0</v>
      </c>
      <c r="U178" s="320">
        <f t="shared" si="10"/>
        <v>0</v>
      </c>
      <c r="V178" s="320">
        <f>U178/'Master Data'!$C$25</f>
        <v>0</v>
      </c>
      <c r="W178" s="400" t="str">
        <f t="shared" ref="W178:W201" si="11">K180</f>
        <v>Balance Sheet</v>
      </c>
    </row>
    <row r="179" spans="2:23" x14ac:dyDescent="0.3">
      <c r="B179" s="678">
        <f t="shared" si="8"/>
        <v>169</v>
      </c>
      <c r="C179" s="319" t="s">
        <v>1813</v>
      </c>
      <c r="D179" s="321" t="s">
        <v>1402</v>
      </c>
      <c r="E179" s="321" t="s">
        <v>1403</v>
      </c>
      <c r="F179" s="320">
        <f>+SUMIFS('TB Grouping'!F:F,'TB Grouping'!H:H,masterTBCY[[#This Row],[Note Line]])</f>
        <v>0</v>
      </c>
      <c r="G179" s="2562">
        <f ca="1">SUMIF('Additional &amp; Presentation Entry'!E:E,masterTBCY[[#This Row],[Note Line]],'Additional &amp; Presentation Entry'!G:G)</f>
        <v>0</v>
      </c>
      <c r="H179" s="2562">
        <f>SUMIF('Additional &amp; Presentation Entry'!L:L,masterTBCY[[#This Row],[Note Line]],'Additional &amp; Presentation Entry'!N:N)</f>
        <v>0</v>
      </c>
      <c r="I179" s="320">
        <f>+masterTBCY[[#This Row],[Amount as per TB]]+masterTBCY[[#This Row],[Presentation Entry]]</f>
        <v>0</v>
      </c>
      <c r="J179" s="320">
        <f>I179/'Master Data'!$C$25</f>
        <v>0</v>
      </c>
      <c r="K179" s="404" t="s">
        <v>1329</v>
      </c>
      <c r="N179" s="399">
        <v>169</v>
      </c>
      <c r="O179" s="319" t="s">
        <v>1813</v>
      </c>
      <c r="P179" s="321" t="s">
        <v>1402</v>
      </c>
      <c r="Q179" s="321" t="s">
        <v>1403</v>
      </c>
      <c r="R179" s="320">
        <f>SUMIF('TB Grouping'!$Q:$Q,'Master TB'!P179,'TB Grouping'!$O:$O)</f>
        <v>0</v>
      </c>
      <c r="S179" s="320">
        <f>SUMIF('Additional &amp; Presentation Entry'!Q:Q,masterTBCY[[#This Row],[Note Line]],'Additional &amp; Presentation Entry'!S:S)</f>
        <v>0</v>
      </c>
      <c r="T179" s="320">
        <f>SUMIF('Additional &amp; Presentation Entry'!X:X,masterTBCY[[#This Row],[Note Line]],'Additional &amp; Presentation Entry'!Z:Z)</f>
        <v>0</v>
      </c>
      <c r="U179" s="320">
        <f t="shared" si="10"/>
        <v>0</v>
      </c>
      <c r="V179" s="320">
        <f>U179/'Master Data'!$C$25</f>
        <v>0</v>
      </c>
      <c r="W179" s="400" t="str">
        <f t="shared" si="11"/>
        <v>Balance Sheet</v>
      </c>
    </row>
    <row r="180" spans="2:23" x14ac:dyDescent="0.3">
      <c r="B180" s="678">
        <f t="shared" si="8"/>
        <v>170</v>
      </c>
      <c r="C180" s="319" t="s">
        <v>1813</v>
      </c>
      <c r="D180" s="321" t="s">
        <v>1404</v>
      </c>
      <c r="E180" s="321" t="s">
        <v>1405</v>
      </c>
      <c r="F180" s="320">
        <f>+SUMIFS('TB Grouping'!F:F,'TB Grouping'!H:H,masterTBCY[[#This Row],[Note Line]])</f>
        <v>0</v>
      </c>
      <c r="G180" s="2562">
        <f ca="1">SUMIF('Additional &amp; Presentation Entry'!E:E,masterTBCY[[#This Row],[Note Line]],'Additional &amp; Presentation Entry'!G:G)</f>
        <v>0</v>
      </c>
      <c r="H180" s="2562">
        <f>SUMIF('Additional &amp; Presentation Entry'!L:L,masterTBCY[[#This Row],[Note Line]],'Additional &amp; Presentation Entry'!N:N)</f>
        <v>0</v>
      </c>
      <c r="I180" s="320">
        <f>+masterTBCY[[#This Row],[Amount as per TB]]+masterTBCY[[#This Row],[Presentation Entry]]</f>
        <v>0</v>
      </c>
      <c r="J180" s="320">
        <f>I180/'Master Data'!$C$25</f>
        <v>0</v>
      </c>
      <c r="K180" s="404" t="s">
        <v>1329</v>
      </c>
      <c r="N180" s="399">
        <v>170</v>
      </c>
      <c r="O180" s="319" t="s">
        <v>1813</v>
      </c>
      <c r="P180" s="321" t="s">
        <v>1404</v>
      </c>
      <c r="Q180" s="321" t="s">
        <v>1405</v>
      </c>
      <c r="R180" s="320">
        <f>SUMIF('TB Grouping'!$Q:$Q,'Master TB'!P180,'TB Grouping'!$O:$O)</f>
        <v>0</v>
      </c>
      <c r="S180" s="320">
        <f>SUMIF('Additional &amp; Presentation Entry'!Q:Q,masterTBCY[[#This Row],[Note Line]],'Additional &amp; Presentation Entry'!S:S)</f>
        <v>0</v>
      </c>
      <c r="T180" s="320">
        <f>SUMIF('Additional &amp; Presentation Entry'!X:X,masterTBCY[[#This Row],[Note Line]],'Additional &amp; Presentation Entry'!Z:Z)</f>
        <v>0</v>
      </c>
      <c r="U180" s="320">
        <f t="shared" si="10"/>
        <v>0</v>
      </c>
      <c r="V180" s="320">
        <f>U180/'Master Data'!$C$25</f>
        <v>0</v>
      </c>
      <c r="W180" s="400" t="str">
        <f t="shared" si="11"/>
        <v>Balance Sheet</v>
      </c>
    </row>
    <row r="181" spans="2:23" x14ac:dyDescent="0.3">
      <c r="B181" s="678">
        <f t="shared" si="8"/>
        <v>171</v>
      </c>
      <c r="C181" s="319" t="s">
        <v>1813</v>
      </c>
      <c r="D181" s="321" t="s">
        <v>1406</v>
      </c>
      <c r="E181" s="321" t="s">
        <v>1407</v>
      </c>
      <c r="F181" s="320">
        <f>+SUMIFS('TB Grouping'!F:F,'TB Grouping'!H:H,masterTBCY[[#This Row],[Note Line]])</f>
        <v>0</v>
      </c>
      <c r="G181" s="2562">
        <f ca="1">SUMIF('Additional &amp; Presentation Entry'!E:E,masterTBCY[[#This Row],[Note Line]],'Additional &amp; Presentation Entry'!G:G)</f>
        <v>0</v>
      </c>
      <c r="H181" s="2562">
        <f>SUMIF('Additional &amp; Presentation Entry'!L:L,masterTBCY[[#This Row],[Note Line]],'Additional &amp; Presentation Entry'!N:N)</f>
        <v>0</v>
      </c>
      <c r="I181" s="320">
        <f>+masterTBCY[[#This Row],[Amount as per TB]]+masterTBCY[[#This Row],[Presentation Entry]]</f>
        <v>0</v>
      </c>
      <c r="J181" s="320">
        <f>I181/'Master Data'!$C$25</f>
        <v>0</v>
      </c>
      <c r="K181" s="404" t="s">
        <v>1329</v>
      </c>
      <c r="N181" s="399">
        <v>171</v>
      </c>
      <c r="O181" s="319" t="s">
        <v>1813</v>
      </c>
      <c r="P181" s="321" t="s">
        <v>1406</v>
      </c>
      <c r="Q181" s="321" t="s">
        <v>1407</v>
      </c>
      <c r="R181" s="320">
        <f>SUMIF('TB Grouping'!$Q:$Q,'Master TB'!P181,'TB Grouping'!$O:$O)</f>
        <v>0</v>
      </c>
      <c r="S181" s="320">
        <f>SUMIF('Additional &amp; Presentation Entry'!Q:Q,masterTBCY[[#This Row],[Note Line]],'Additional &amp; Presentation Entry'!S:S)</f>
        <v>0</v>
      </c>
      <c r="T181" s="320">
        <f>SUMIF('Additional &amp; Presentation Entry'!X:X,masterTBCY[[#This Row],[Note Line]],'Additional &amp; Presentation Entry'!Z:Z)</f>
        <v>0</v>
      </c>
      <c r="U181" s="320">
        <f t="shared" si="10"/>
        <v>0</v>
      </c>
      <c r="V181" s="320">
        <f>U181/'Master Data'!$C$25</f>
        <v>0</v>
      </c>
      <c r="W181" s="400" t="str">
        <f t="shared" si="11"/>
        <v>Balance Sheet</v>
      </c>
    </row>
    <row r="182" spans="2:23" x14ac:dyDescent="0.3">
      <c r="B182" s="678">
        <f t="shared" si="8"/>
        <v>172</v>
      </c>
      <c r="C182" s="319" t="s">
        <v>1813</v>
      </c>
      <c r="D182" s="321" t="s">
        <v>1408</v>
      </c>
      <c r="E182" s="321" t="s">
        <v>1409</v>
      </c>
      <c r="F182" s="320">
        <f>+SUMIFS('TB Grouping'!F:F,'TB Grouping'!H:H,masterTBCY[[#This Row],[Note Line]])</f>
        <v>0</v>
      </c>
      <c r="G182" s="2562">
        <f ca="1">SUMIF('Additional &amp; Presentation Entry'!E:E,masterTBCY[[#This Row],[Note Line]],'Additional &amp; Presentation Entry'!G:G)</f>
        <v>0</v>
      </c>
      <c r="H182" s="2562">
        <f>SUMIF('Additional &amp; Presentation Entry'!L:L,masterTBCY[[#This Row],[Note Line]],'Additional &amp; Presentation Entry'!N:N)</f>
        <v>0</v>
      </c>
      <c r="I182" s="320">
        <f>+masterTBCY[[#This Row],[Amount as per TB]]+masterTBCY[[#This Row],[Presentation Entry]]</f>
        <v>0</v>
      </c>
      <c r="J182" s="320">
        <f>I182/'Master Data'!$C$25</f>
        <v>0</v>
      </c>
      <c r="K182" s="404" t="s">
        <v>1329</v>
      </c>
      <c r="N182" s="399">
        <v>172</v>
      </c>
      <c r="O182" s="319" t="s">
        <v>1813</v>
      </c>
      <c r="P182" s="321" t="s">
        <v>1408</v>
      </c>
      <c r="Q182" s="321" t="s">
        <v>1409</v>
      </c>
      <c r="R182" s="320">
        <f>SUMIF('TB Grouping'!$Q:$Q,'Master TB'!P182,'TB Grouping'!$O:$O)</f>
        <v>0</v>
      </c>
      <c r="S182" s="320">
        <f>SUMIF('Additional &amp; Presentation Entry'!Q:Q,masterTBCY[[#This Row],[Note Line]],'Additional &amp; Presentation Entry'!S:S)</f>
        <v>0</v>
      </c>
      <c r="T182" s="320">
        <f>SUMIF('Additional &amp; Presentation Entry'!X:X,masterTBCY[[#This Row],[Note Line]],'Additional &amp; Presentation Entry'!Z:Z)</f>
        <v>0</v>
      </c>
      <c r="U182" s="320">
        <f t="shared" si="10"/>
        <v>0</v>
      </c>
      <c r="V182" s="320">
        <f>U182/'Master Data'!$C$25</f>
        <v>0</v>
      </c>
      <c r="W182" s="400" t="str">
        <f t="shared" si="11"/>
        <v>Balance Sheet</v>
      </c>
    </row>
    <row r="183" spans="2:23" x14ac:dyDescent="0.3">
      <c r="B183" s="678">
        <f t="shared" si="8"/>
        <v>173</v>
      </c>
      <c r="C183" s="319" t="s">
        <v>1813</v>
      </c>
      <c r="D183" s="321" t="s">
        <v>1410</v>
      </c>
      <c r="E183" s="321" t="s">
        <v>1411</v>
      </c>
      <c r="F183" s="320">
        <f>+SUMIFS('TB Grouping'!F:F,'TB Grouping'!H:H,masterTBCY[[#This Row],[Note Line]])</f>
        <v>0</v>
      </c>
      <c r="G183" s="2562">
        <f ca="1">SUMIF('Additional &amp; Presentation Entry'!E:E,masterTBCY[[#This Row],[Note Line]],'Additional &amp; Presentation Entry'!G:G)</f>
        <v>0</v>
      </c>
      <c r="H183" s="2562">
        <f>SUMIF('Additional &amp; Presentation Entry'!L:L,masterTBCY[[#This Row],[Note Line]],'Additional &amp; Presentation Entry'!N:N)</f>
        <v>0</v>
      </c>
      <c r="I183" s="320">
        <f>+masterTBCY[[#This Row],[Amount as per TB]]+masterTBCY[[#This Row],[Presentation Entry]]</f>
        <v>0</v>
      </c>
      <c r="J183" s="320">
        <f>I183/'Master Data'!$C$25</f>
        <v>0</v>
      </c>
      <c r="K183" s="404" t="s">
        <v>1329</v>
      </c>
      <c r="N183" s="399">
        <v>173</v>
      </c>
      <c r="O183" s="319" t="s">
        <v>1813</v>
      </c>
      <c r="P183" s="321" t="s">
        <v>1410</v>
      </c>
      <c r="Q183" s="321" t="s">
        <v>1411</v>
      </c>
      <c r="R183" s="320">
        <f>SUMIF('TB Grouping'!$Q:$Q,'Master TB'!P183,'TB Grouping'!$O:$O)</f>
        <v>0</v>
      </c>
      <c r="S183" s="320">
        <f>SUMIF('Additional &amp; Presentation Entry'!Q:Q,masterTBCY[[#This Row],[Note Line]],'Additional &amp; Presentation Entry'!S:S)</f>
        <v>0</v>
      </c>
      <c r="T183" s="320">
        <f>SUMIF('Additional &amp; Presentation Entry'!X:X,masterTBCY[[#This Row],[Note Line]],'Additional &amp; Presentation Entry'!Z:Z)</f>
        <v>0</v>
      </c>
      <c r="U183" s="320">
        <f t="shared" si="10"/>
        <v>0</v>
      </c>
      <c r="V183" s="320">
        <f>U183/'Master Data'!$C$25</f>
        <v>0</v>
      </c>
      <c r="W183" s="400" t="str">
        <f t="shared" si="11"/>
        <v>Balance Sheet</v>
      </c>
    </row>
    <row r="184" spans="2:23" x14ac:dyDescent="0.3">
      <c r="B184" s="678">
        <f t="shared" si="8"/>
        <v>174</v>
      </c>
      <c r="C184" s="319" t="s">
        <v>1813</v>
      </c>
      <c r="D184" s="321" t="s">
        <v>1412</v>
      </c>
      <c r="E184" s="321" t="s">
        <v>1413</v>
      </c>
      <c r="F184" s="320">
        <f>+SUMIFS('TB Grouping'!F:F,'TB Grouping'!H:H,masterTBCY[[#This Row],[Note Line]])</f>
        <v>0</v>
      </c>
      <c r="G184" s="2562">
        <f ca="1">SUMIF('Additional &amp; Presentation Entry'!E:E,masterTBCY[[#This Row],[Note Line]],'Additional &amp; Presentation Entry'!G:G)</f>
        <v>0</v>
      </c>
      <c r="H184" s="2562">
        <f>SUMIF('Additional &amp; Presentation Entry'!L:L,masterTBCY[[#This Row],[Note Line]],'Additional &amp; Presentation Entry'!N:N)</f>
        <v>0</v>
      </c>
      <c r="I184" s="320">
        <f>+masterTBCY[[#This Row],[Amount as per TB]]+masterTBCY[[#This Row],[Presentation Entry]]</f>
        <v>0</v>
      </c>
      <c r="J184" s="320">
        <f>I184/'Master Data'!$C$25</f>
        <v>0</v>
      </c>
      <c r="K184" s="404" t="s">
        <v>1329</v>
      </c>
      <c r="N184" s="399">
        <v>174</v>
      </c>
      <c r="O184" s="319" t="s">
        <v>1813</v>
      </c>
      <c r="P184" s="321" t="s">
        <v>1412</v>
      </c>
      <c r="Q184" s="321" t="s">
        <v>1413</v>
      </c>
      <c r="R184" s="320">
        <f>SUMIF('TB Grouping'!$Q:$Q,'Master TB'!P184,'TB Grouping'!$O:$O)</f>
        <v>0</v>
      </c>
      <c r="S184" s="320">
        <f>SUMIF('Additional &amp; Presentation Entry'!Q:Q,masterTBCY[[#This Row],[Note Line]],'Additional &amp; Presentation Entry'!S:S)</f>
        <v>0</v>
      </c>
      <c r="T184" s="320">
        <f>SUMIF('Additional &amp; Presentation Entry'!X:X,masterTBCY[[#This Row],[Note Line]],'Additional &amp; Presentation Entry'!Z:Z)</f>
        <v>0</v>
      </c>
      <c r="U184" s="320">
        <f t="shared" si="10"/>
        <v>0</v>
      </c>
      <c r="V184" s="320">
        <f>U184/'Master Data'!$C$25</f>
        <v>0</v>
      </c>
      <c r="W184" s="400" t="str">
        <f t="shared" si="11"/>
        <v>Balance Sheet</v>
      </c>
    </row>
    <row r="185" spans="2:23" x14ac:dyDescent="0.3">
      <c r="B185" s="678">
        <f t="shared" si="8"/>
        <v>175</v>
      </c>
      <c r="C185" s="319" t="s">
        <v>1813</v>
      </c>
      <c r="D185" s="321" t="s">
        <v>1414</v>
      </c>
      <c r="E185" s="321" t="s">
        <v>1415</v>
      </c>
      <c r="F185" s="320">
        <f>+SUMIFS('TB Grouping'!F:F,'TB Grouping'!H:H,masterTBCY[[#This Row],[Note Line]])</f>
        <v>0</v>
      </c>
      <c r="G185" s="2562">
        <f ca="1">SUMIF('Additional &amp; Presentation Entry'!E:E,masterTBCY[[#This Row],[Note Line]],'Additional &amp; Presentation Entry'!G:G)</f>
        <v>0</v>
      </c>
      <c r="H185" s="2562">
        <f>SUMIF('Additional &amp; Presentation Entry'!L:L,masterTBCY[[#This Row],[Note Line]],'Additional &amp; Presentation Entry'!N:N)</f>
        <v>0</v>
      </c>
      <c r="I185" s="320">
        <f>+masterTBCY[[#This Row],[Amount as per TB]]+masterTBCY[[#This Row],[Presentation Entry]]</f>
        <v>0</v>
      </c>
      <c r="J185" s="320">
        <f>I185/'Master Data'!$C$25</f>
        <v>0</v>
      </c>
      <c r="K185" s="404" t="s">
        <v>1329</v>
      </c>
      <c r="N185" s="399">
        <v>175</v>
      </c>
      <c r="O185" s="319" t="s">
        <v>1813</v>
      </c>
      <c r="P185" s="321" t="s">
        <v>1414</v>
      </c>
      <c r="Q185" s="321" t="s">
        <v>1415</v>
      </c>
      <c r="R185" s="320">
        <f>SUMIF('TB Grouping'!$Q:$Q,'Master TB'!P185,'TB Grouping'!$O:$O)</f>
        <v>0</v>
      </c>
      <c r="S185" s="320">
        <f>SUMIF('Additional &amp; Presentation Entry'!Q:Q,masterTBCY[[#This Row],[Note Line]],'Additional &amp; Presentation Entry'!S:S)</f>
        <v>0</v>
      </c>
      <c r="T185" s="320">
        <f>SUMIF('Additional &amp; Presentation Entry'!X:X,masterTBCY[[#This Row],[Note Line]],'Additional &amp; Presentation Entry'!Z:Z)</f>
        <v>0</v>
      </c>
      <c r="U185" s="320">
        <f t="shared" si="10"/>
        <v>0</v>
      </c>
      <c r="V185" s="320">
        <f>U185/'Master Data'!$C$25</f>
        <v>0</v>
      </c>
      <c r="W185" s="400" t="str">
        <f t="shared" si="11"/>
        <v>Balance Sheet</v>
      </c>
    </row>
    <row r="186" spans="2:23" x14ac:dyDescent="0.3">
      <c r="B186" s="678">
        <f t="shared" si="8"/>
        <v>176</v>
      </c>
      <c r="C186" s="319" t="s">
        <v>1813</v>
      </c>
      <c r="D186" s="321" t="s">
        <v>1416</v>
      </c>
      <c r="E186" s="321" t="s">
        <v>1417</v>
      </c>
      <c r="F186" s="320">
        <f>+SUMIFS('TB Grouping'!F:F,'TB Grouping'!H:H,masterTBCY[[#This Row],[Note Line]])</f>
        <v>0</v>
      </c>
      <c r="G186" s="2562">
        <f ca="1">SUMIF('Additional &amp; Presentation Entry'!E:E,masterTBCY[[#This Row],[Note Line]],'Additional &amp; Presentation Entry'!G:G)</f>
        <v>0</v>
      </c>
      <c r="H186" s="2562">
        <f>SUMIF('Additional &amp; Presentation Entry'!L:L,masterTBCY[[#This Row],[Note Line]],'Additional &amp; Presentation Entry'!N:N)</f>
        <v>0</v>
      </c>
      <c r="I186" s="320">
        <f>+masterTBCY[[#This Row],[Amount as per TB]]+masterTBCY[[#This Row],[Presentation Entry]]</f>
        <v>0</v>
      </c>
      <c r="J186" s="320">
        <f>I186/'Master Data'!$C$25</f>
        <v>0</v>
      </c>
      <c r="K186" s="404" t="s">
        <v>1329</v>
      </c>
      <c r="N186" s="399">
        <v>176</v>
      </c>
      <c r="O186" s="319" t="s">
        <v>1813</v>
      </c>
      <c r="P186" s="321" t="s">
        <v>1416</v>
      </c>
      <c r="Q186" s="321" t="s">
        <v>1417</v>
      </c>
      <c r="R186" s="320">
        <f>SUMIF('TB Grouping'!$Q:$Q,'Master TB'!P186,'TB Grouping'!$O:$O)</f>
        <v>0</v>
      </c>
      <c r="S186" s="320">
        <f>SUMIF('Additional &amp; Presentation Entry'!Q:Q,masterTBCY[[#This Row],[Note Line]],'Additional &amp; Presentation Entry'!S:S)</f>
        <v>0</v>
      </c>
      <c r="T186" s="320">
        <f>SUMIF('Additional &amp; Presentation Entry'!X:X,masterTBCY[[#This Row],[Note Line]],'Additional &amp; Presentation Entry'!Z:Z)</f>
        <v>0</v>
      </c>
      <c r="U186" s="320">
        <f t="shared" si="10"/>
        <v>0</v>
      </c>
      <c r="V186" s="320">
        <f>U186/'Master Data'!$C$25</f>
        <v>0</v>
      </c>
      <c r="W186" s="400" t="str">
        <f t="shared" si="11"/>
        <v>Balance Sheet</v>
      </c>
    </row>
    <row r="187" spans="2:23" x14ac:dyDescent="0.3">
      <c r="B187" s="678">
        <f t="shared" si="8"/>
        <v>177</v>
      </c>
      <c r="C187" s="319" t="s">
        <v>1813</v>
      </c>
      <c r="D187" s="321" t="s">
        <v>1418</v>
      </c>
      <c r="E187" s="321" t="s">
        <v>1419</v>
      </c>
      <c r="F187" s="320">
        <f>+SUMIFS('TB Grouping'!F:F,'TB Grouping'!H:H,masterTBCY[[#This Row],[Note Line]])</f>
        <v>0</v>
      </c>
      <c r="G187" s="2562">
        <f ca="1">SUMIF('Additional &amp; Presentation Entry'!E:E,masterTBCY[[#This Row],[Note Line]],'Additional &amp; Presentation Entry'!G:G)</f>
        <v>0</v>
      </c>
      <c r="H187" s="2562">
        <f>SUMIF('Additional &amp; Presentation Entry'!L:L,masterTBCY[[#This Row],[Note Line]],'Additional &amp; Presentation Entry'!N:N)</f>
        <v>0</v>
      </c>
      <c r="I187" s="320">
        <f>+masterTBCY[[#This Row],[Amount as per TB]]+masterTBCY[[#This Row],[Presentation Entry]]</f>
        <v>0</v>
      </c>
      <c r="J187" s="320">
        <f>I187/'Master Data'!$C$25</f>
        <v>0</v>
      </c>
      <c r="K187" s="404" t="s">
        <v>1329</v>
      </c>
      <c r="N187" s="399">
        <v>177</v>
      </c>
      <c r="O187" s="319" t="s">
        <v>1813</v>
      </c>
      <c r="P187" s="321" t="s">
        <v>1418</v>
      </c>
      <c r="Q187" s="321" t="s">
        <v>1419</v>
      </c>
      <c r="R187" s="320">
        <f>SUMIF('TB Grouping'!$Q:$Q,'Master TB'!P187,'TB Grouping'!$O:$O)</f>
        <v>0</v>
      </c>
      <c r="S187" s="320">
        <f>SUMIF('Additional &amp; Presentation Entry'!Q:Q,masterTBCY[[#This Row],[Note Line]],'Additional &amp; Presentation Entry'!S:S)</f>
        <v>0</v>
      </c>
      <c r="T187" s="320">
        <f>SUMIF('Additional &amp; Presentation Entry'!X:X,masterTBCY[[#This Row],[Note Line]],'Additional &amp; Presentation Entry'!Z:Z)</f>
        <v>0</v>
      </c>
      <c r="U187" s="320">
        <f t="shared" si="10"/>
        <v>0</v>
      </c>
      <c r="V187" s="320">
        <f>U187/'Master Data'!$C$25</f>
        <v>0</v>
      </c>
      <c r="W187" s="400" t="str">
        <f t="shared" si="11"/>
        <v>Balance Sheet</v>
      </c>
    </row>
    <row r="188" spans="2:23" x14ac:dyDescent="0.3">
      <c r="B188" s="678">
        <f t="shared" si="8"/>
        <v>178</v>
      </c>
      <c r="C188" s="319" t="s">
        <v>363</v>
      </c>
      <c r="D188" s="321" t="s">
        <v>1420</v>
      </c>
      <c r="E188" s="321" t="s">
        <v>1421</v>
      </c>
      <c r="F188" s="320">
        <f>+SUMIFS('TB Grouping'!F:F,'TB Grouping'!H:H,masterTBCY[[#This Row],[Note Line]])</f>
        <v>0</v>
      </c>
      <c r="G188" s="2562">
        <f ca="1">SUMIF('Additional &amp; Presentation Entry'!E:E,masterTBCY[[#This Row],[Note Line]],'Additional &amp; Presentation Entry'!G:G)</f>
        <v>0</v>
      </c>
      <c r="H188" s="2562">
        <f>SUMIF('Additional &amp; Presentation Entry'!L:L,masterTBCY[[#This Row],[Note Line]],'Additional &amp; Presentation Entry'!N:N)</f>
        <v>0</v>
      </c>
      <c r="I188" s="320">
        <f>+masterTBCY[[#This Row],[Amount as per TB]]+masterTBCY[[#This Row],[Presentation Entry]]</f>
        <v>0</v>
      </c>
      <c r="J188" s="320">
        <f>I188/'Master Data'!$C$25</f>
        <v>0</v>
      </c>
      <c r="K188" s="404" t="s">
        <v>1329</v>
      </c>
      <c r="N188" s="399">
        <v>178</v>
      </c>
      <c r="O188" s="319" t="s">
        <v>363</v>
      </c>
      <c r="P188" s="321" t="s">
        <v>1420</v>
      </c>
      <c r="Q188" s="321" t="s">
        <v>1421</v>
      </c>
      <c r="R188" s="320">
        <f>SUMIF('TB Grouping'!$Q:$Q,'Master TB'!P188,'TB Grouping'!$O:$O)</f>
        <v>0</v>
      </c>
      <c r="S188" s="320">
        <f>SUMIF('Additional &amp; Presentation Entry'!Q:Q,masterTBCY[[#This Row],[Note Line]],'Additional &amp; Presentation Entry'!S:S)</f>
        <v>0</v>
      </c>
      <c r="T188" s="320">
        <f>SUMIF('Additional &amp; Presentation Entry'!X:X,masterTBCY[[#This Row],[Note Line]],'Additional &amp; Presentation Entry'!Z:Z)</f>
        <v>0</v>
      </c>
      <c r="U188" s="320">
        <f t="shared" si="10"/>
        <v>0</v>
      </c>
      <c r="V188" s="320">
        <f>U188/'Master Data'!$C$25</f>
        <v>0</v>
      </c>
      <c r="W188" s="400" t="str">
        <f t="shared" si="11"/>
        <v>Balance Sheet</v>
      </c>
    </row>
    <row r="189" spans="2:23" x14ac:dyDescent="0.3">
      <c r="B189" s="678">
        <f t="shared" si="8"/>
        <v>179</v>
      </c>
      <c r="C189" s="319" t="s">
        <v>363</v>
      </c>
      <c r="D189" s="321" t="s">
        <v>1422</v>
      </c>
      <c r="E189" s="321" t="s">
        <v>1423</v>
      </c>
      <c r="F189" s="320">
        <f>+SUMIFS('TB Grouping'!F:F,'TB Grouping'!H:H,masterTBCY[[#This Row],[Note Line]])</f>
        <v>0</v>
      </c>
      <c r="G189" s="2562">
        <f ca="1">SUMIF('Additional &amp; Presentation Entry'!E:E,masterTBCY[[#This Row],[Note Line]],'Additional &amp; Presentation Entry'!G:G)</f>
        <v>0</v>
      </c>
      <c r="H189" s="2562">
        <f>SUMIF('Additional &amp; Presentation Entry'!L:L,masterTBCY[[#This Row],[Note Line]],'Additional &amp; Presentation Entry'!N:N)</f>
        <v>0</v>
      </c>
      <c r="I189" s="320">
        <f>+masterTBCY[[#This Row],[Amount as per TB]]+masterTBCY[[#This Row],[Presentation Entry]]</f>
        <v>0</v>
      </c>
      <c r="J189" s="320">
        <f>I189/'Master Data'!$C$25</f>
        <v>0</v>
      </c>
      <c r="K189" s="404" t="s">
        <v>1329</v>
      </c>
      <c r="N189" s="399">
        <v>179</v>
      </c>
      <c r="O189" s="319" t="s">
        <v>363</v>
      </c>
      <c r="P189" s="321" t="s">
        <v>1422</v>
      </c>
      <c r="Q189" s="321" t="s">
        <v>1423</v>
      </c>
      <c r="R189" s="320">
        <f>SUMIF('TB Grouping'!$Q:$Q,'Master TB'!P189,'TB Grouping'!$O:$O)</f>
        <v>0</v>
      </c>
      <c r="S189" s="320">
        <f>SUMIF('Additional &amp; Presentation Entry'!Q:Q,masterTBCY[[#This Row],[Note Line]],'Additional &amp; Presentation Entry'!S:S)</f>
        <v>0</v>
      </c>
      <c r="T189" s="320">
        <f>SUMIF('Additional &amp; Presentation Entry'!X:X,masterTBCY[[#This Row],[Note Line]],'Additional &amp; Presentation Entry'!Z:Z)</f>
        <v>0</v>
      </c>
      <c r="U189" s="320">
        <f t="shared" si="10"/>
        <v>0</v>
      </c>
      <c r="V189" s="320">
        <f>U189/'Master Data'!$C$25</f>
        <v>0</v>
      </c>
      <c r="W189" s="400" t="str">
        <f t="shared" si="11"/>
        <v>Balance Sheet</v>
      </c>
    </row>
    <row r="190" spans="2:23" x14ac:dyDescent="0.3">
      <c r="B190" s="678">
        <f t="shared" si="8"/>
        <v>180</v>
      </c>
      <c r="C190" s="319" t="s">
        <v>363</v>
      </c>
      <c r="D190" s="321" t="s">
        <v>1424</v>
      </c>
      <c r="E190" s="321" t="s">
        <v>1425</v>
      </c>
      <c r="F190" s="320">
        <f>+SUMIFS('TB Grouping'!F:F,'TB Grouping'!H:H,masterTBCY[[#This Row],[Note Line]])</f>
        <v>0</v>
      </c>
      <c r="G190" s="2562">
        <f ca="1">SUMIF('Additional &amp; Presentation Entry'!E:E,masterTBCY[[#This Row],[Note Line]],'Additional &amp; Presentation Entry'!G:G)</f>
        <v>0</v>
      </c>
      <c r="H190" s="2562">
        <f>SUMIF('Additional &amp; Presentation Entry'!L:L,masterTBCY[[#This Row],[Note Line]],'Additional &amp; Presentation Entry'!N:N)</f>
        <v>0</v>
      </c>
      <c r="I190" s="320">
        <f>+masterTBCY[[#This Row],[Amount as per TB]]+masterTBCY[[#This Row],[Presentation Entry]]</f>
        <v>0</v>
      </c>
      <c r="J190" s="320">
        <f>I190/'Master Data'!$C$25</f>
        <v>0</v>
      </c>
      <c r="K190" s="404" t="s">
        <v>1329</v>
      </c>
      <c r="N190" s="399">
        <v>180</v>
      </c>
      <c r="O190" s="319" t="s">
        <v>363</v>
      </c>
      <c r="P190" s="321" t="s">
        <v>1424</v>
      </c>
      <c r="Q190" s="321" t="s">
        <v>1425</v>
      </c>
      <c r="R190" s="320">
        <f>SUMIF('TB Grouping'!$Q:$Q,'Master TB'!P190,'TB Grouping'!$O:$O)</f>
        <v>0</v>
      </c>
      <c r="S190" s="320">
        <f>SUMIF('Additional &amp; Presentation Entry'!Q:Q,masterTBCY[[#This Row],[Note Line]],'Additional &amp; Presentation Entry'!S:S)</f>
        <v>0</v>
      </c>
      <c r="T190" s="320">
        <f>SUMIF('Additional &amp; Presentation Entry'!X:X,masterTBCY[[#This Row],[Note Line]],'Additional &amp; Presentation Entry'!Z:Z)</f>
        <v>0</v>
      </c>
      <c r="U190" s="320">
        <f t="shared" si="10"/>
        <v>0</v>
      </c>
      <c r="V190" s="320">
        <f>U190/'Master Data'!$C$25</f>
        <v>0</v>
      </c>
      <c r="W190" s="400" t="str">
        <f t="shared" si="11"/>
        <v>Balance Sheet</v>
      </c>
    </row>
    <row r="191" spans="2:23" x14ac:dyDescent="0.3">
      <c r="B191" s="678">
        <f t="shared" si="8"/>
        <v>181</v>
      </c>
      <c r="C191" s="319" t="s">
        <v>363</v>
      </c>
      <c r="D191" s="321" t="s">
        <v>1426</v>
      </c>
      <c r="E191" s="321" t="s">
        <v>1427</v>
      </c>
      <c r="F191" s="320">
        <f>+SUMIFS('TB Grouping'!F:F,'TB Grouping'!H:H,masterTBCY[[#This Row],[Note Line]])</f>
        <v>0</v>
      </c>
      <c r="G191" s="2562">
        <f ca="1">SUMIF('Additional &amp; Presentation Entry'!E:E,masterTBCY[[#This Row],[Note Line]],'Additional &amp; Presentation Entry'!G:G)</f>
        <v>0</v>
      </c>
      <c r="H191" s="2562">
        <f>SUMIF('Additional &amp; Presentation Entry'!L:L,masterTBCY[[#This Row],[Note Line]],'Additional &amp; Presentation Entry'!N:N)</f>
        <v>0</v>
      </c>
      <c r="I191" s="320">
        <f>+masterTBCY[[#This Row],[Amount as per TB]]+masterTBCY[[#This Row],[Presentation Entry]]</f>
        <v>0</v>
      </c>
      <c r="J191" s="320">
        <f>I191/'Master Data'!$C$25</f>
        <v>0</v>
      </c>
      <c r="K191" s="404" t="s">
        <v>1329</v>
      </c>
      <c r="N191" s="399">
        <v>181</v>
      </c>
      <c r="O191" s="319" t="s">
        <v>363</v>
      </c>
      <c r="P191" s="321" t="s">
        <v>1426</v>
      </c>
      <c r="Q191" s="321" t="s">
        <v>1427</v>
      </c>
      <c r="R191" s="320">
        <f>SUMIF('TB Grouping'!$Q:$Q,'Master TB'!P191,'TB Grouping'!$O:$O)</f>
        <v>0</v>
      </c>
      <c r="S191" s="320">
        <f>SUMIF('Additional &amp; Presentation Entry'!Q:Q,masterTBCY[[#This Row],[Note Line]],'Additional &amp; Presentation Entry'!S:S)</f>
        <v>0</v>
      </c>
      <c r="T191" s="320">
        <f>SUMIF('Additional &amp; Presentation Entry'!X:X,masterTBCY[[#This Row],[Note Line]],'Additional &amp; Presentation Entry'!Z:Z)</f>
        <v>0</v>
      </c>
      <c r="U191" s="320">
        <f t="shared" si="10"/>
        <v>0</v>
      </c>
      <c r="V191" s="320">
        <f>U191/'Master Data'!$C$25</f>
        <v>0</v>
      </c>
      <c r="W191" s="400" t="str">
        <f t="shared" si="11"/>
        <v>Balance Sheet</v>
      </c>
    </row>
    <row r="192" spans="2:23" x14ac:dyDescent="0.3">
      <c r="B192" s="678">
        <f t="shared" si="8"/>
        <v>182</v>
      </c>
      <c r="C192" s="319" t="s">
        <v>363</v>
      </c>
      <c r="D192" s="321" t="s">
        <v>1428</v>
      </c>
      <c r="E192" s="321" t="s">
        <v>1429</v>
      </c>
      <c r="F192" s="320">
        <f>+SUMIFS('TB Grouping'!F:F,'TB Grouping'!H:H,masterTBCY[[#This Row],[Note Line]])</f>
        <v>0</v>
      </c>
      <c r="G192" s="2562">
        <f ca="1">SUMIF('Additional &amp; Presentation Entry'!E:E,masterTBCY[[#This Row],[Note Line]],'Additional &amp; Presentation Entry'!G:G)</f>
        <v>0</v>
      </c>
      <c r="H192" s="2562">
        <f>SUMIF('Additional &amp; Presentation Entry'!L:L,masterTBCY[[#This Row],[Note Line]],'Additional &amp; Presentation Entry'!N:N)</f>
        <v>0</v>
      </c>
      <c r="I192" s="320">
        <f>+masterTBCY[[#This Row],[Amount as per TB]]+masterTBCY[[#This Row],[Presentation Entry]]</f>
        <v>0</v>
      </c>
      <c r="J192" s="320">
        <f>I192/'Master Data'!$C$25</f>
        <v>0</v>
      </c>
      <c r="K192" s="404" t="s">
        <v>1329</v>
      </c>
      <c r="N192" s="399">
        <v>182</v>
      </c>
      <c r="O192" s="319" t="s">
        <v>363</v>
      </c>
      <c r="P192" s="321" t="s">
        <v>1428</v>
      </c>
      <c r="Q192" s="321" t="s">
        <v>1429</v>
      </c>
      <c r="R192" s="320">
        <f>SUMIF('TB Grouping'!$Q:$Q,'Master TB'!P192,'TB Grouping'!$O:$O)</f>
        <v>0</v>
      </c>
      <c r="S192" s="320">
        <f>SUMIF('Additional &amp; Presentation Entry'!Q:Q,masterTBCY[[#This Row],[Note Line]],'Additional &amp; Presentation Entry'!S:S)</f>
        <v>0</v>
      </c>
      <c r="T192" s="320">
        <f>SUMIF('Additional &amp; Presentation Entry'!X:X,masterTBCY[[#This Row],[Note Line]],'Additional &amp; Presentation Entry'!Z:Z)</f>
        <v>0</v>
      </c>
      <c r="U192" s="320">
        <f t="shared" si="10"/>
        <v>0</v>
      </c>
      <c r="V192" s="320">
        <f>U192/'Master Data'!$C$25</f>
        <v>0</v>
      </c>
      <c r="W192" s="400" t="str">
        <f t="shared" si="11"/>
        <v>Balance Sheet</v>
      </c>
    </row>
    <row r="193" spans="2:23" x14ac:dyDescent="0.3">
      <c r="B193" s="678">
        <f t="shared" si="8"/>
        <v>183</v>
      </c>
      <c r="C193" s="319" t="s">
        <v>363</v>
      </c>
      <c r="D193" s="321" t="s">
        <v>1430</v>
      </c>
      <c r="E193" s="321" t="s">
        <v>1431</v>
      </c>
      <c r="F193" s="320">
        <f>+SUMIFS('TB Grouping'!F:F,'TB Grouping'!H:H,masterTBCY[[#This Row],[Note Line]])</f>
        <v>0</v>
      </c>
      <c r="G193" s="2562">
        <f ca="1">SUMIF('Additional &amp; Presentation Entry'!E:E,masterTBCY[[#This Row],[Note Line]],'Additional &amp; Presentation Entry'!G:G)</f>
        <v>0</v>
      </c>
      <c r="H193" s="2562">
        <f>SUMIF('Additional &amp; Presentation Entry'!L:L,masterTBCY[[#This Row],[Note Line]],'Additional &amp; Presentation Entry'!N:N)</f>
        <v>0</v>
      </c>
      <c r="I193" s="320">
        <f>+masterTBCY[[#This Row],[Amount as per TB]]+masterTBCY[[#This Row],[Presentation Entry]]</f>
        <v>0</v>
      </c>
      <c r="J193" s="320">
        <f>I193/'Master Data'!$C$25</f>
        <v>0</v>
      </c>
      <c r="K193" s="404" t="s">
        <v>1329</v>
      </c>
      <c r="N193" s="399">
        <v>183</v>
      </c>
      <c r="O193" s="319" t="s">
        <v>363</v>
      </c>
      <c r="P193" s="321" t="s">
        <v>1430</v>
      </c>
      <c r="Q193" s="321" t="s">
        <v>1431</v>
      </c>
      <c r="R193" s="320">
        <f>SUMIF('TB Grouping'!$Q:$Q,'Master TB'!P193,'TB Grouping'!$O:$O)</f>
        <v>0</v>
      </c>
      <c r="S193" s="320">
        <f>SUMIF('Additional &amp; Presentation Entry'!Q:Q,masterTBCY[[#This Row],[Note Line]],'Additional &amp; Presentation Entry'!S:S)</f>
        <v>0</v>
      </c>
      <c r="T193" s="320">
        <f>SUMIF('Additional &amp; Presentation Entry'!X:X,masterTBCY[[#This Row],[Note Line]],'Additional &amp; Presentation Entry'!Z:Z)</f>
        <v>0</v>
      </c>
      <c r="U193" s="320">
        <f t="shared" si="10"/>
        <v>0</v>
      </c>
      <c r="V193" s="320">
        <f>U193/'Master Data'!$C$25</f>
        <v>0</v>
      </c>
      <c r="W193" s="400" t="str">
        <f t="shared" si="11"/>
        <v>Balance Sheet</v>
      </c>
    </row>
    <row r="194" spans="2:23" x14ac:dyDescent="0.3">
      <c r="B194" s="678">
        <f t="shared" si="8"/>
        <v>184</v>
      </c>
      <c r="C194" s="319" t="s">
        <v>363</v>
      </c>
      <c r="D194" s="321" t="s">
        <v>1432</v>
      </c>
      <c r="E194" s="321" t="s">
        <v>1433</v>
      </c>
      <c r="F194" s="320">
        <f>+SUMIFS('TB Grouping'!F:F,'TB Grouping'!H:H,masterTBCY[[#This Row],[Note Line]])</f>
        <v>0</v>
      </c>
      <c r="G194" s="2562">
        <f ca="1">SUMIF('Additional &amp; Presentation Entry'!E:E,masterTBCY[[#This Row],[Note Line]],'Additional &amp; Presentation Entry'!G:G)</f>
        <v>0</v>
      </c>
      <c r="H194" s="2562">
        <f>SUMIF('Additional &amp; Presentation Entry'!L:L,masterTBCY[[#This Row],[Note Line]],'Additional &amp; Presentation Entry'!N:N)</f>
        <v>0</v>
      </c>
      <c r="I194" s="320">
        <f>+masterTBCY[[#This Row],[Amount as per TB]]+masterTBCY[[#This Row],[Presentation Entry]]</f>
        <v>0</v>
      </c>
      <c r="J194" s="320">
        <f>I194/'Master Data'!$C$25</f>
        <v>0</v>
      </c>
      <c r="K194" s="404" t="s">
        <v>1329</v>
      </c>
      <c r="N194" s="399">
        <v>184</v>
      </c>
      <c r="O194" s="319" t="s">
        <v>363</v>
      </c>
      <c r="P194" s="321" t="s">
        <v>1432</v>
      </c>
      <c r="Q194" s="321" t="s">
        <v>1433</v>
      </c>
      <c r="R194" s="320">
        <f>SUMIF('TB Grouping'!$Q:$Q,'Master TB'!P194,'TB Grouping'!$O:$O)</f>
        <v>0</v>
      </c>
      <c r="S194" s="320">
        <f>SUMIF('Additional &amp; Presentation Entry'!Q:Q,masterTBCY[[#This Row],[Note Line]],'Additional &amp; Presentation Entry'!S:S)</f>
        <v>0</v>
      </c>
      <c r="T194" s="320">
        <f>SUMIF('Additional &amp; Presentation Entry'!X:X,masterTBCY[[#This Row],[Note Line]],'Additional &amp; Presentation Entry'!Z:Z)</f>
        <v>0</v>
      </c>
      <c r="U194" s="320">
        <f t="shared" si="10"/>
        <v>0</v>
      </c>
      <c r="V194" s="320">
        <f>U194/'Master Data'!$C$25</f>
        <v>0</v>
      </c>
      <c r="W194" s="400" t="str">
        <f t="shared" si="11"/>
        <v>Balance Sheet</v>
      </c>
    </row>
    <row r="195" spans="2:23" x14ac:dyDescent="0.3">
      <c r="B195" s="678">
        <f t="shared" si="8"/>
        <v>185</v>
      </c>
      <c r="C195" s="319" t="s">
        <v>363</v>
      </c>
      <c r="D195" s="321" t="s">
        <v>1657</v>
      </c>
      <c r="E195" s="321" t="s">
        <v>1434</v>
      </c>
      <c r="F195" s="320">
        <f>+SUMIFS('TB Grouping'!F:F,'TB Grouping'!H:H,masterTBCY[[#This Row],[Note Line]])</f>
        <v>0</v>
      </c>
      <c r="G195" s="2562">
        <f ca="1">SUMIF('Additional &amp; Presentation Entry'!E:E,masterTBCY[[#This Row],[Note Line]],'Additional &amp; Presentation Entry'!G:G)</f>
        <v>0</v>
      </c>
      <c r="H195" s="2562">
        <f>SUMIF('Additional &amp; Presentation Entry'!L:L,masterTBCY[[#This Row],[Note Line]],'Additional &amp; Presentation Entry'!N:N)</f>
        <v>0</v>
      </c>
      <c r="I195" s="320">
        <f>+masterTBCY[[#This Row],[Amount as per TB]]+masterTBCY[[#This Row],[Presentation Entry]]</f>
        <v>0</v>
      </c>
      <c r="J195" s="320">
        <f>I195/'Master Data'!$C$25</f>
        <v>0</v>
      </c>
      <c r="K195" s="404" t="s">
        <v>1329</v>
      </c>
      <c r="N195" s="399">
        <v>185</v>
      </c>
      <c r="O195" s="319" t="s">
        <v>363</v>
      </c>
      <c r="P195" s="321" t="s">
        <v>1657</v>
      </c>
      <c r="Q195" s="321" t="s">
        <v>1434</v>
      </c>
      <c r="R195" s="320">
        <f>SUMIF('TB Grouping'!$Q:$Q,'Master TB'!P195,'TB Grouping'!$O:$O)</f>
        <v>0</v>
      </c>
      <c r="S195" s="320">
        <f>SUMIF('Additional &amp; Presentation Entry'!Q:Q,masterTBCY[[#This Row],[Note Line]],'Additional &amp; Presentation Entry'!S:S)</f>
        <v>0</v>
      </c>
      <c r="T195" s="320">
        <f>SUMIF('Additional &amp; Presentation Entry'!X:X,masterTBCY[[#This Row],[Note Line]],'Additional &amp; Presentation Entry'!Z:Z)</f>
        <v>0</v>
      </c>
      <c r="U195" s="320">
        <f t="shared" si="10"/>
        <v>0</v>
      </c>
      <c r="V195" s="320">
        <f>U195/'Master Data'!$C$25</f>
        <v>0</v>
      </c>
      <c r="W195" s="400" t="str">
        <f t="shared" si="11"/>
        <v>Balance Sheet</v>
      </c>
    </row>
    <row r="196" spans="2:23" x14ac:dyDescent="0.3">
      <c r="B196" s="678">
        <f t="shared" si="8"/>
        <v>186</v>
      </c>
      <c r="C196" s="319" t="s">
        <v>363</v>
      </c>
      <c r="D196" s="321" t="s">
        <v>1653</v>
      </c>
      <c r="E196" s="321" t="s">
        <v>1658</v>
      </c>
      <c r="F196" s="320">
        <f>+SUMIFS('TB Grouping'!F:F,'TB Grouping'!H:H,masterTBCY[[#This Row],[Note Line]])</f>
        <v>0</v>
      </c>
      <c r="G196" s="2562">
        <f ca="1">SUMIF('Additional &amp; Presentation Entry'!E:E,masterTBCY[[#This Row],[Note Line]],'Additional &amp; Presentation Entry'!G:G)</f>
        <v>0</v>
      </c>
      <c r="H196" s="2562">
        <f>SUMIF('Additional &amp; Presentation Entry'!L:L,masterTBCY[[#This Row],[Note Line]],'Additional &amp; Presentation Entry'!N:N)</f>
        <v>0</v>
      </c>
      <c r="I196" s="320">
        <f>+masterTBCY[[#This Row],[Amount as per TB]]+masterTBCY[[#This Row],[Presentation Entry]]</f>
        <v>0</v>
      </c>
      <c r="J196" s="320">
        <f>I196/'Master Data'!$C$25</f>
        <v>0</v>
      </c>
      <c r="K196" s="404" t="s">
        <v>1329</v>
      </c>
      <c r="N196" s="399">
        <v>186</v>
      </c>
      <c r="O196" s="319" t="s">
        <v>363</v>
      </c>
      <c r="P196" s="321" t="s">
        <v>1653</v>
      </c>
      <c r="Q196" s="321" t="s">
        <v>1658</v>
      </c>
      <c r="R196" s="320">
        <f>SUMIF('TB Grouping'!$Q:$Q,'Master TB'!P196,'TB Grouping'!$O:$O)</f>
        <v>0</v>
      </c>
      <c r="S196" s="320">
        <f>SUMIF('Additional &amp; Presentation Entry'!Q:Q,masterTBCY[[#This Row],[Note Line]],'Additional &amp; Presentation Entry'!S:S)</f>
        <v>0</v>
      </c>
      <c r="T196" s="320">
        <f>SUMIF('Additional &amp; Presentation Entry'!X:X,masterTBCY[[#This Row],[Note Line]],'Additional &amp; Presentation Entry'!Z:Z)</f>
        <v>0</v>
      </c>
      <c r="U196" s="320">
        <f t="shared" si="10"/>
        <v>0</v>
      </c>
      <c r="V196" s="320">
        <f>U196/'Master Data'!$C$25</f>
        <v>0</v>
      </c>
      <c r="W196" s="400" t="str">
        <f t="shared" si="11"/>
        <v>Balance Sheet</v>
      </c>
    </row>
    <row r="197" spans="2:23" x14ac:dyDescent="0.3">
      <c r="B197" s="678">
        <f t="shared" si="8"/>
        <v>187</v>
      </c>
      <c r="C197" s="319" t="s">
        <v>363</v>
      </c>
      <c r="D197" s="321" t="s">
        <v>1654</v>
      </c>
      <c r="E197" s="321" t="s">
        <v>1659</v>
      </c>
      <c r="F197" s="320">
        <f>+SUMIFS('TB Grouping'!F:F,'TB Grouping'!H:H,masterTBCY[[#This Row],[Note Line]])</f>
        <v>0</v>
      </c>
      <c r="G197" s="2562">
        <f ca="1">SUMIF('Additional &amp; Presentation Entry'!E:E,masterTBCY[[#This Row],[Note Line]],'Additional &amp; Presentation Entry'!G:G)</f>
        <v>0</v>
      </c>
      <c r="H197" s="2562">
        <f>SUMIF('Additional &amp; Presentation Entry'!L:L,masterTBCY[[#This Row],[Note Line]],'Additional &amp; Presentation Entry'!N:N)</f>
        <v>0</v>
      </c>
      <c r="I197" s="320">
        <f>+masterTBCY[[#This Row],[Amount as per TB]]+masterTBCY[[#This Row],[Presentation Entry]]</f>
        <v>0</v>
      </c>
      <c r="J197" s="320">
        <f>I197/'Master Data'!$C$25</f>
        <v>0</v>
      </c>
      <c r="K197" s="404" t="s">
        <v>1329</v>
      </c>
      <c r="N197" s="399">
        <v>187</v>
      </c>
      <c r="O197" s="319" t="s">
        <v>363</v>
      </c>
      <c r="P197" s="321" t="s">
        <v>1654</v>
      </c>
      <c r="Q197" s="321" t="s">
        <v>1659</v>
      </c>
      <c r="R197" s="320">
        <f>SUMIF('TB Grouping'!$Q:$Q,'Master TB'!P197,'TB Grouping'!$O:$O)</f>
        <v>0</v>
      </c>
      <c r="S197" s="320">
        <f>SUMIF('Additional &amp; Presentation Entry'!Q:Q,masterTBCY[[#This Row],[Note Line]],'Additional &amp; Presentation Entry'!S:S)</f>
        <v>0</v>
      </c>
      <c r="T197" s="320">
        <f>SUMIF('Additional &amp; Presentation Entry'!X:X,masterTBCY[[#This Row],[Note Line]],'Additional &amp; Presentation Entry'!Z:Z)</f>
        <v>0</v>
      </c>
      <c r="U197" s="320">
        <f t="shared" si="10"/>
        <v>0</v>
      </c>
      <c r="V197" s="320">
        <f>U197/'Master Data'!$C$25</f>
        <v>0</v>
      </c>
      <c r="W197" s="400" t="str">
        <f t="shared" si="11"/>
        <v>Balance Sheet</v>
      </c>
    </row>
    <row r="198" spans="2:23" x14ac:dyDescent="0.3">
      <c r="B198" s="678">
        <f t="shared" si="8"/>
        <v>188</v>
      </c>
      <c r="C198" s="319" t="s">
        <v>363</v>
      </c>
      <c r="D198" s="321" t="s">
        <v>1655</v>
      </c>
      <c r="E198" s="321" t="s">
        <v>1660</v>
      </c>
      <c r="F198" s="320">
        <f>+SUMIFS('TB Grouping'!F:F,'TB Grouping'!H:H,masterTBCY[[#This Row],[Note Line]])</f>
        <v>0</v>
      </c>
      <c r="G198" s="2562">
        <f ca="1">SUMIF('Additional &amp; Presentation Entry'!E:E,masterTBCY[[#This Row],[Note Line]],'Additional &amp; Presentation Entry'!G:G)</f>
        <v>0</v>
      </c>
      <c r="H198" s="2562">
        <f>SUMIF('Additional &amp; Presentation Entry'!L:L,masterTBCY[[#This Row],[Note Line]],'Additional &amp; Presentation Entry'!N:N)</f>
        <v>0</v>
      </c>
      <c r="I198" s="320">
        <f>+masterTBCY[[#This Row],[Amount as per TB]]+masterTBCY[[#This Row],[Presentation Entry]]</f>
        <v>0</v>
      </c>
      <c r="J198" s="320">
        <f>I198/'Master Data'!$C$25</f>
        <v>0</v>
      </c>
      <c r="K198" s="404" t="s">
        <v>1329</v>
      </c>
      <c r="N198" s="399">
        <v>188</v>
      </c>
      <c r="O198" s="319" t="s">
        <v>363</v>
      </c>
      <c r="P198" s="321" t="s">
        <v>1655</v>
      </c>
      <c r="Q198" s="321" t="s">
        <v>1660</v>
      </c>
      <c r="R198" s="320">
        <f>SUMIF('TB Grouping'!$Q:$Q,'Master TB'!P198,'TB Grouping'!$O:$O)</f>
        <v>0</v>
      </c>
      <c r="S198" s="320">
        <f>SUMIF('Additional &amp; Presentation Entry'!Q:Q,masterTBCY[[#This Row],[Note Line]],'Additional &amp; Presentation Entry'!S:S)</f>
        <v>0</v>
      </c>
      <c r="T198" s="320">
        <f>SUMIF('Additional &amp; Presentation Entry'!X:X,masterTBCY[[#This Row],[Note Line]],'Additional &amp; Presentation Entry'!Z:Z)</f>
        <v>0</v>
      </c>
      <c r="U198" s="320">
        <f t="shared" si="10"/>
        <v>0</v>
      </c>
      <c r="V198" s="320">
        <f>U198/'Master Data'!$C$25</f>
        <v>0</v>
      </c>
      <c r="W198" s="400" t="str">
        <f t="shared" si="11"/>
        <v>Balance Sheet</v>
      </c>
    </row>
    <row r="199" spans="2:23" x14ac:dyDescent="0.3">
      <c r="B199" s="678">
        <f t="shared" si="8"/>
        <v>189</v>
      </c>
      <c r="C199" s="319" t="s">
        <v>363</v>
      </c>
      <c r="D199" s="321" t="s">
        <v>1656</v>
      </c>
      <c r="E199" s="321" t="s">
        <v>1661</v>
      </c>
      <c r="F199" s="320">
        <f>+SUMIFS('TB Grouping'!F:F,'TB Grouping'!H:H,masterTBCY[[#This Row],[Note Line]])</f>
        <v>0</v>
      </c>
      <c r="G199" s="2562">
        <f ca="1">SUMIF('Additional &amp; Presentation Entry'!E:E,masterTBCY[[#This Row],[Note Line]],'Additional &amp; Presentation Entry'!G:G)</f>
        <v>0</v>
      </c>
      <c r="H199" s="2562">
        <f>SUMIF('Additional &amp; Presentation Entry'!L:L,masterTBCY[[#This Row],[Note Line]],'Additional &amp; Presentation Entry'!N:N)</f>
        <v>0</v>
      </c>
      <c r="I199" s="320">
        <f>+masterTBCY[[#This Row],[Amount as per TB]]+masterTBCY[[#This Row],[Presentation Entry]]</f>
        <v>0</v>
      </c>
      <c r="J199" s="320">
        <f>I199/'Master Data'!$C$25</f>
        <v>0</v>
      </c>
      <c r="K199" s="404" t="s">
        <v>1329</v>
      </c>
      <c r="N199" s="399">
        <v>189</v>
      </c>
      <c r="O199" s="319" t="s">
        <v>363</v>
      </c>
      <c r="P199" s="321" t="s">
        <v>1656</v>
      </c>
      <c r="Q199" s="321" t="s">
        <v>1661</v>
      </c>
      <c r="R199" s="320">
        <f>SUMIF('TB Grouping'!$Q:$Q,'Master TB'!P199,'TB Grouping'!$O:$O)</f>
        <v>0</v>
      </c>
      <c r="S199" s="320">
        <f>SUMIF('Additional &amp; Presentation Entry'!Q:Q,masterTBCY[[#This Row],[Note Line]],'Additional &amp; Presentation Entry'!S:S)</f>
        <v>0</v>
      </c>
      <c r="T199" s="320">
        <f>SUMIF('Additional &amp; Presentation Entry'!X:X,masterTBCY[[#This Row],[Note Line]],'Additional &amp; Presentation Entry'!Z:Z)</f>
        <v>0</v>
      </c>
      <c r="U199" s="320">
        <f t="shared" si="10"/>
        <v>0</v>
      </c>
      <c r="V199" s="320">
        <f>U199/'Master Data'!$C$25</f>
        <v>0</v>
      </c>
      <c r="W199" s="400" t="str">
        <f t="shared" si="11"/>
        <v>Balance Sheet</v>
      </c>
    </row>
    <row r="200" spans="2:23" x14ac:dyDescent="0.3">
      <c r="B200" s="678">
        <f t="shared" si="8"/>
        <v>190</v>
      </c>
      <c r="C200" s="319" t="s">
        <v>363</v>
      </c>
      <c r="D200" s="321" t="s">
        <v>1435</v>
      </c>
      <c r="E200" s="321" t="s">
        <v>1436</v>
      </c>
      <c r="F200" s="320">
        <f>+SUMIFS('TB Grouping'!F:F,'TB Grouping'!H:H,masterTBCY[[#This Row],[Note Line]])</f>
        <v>0</v>
      </c>
      <c r="G200" s="2562">
        <f ca="1">SUMIF('Additional &amp; Presentation Entry'!E:E,masterTBCY[[#This Row],[Note Line]],'Additional &amp; Presentation Entry'!G:G)</f>
        <v>0</v>
      </c>
      <c r="H200" s="2562">
        <f>SUMIF('Additional &amp; Presentation Entry'!L:L,masterTBCY[[#This Row],[Note Line]],'Additional &amp; Presentation Entry'!N:N)</f>
        <v>0</v>
      </c>
      <c r="I200" s="320">
        <f>+masterTBCY[[#This Row],[Amount as per TB]]+masterTBCY[[#This Row],[Presentation Entry]]</f>
        <v>0</v>
      </c>
      <c r="J200" s="320">
        <f>I200/'Master Data'!$C$25</f>
        <v>0</v>
      </c>
      <c r="K200" s="404" t="s">
        <v>1329</v>
      </c>
      <c r="N200" s="399">
        <v>190</v>
      </c>
      <c r="O200" s="319" t="s">
        <v>363</v>
      </c>
      <c r="P200" s="321" t="s">
        <v>1435</v>
      </c>
      <c r="Q200" s="321" t="s">
        <v>1436</v>
      </c>
      <c r="R200" s="320">
        <f>SUMIF('TB Grouping'!$Q:$Q,'Master TB'!P200,'TB Grouping'!$O:$O)</f>
        <v>0</v>
      </c>
      <c r="S200" s="320">
        <f>SUMIF('Additional &amp; Presentation Entry'!Q:Q,masterTBCY[[#This Row],[Note Line]],'Additional &amp; Presentation Entry'!S:S)</f>
        <v>0</v>
      </c>
      <c r="T200" s="320">
        <f>SUMIF('Additional &amp; Presentation Entry'!X:X,masterTBCY[[#This Row],[Note Line]],'Additional &amp; Presentation Entry'!Z:Z)</f>
        <v>0</v>
      </c>
      <c r="U200" s="320">
        <f t="shared" si="10"/>
        <v>0</v>
      </c>
      <c r="V200" s="320">
        <f>U200/'Master Data'!$C$25</f>
        <v>0</v>
      </c>
      <c r="W200" s="400" t="str">
        <f t="shared" si="11"/>
        <v>Balance Sheet</v>
      </c>
    </row>
    <row r="201" spans="2:23" x14ac:dyDescent="0.3">
      <c r="B201" s="678">
        <f t="shared" si="8"/>
        <v>191</v>
      </c>
      <c r="C201" s="319" t="s">
        <v>363</v>
      </c>
      <c r="D201" s="321" t="s">
        <v>1437</v>
      </c>
      <c r="E201" s="321" t="s">
        <v>1438</v>
      </c>
      <c r="F201" s="320">
        <f>+SUMIFS('TB Grouping'!F:F,'TB Grouping'!H:H,masterTBCY[[#This Row],[Note Line]])</f>
        <v>0</v>
      </c>
      <c r="G201" s="2562">
        <f ca="1">SUMIF('Additional &amp; Presentation Entry'!E:E,masterTBCY[[#This Row],[Note Line]],'Additional &amp; Presentation Entry'!G:G)</f>
        <v>0</v>
      </c>
      <c r="H201" s="2562">
        <f>SUMIF('Additional &amp; Presentation Entry'!L:L,masterTBCY[[#This Row],[Note Line]],'Additional &amp; Presentation Entry'!N:N)</f>
        <v>0</v>
      </c>
      <c r="I201" s="320">
        <f>+masterTBCY[[#This Row],[Amount as per TB]]+masterTBCY[[#This Row],[Presentation Entry]]</f>
        <v>0</v>
      </c>
      <c r="J201" s="320">
        <f>I201/'Master Data'!$C$25</f>
        <v>0</v>
      </c>
      <c r="K201" s="404" t="s">
        <v>1329</v>
      </c>
      <c r="N201" s="399">
        <v>191</v>
      </c>
      <c r="O201" s="319" t="s">
        <v>363</v>
      </c>
      <c r="P201" s="321" t="s">
        <v>1437</v>
      </c>
      <c r="Q201" s="321" t="s">
        <v>1438</v>
      </c>
      <c r="R201" s="320">
        <f>SUMIF('TB Grouping'!$Q:$Q,'Master TB'!P201,'TB Grouping'!$O:$O)</f>
        <v>0</v>
      </c>
      <c r="S201" s="320">
        <f>SUMIF('Additional &amp; Presentation Entry'!Q:Q,masterTBCY[[#This Row],[Note Line]],'Additional &amp; Presentation Entry'!S:S)</f>
        <v>0</v>
      </c>
      <c r="T201" s="320">
        <f>SUMIF('Additional &amp; Presentation Entry'!X:X,masterTBCY[[#This Row],[Note Line]],'Additional &amp; Presentation Entry'!Z:Z)</f>
        <v>0</v>
      </c>
      <c r="U201" s="320">
        <f t="shared" si="10"/>
        <v>0</v>
      </c>
      <c r="V201" s="320">
        <f>U201/'Master Data'!$C$25</f>
        <v>0</v>
      </c>
      <c r="W201" s="400" t="str">
        <f t="shared" si="11"/>
        <v>Balance Sheet</v>
      </c>
    </row>
    <row r="202" spans="2:23" x14ac:dyDescent="0.3">
      <c r="B202" s="678">
        <f t="shared" si="8"/>
        <v>192</v>
      </c>
      <c r="C202" s="319" t="s">
        <v>363</v>
      </c>
      <c r="D202" s="321" t="s">
        <v>1439</v>
      </c>
      <c r="E202" s="321" t="s">
        <v>1440</v>
      </c>
      <c r="F202" s="320">
        <f>+SUMIFS('TB Grouping'!F:F,'TB Grouping'!H:H,masterTBCY[[#This Row],[Note Line]])</f>
        <v>0</v>
      </c>
      <c r="G202" s="2562">
        <f ca="1">SUMIF('Additional &amp; Presentation Entry'!E:E,masterTBCY[[#This Row],[Note Line]],'Additional &amp; Presentation Entry'!G:G)</f>
        <v>0</v>
      </c>
      <c r="H202" s="2562">
        <f>SUMIF('Additional &amp; Presentation Entry'!L:L,masterTBCY[[#This Row],[Note Line]],'Additional &amp; Presentation Entry'!N:N)</f>
        <v>0</v>
      </c>
      <c r="I202" s="320">
        <f>+masterTBCY[[#This Row],[Amount as per TB]]+masterTBCY[[#This Row],[Presentation Entry]]</f>
        <v>0</v>
      </c>
      <c r="J202" s="320">
        <f>I202/'Master Data'!$C$25</f>
        <v>0</v>
      </c>
      <c r="K202" s="404" t="s">
        <v>1329</v>
      </c>
      <c r="N202" s="399">
        <v>192</v>
      </c>
      <c r="O202" s="319" t="s">
        <v>363</v>
      </c>
      <c r="P202" s="321" t="s">
        <v>1439</v>
      </c>
      <c r="Q202" s="321" t="s">
        <v>1440</v>
      </c>
      <c r="R202" s="320">
        <f>SUMIF('TB Grouping'!$Q:$Q,'Master TB'!P202,'TB Grouping'!$O:$O)</f>
        <v>0</v>
      </c>
      <c r="S202" s="320">
        <f>SUMIF('Additional &amp; Presentation Entry'!Q:Q,masterTBCY[[#This Row],[Note Line]],'Additional &amp; Presentation Entry'!S:S)</f>
        <v>0</v>
      </c>
      <c r="T202" s="320">
        <f>SUMIF('Additional &amp; Presentation Entry'!X:X,masterTBCY[[#This Row],[Note Line]],'Additional &amp; Presentation Entry'!Z:Z)</f>
        <v>0</v>
      </c>
      <c r="U202" s="320">
        <f t="shared" si="10"/>
        <v>0</v>
      </c>
      <c r="V202" s="320">
        <f>U202/'Master Data'!$C$25</f>
        <v>0</v>
      </c>
      <c r="W202" s="400" t="str">
        <f>K208</f>
        <v>Balance Sheet</v>
      </c>
    </row>
    <row r="203" spans="2:23" x14ac:dyDescent="0.3">
      <c r="B203" s="678">
        <f t="shared" si="8"/>
        <v>193</v>
      </c>
      <c r="C203" s="319" t="s">
        <v>363</v>
      </c>
      <c r="D203" s="321" t="s">
        <v>2010</v>
      </c>
      <c r="E203" s="321" t="s">
        <v>1441</v>
      </c>
      <c r="F203" s="320">
        <f>+SUMIFS('TB Grouping'!F:F,'TB Grouping'!H:H,masterTBCY[[#This Row],[Note Line]])</f>
        <v>0</v>
      </c>
      <c r="G203" s="2562">
        <f ca="1">SUMIF('Additional &amp; Presentation Entry'!E:E,masterTBCY[[#This Row],[Note Line]],'Additional &amp; Presentation Entry'!G:G)</f>
        <v>0</v>
      </c>
      <c r="H203" s="2562">
        <f>SUMIF('Additional &amp; Presentation Entry'!L:L,masterTBCY[[#This Row],[Note Line]],'Additional &amp; Presentation Entry'!N:N)</f>
        <v>0</v>
      </c>
      <c r="I203" s="320">
        <f>+masterTBCY[[#This Row],[Amount as per TB]]+masterTBCY[[#This Row],[Presentation Entry]]</f>
        <v>0</v>
      </c>
      <c r="J203" s="320">
        <f>I203/'Master Data'!$C$25</f>
        <v>0</v>
      </c>
      <c r="K203" s="404" t="s">
        <v>1329</v>
      </c>
      <c r="N203" s="399">
        <v>193</v>
      </c>
      <c r="O203" s="319" t="s">
        <v>363</v>
      </c>
      <c r="P203" s="321" t="s">
        <v>2010</v>
      </c>
      <c r="Q203" s="321" t="s">
        <v>1441</v>
      </c>
      <c r="R203" s="320">
        <f>SUMIF('TB Grouping'!$Q:$Q,'Master TB'!P203,'TB Grouping'!$O:$O)</f>
        <v>0</v>
      </c>
      <c r="S203" s="320">
        <f>SUMIF('Additional &amp; Presentation Entry'!Q:Q,masterTBCY[[#This Row],[Note Line]],'Additional &amp; Presentation Entry'!S:S)</f>
        <v>0</v>
      </c>
      <c r="T203" s="320">
        <f>SUMIF('Additional &amp; Presentation Entry'!X:X,masterTBCY[[#This Row],[Note Line]],'Additional &amp; Presentation Entry'!Z:Z)</f>
        <v>0</v>
      </c>
      <c r="U203" s="320">
        <f t="shared" si="10"/>
        <v>0</v>
      </c>
      <c r="V203" s="320">
        <f>U203/'Master Data'!$C$25</f>
        <v>0</v>
      </c>
      <c r="W203" s="400" t="str">
        <f>K210</f>
        <v>Balance Sheet</v>
      </c>
    </row>
    <row r="204" spans="2:23" x14ac:dyDescent="0.3">
      <c r="B204" s="678">
        <f t="shared" ref="B204:B267" si="12">+B203+1</f>
        <v>194</v>
      </c>
      <c r="C204" s="319" t="s">
        <v>363</v>
      </c>
      <c r="D204" s="321" t="s">
        <v>2011</v>
      </c>
      <c r="E204" s="321" t="s">
        <v>2027</v>
      </c>
      <c r="F204" s="320">
        <f>+SUMIFS('TB Grouping'!F:F,'TB Grouping'!H:H,masterTBCY[[#This Row],[Note Line]])</f>
        <v>0</v>
      </c>
      <c r="G204" s="2562">
        <f ca="1">SUMIF('Additional &amp; Presentation Entry'!E:E,masterTBCY[[#This Row],[Note Line]],'Additional &amp; Presentation Entry'!G:G)</f>
        <v>0</v>
      </c>
      <c r="H204" s="2562">
        <f>SUMIF('Additional &amp; Presentation Entry'!L:L,masterTBCY[[#This Row],[Note Line]],'Additional &amp; Presentation Entry'!N:N)</f>
        <v>0</v>
      </c>
      <c r="I204" s="320">
        <f>+masterTBCY[[#This Row],[Amount as per TB]]+masterTBCY[[#This Row],[Presentation Entry]]</f>
        <v>0</v>
      </c>
      <c r="J204" s="320">
        <f>I204/'Master Data'!$C$25</f>
        <v>0</v>
      </c>
      <c r="K204" s="404" t="s">
        <v>1329</v>
      </c>
      <c r="N204" s="399">
        <v>194</v>
      </c>
      <c r="O204" s="319" t="s">
        <v>363</v>
      </c>
      <c r="P204" s="321" t="s">
        <v>2011</v>
      </c>
      <c r="Q204" s="321" t="s">
        <v>2027</v>
      </c>
      <c r="R204" s="320">
        <f>SUMIF('TB Grouping'!$Q:$Q,'Master TB'!P204,'TB Grouping'!$O:$O)</f>
        <v>0</v>
      </c>
      <c r="S204" s="320">
        <f>SUMIF('Additional &amp; Presentation Entry'!Q:Q,masterTBCY[[#This Row],[Note Line]],'Additional &amp; Presentation Entry'!S:S)</f>
        <v>0</v>
      </c>
      <c r="T204" s="320">
        <f>SUMIF('Additional &amp; Presentation Entry'!X:X,masterTBCY[[#This Row],[Note Line]],'Additional &amp; Presentation Entry'!Z:Z)</f>
        <v>0</v>
      </c>
      <c r="U204" s="320">
        <f t="shared" si="10"/>
        <v>0</v>
      </c>
      <c r="V204" s="320">
        <f>U204/'Master Data'!$C$25</f>
        <v>0</v>
      </c>
      <c r="W204" s="400" t="str">
        <f>K212</f>
        <v>Balance Sheet</v>
      </c>
    </row>
    <row r="205" spans="2:23" x14ac:dyDescent="0.3">
      <c r="B205" s="678">
        <f t="shared" si="12"/>
        <v>195</v>
      </c>
      <c r="C205" s="319" t="s">
        <v>363</v>
      </c>
      <c r="D205" s="321" t="s">
        <v>2012</v>
      </c>
      <c r="E205" s="321" t="s">
        <v>2028</v>
      </c>
      <c r="F205" s="320">
        <f>+SUMIFS('TB Grouping'!F:F,'TB Grouping'!H:H,masterTBCY[[#This Row],[Note Line]])</f>
        <v>0</v>
      </c>
      <c r="G205" s="2562">
        <f ca="1">SUMIF('Additional &amp; Presentation Entry'!E:E,masterTBCY[[#This Row],[Note Line]],'Additional &amp; Presentation Entry'!G:G)</f>
        <v>0</v>
      </c>
      <c r="H205" s="2562">
        <f>SUMIF('Additional &amp; Presentation Entry'!L:L,masterTBCY[[#This Row],[Note Line]],'Additional &amp; Presentation Entry'!N:N)</f>
        <v>0</v>
      </c>
      <c r="I205" s="320">
        <f>+masterTBCY[[#This Row],[Amount as per TB]]+masterTBCY[[#This Row],[Presentation Entry]]</f>
        <v>0</v>
      </c>
      <c r="J205" s="320">
        <f>I205/'Master Data'!$C$25</f>
        <v>0</v>
      </c>
      <c r="K205" s="404" t="s">
        <v>1329</v>
      </c>
      <c r="N205" s="399">
        <v>195</v>
      </c>
      <c r="O205" s="319" t="s">
        <v>363</v>
      </c>
      <c r="P205" s="321" t="s">
        <v>2012</v>
      </c>
      <c r="Q205" s="321" t="s">
        <v>2028</v>
      </c>
      <c r="R205" s="320">
        <f>SUMIF('TB Grouping'!$Q:$Q,'Master TB'!P205,'TB Grouping'!$O:$O)</f>
        <v>0</v>
      </c>
      <c r="S205" s="320">
        <f>SUMIF('Additional &amp; Presentation Entry'!Q:Q,masterTBCY[[#This Row],[Note Line]],'Additional &amp; Presentation Entry'!S:S)</f>
        <v>0</v>
      </c>
      <c r="T205" s="320">
        <f>SUMIF('Additional &amp; Presentation Entry'!X:X,masterTBCY[[#This Row],[Note Line]],'Additional &amp; Presentation Entry'!Z:Z)</f>
        <v>0</v>
      </c>
      <c r="U205" s="320">
        <f t="shared" si="10"/>
        <v>0</v>
      </c>
      <c r="V205" s="320">
        <f>U205/'Master Data'!$C$25</f>
        <v>0</v>
      </c>
      <c r="W205" s="400" t="str">
        <f>K214</f>
        <v>Balance Sheet</v>
      </c>
    </row>
    <row r="206" spans="2:23" x14ac:dyDescent="0.3">
      <c r="B206" s="678">
        <f t="shared" si="12"/>
        <v>196</v>
      </c>
      <c r="C206" s="319" t="s">
        <v>363</v>
      </c>
      <c r="D206" s="321" t="s">
        <v>2013</v>
      </c>
      <c r="E206" s="321" t="s">
        <v>2029</v>
      </c>
      <c r="F206" s="320">
        <f>+SUMIFS('TB Grouping'!F:F,'TB Grouping'!H:H,masterTBCY[[#This Row],[Note Line]])</f>
        <v>0</v>
      </c>
      <c r="G206" s="2562">
        <f ca="1">SUMIF('Additional &amp; Presentation Entry'!E:E,masterTBCY[[#This Row],[Note Line]],'Additional &amp; Presentation Entry'!G:G)</f>
        <v>0</v>
      </c>
      <c r="H206" s="2562">
        <f>SUMIF('Additional &amp; Presentation Entry'!L:L,masterTBCY[[#This Row],[Note Line]],'Additional &amp; Presentation Entry'!N:N)</f>
        <v>0</v>
      </c>
      <c r="I206" s="320">
        <f>+masterTBCY[[#This Row],[Amount as per TB]]+masterTBCY[[#This Row],[Presentation Entry]]</f>
        <v>0</v>
      </c>
      <c r="J206" s="320">
        <f>I206/'Master Data'!$C$25</f>
        <v>0</v>
      </c>
      <c r="K206" s="404" t="s">
        <v>1329</v>
      </c>
      <c r="N206" s="399">
        <v>196</v>
      </c>
      <c r="O206" s="319" t="s">
        <v>363</v>
      </c>
      <c r="P206" s="321" t="s">
        <v>2013</v>
      </c>
      <c r="Q206" s="321" t="s">
        <v>2029</v>
      </c>
      <c r="R206" s="320">
        <f>SUMIF('TB Grouping'!$Q:$Q,'Master TB'!P206,'TB Grouping'!$O:$O)</f>
        <v>0</v>
      </c>
      <c r="S206" s="320">
        <f>SUMIF('Additional &amp; Presentation Entry'!Q:Q,masterTBCY[[#This Row],[Note Line]],'Additional &amp; Presentation Entry'!S:S)</f>
        <v>0</v>
      </c>
      <c r="T206" s="320">
        <f>SUMIF('Additional &amp; Presentation Entry'!X:X,masterTBCY[[#This Row],[Note Line]],'Additional &amp; Presentation Entry'!Z:Z)</f>
        <v>0</v>
      </c>
      <c r="U206" s="320">
        <f t="shared" si="10"/>
        <v>0</v>
      </c>
      <c r="V206" s="320">
        <f>U206/'Master Data'!$C$25</f>
        <v>0</v>
      </c>
      <c r="W206" s="400" t="str">
        <f>K216</f>
        <v>Balance Sheet</v>
      </c>
    </row>
    <row r="207" spans="2:23" x14ac:dyDescent="0.3">
      <c r="B207" s="678">
        <f t="shared" si="12"/>
        <v>197</v>
      </c>
      <c r="C207" s="319" t="s">
        <v>363</v>
      </c>
      <c r="D207" s="321" t="s">
        <v>2014</v>
      </c>
      <c r="E207" s="321" t="s">
        <v>2030</v>
      </c>
      <c r="F207" s="320">
        <f>+SUMIFS('TB Grouping'!F:F,'TB Grouping'!H:H,masterTBCY[[#This Row],[Note Line]])</f>
        <v>0</v>
      </c>
      <c r="G207" s="2562">
        <f ca="1">SUMIF('Additional &amp; Presentation Entry'!E:E,masterTBCY[[#This Row],[Note Line]],'Additional &amp; Presentation Entry'!G:G)</f>
        <v>0</v>
      </c>
      <c r="H207" s="2562">
        <f>SUMIF('Additional &amp; Presentation Entry'!L:L,masterTBCY[[#This Row],[Note Line]],'Additional &amp; Presentation Entry'!N:N)</f>
        <v>0</v>
      </c>
      <c r="I207" s="320">
        <f>+masterTBCY[[#This Row],[Amount as per TB]]+masterTBCY[[#This Row],[Presentation Entry]]</f>
        <v>0</v>
      </c>
      <c r="J207" s="320">
        <f>I207/'Master Data'!$C$25</f>
        <v>0</v>
      </c>
      <c r="K207" s="404" t="s">
        <v>1329</v>
      </c>
      <c r="N207" s="399">
        <v>197</v>
      </c>
      <c r="O207" s="319" t="s">
        <v>363</v>
      </c>
      <c r="P207" s="321" t="s">
        <v>2014</v>
      </c>
      <c r="Q207" s="321" t="s">
        <v>2030</v>
      </c>
      <c r="R207" s="320">
        <f>SUMIF('TB Grouping'!$Q:$Q,'Master TB'!P207,'TB Grouping'!$O:$O)</f>
        <v>0</v>
      </c>
      <c r="S207" s="320">
        <f>SUMIF('Additional &amp; Presentation Entry'!Q:Q,masterTBCY[[#This Row],[Note Line]],'Additional &amp; Presentation Entry'!S:S)</f>
        <v>0</v>
      </c>
      <c r="T207" s="320">
        <f>SUMIF('Additional &amp; Presentation Entry'!X:X,masterTBCY[[#This Row],[Note Line]],'Additional &amp; Presentation Entry'!Z:Z)</f>
        <v>0</v>
      </c>
      <c r="U207" s="320">
        <f t="shared" si="10"/>
        <v>0</v>
      </c>
      <c r="V207" s="320">
        <f>U207/'Master Data'!$C$25</f>
        <v>0</v>
      </c>
      <c r="W207" s="400" t="str">
        <f>K217</f>
        <v>Balance Sheet</v>
      </c>
    </row>
    <row r="208" spans="2:23" x14ac:dyDescent="0.3">
      <c r="B208" s="678">
        <f t="shared" si="12"/>
        <v>198</v>
      </c>
      <c r="C208" s="319" t="s">
        <v>363</v>
      </c>
      <c r="D208" s="321" t="s">
        <v>2004</v>
      </c>
      <c r="E208" s="321" t="s">
        <v>1442</v>
      </c>
      <c r="F208" s="320">
        <f>+SUMIFS('TB Grouping'!F:F,'TB Grouping'!H:H,masterTBCY[[#This Row],[Note Line]])</f>
        <v>0</v>
      </c>
      <c r="G208" s="2562">
        <f ca="1">SUMIF('Additional &amp; Presentation Entry'!E:E,masterTBCY[[#This Row],[Note Line]],'Additional &amp; Presentation Entry'!G:G)</f>
        <v>0</v>
      </c>
      <c r="H208" s="2562">
        <f>SUMIF('Additional &amp; Presentation Entry'!L:L,masterTBCY[[#This Row],[Note Line]],'Additional &amp; Presentation Entry'!N:N)</f>
        <v>0</v>
      </c>
      <c r="I208" s="320">
        <f>+masterTBCY[[#This Row],[Amount as per TB]]+masterTBCY[[#This Row],[Presentation Entry]]</f>
        <v>0</v>
      </c>
      <c r="J208" s="320">
        <f>I208/'Master Data'!$C$25</f>
        <v>0</v>
      </c>
      <c r="K208" s="404" t="s">
        <v>1329</v>
      </c>
      <c r="N208" s="399">
        <v>198</v>
      </c>
      <c r="O208" s="319" t="s">
        <v>363</v>
      </c>
      <c r="P208" s="321" t="s">
        <v>2004</v>
      </c>
      <c r="Q208" s="321" t="s">
        <v>1442</v>
      </c>
      <c r="R208" s="320">
        <f>SUMIF('TB Grouping'!$Q:$Q,'Master TB'!P208,'TB Grouping'!$O:$O)</f>
        <v>0</v>
      </c>
      <c r="S208" s="320">
        <f>SUMIF('Additional &amp; Presentation Entry'!Q:Q,masterTBCY[[#This Row],[Note Line]],'Additional &amp; Presentation Entry'!S:S)</f>
        <v>0</v>
      </c>
      <c r="T208" s="320">
        <f>SUMIF('Additional &amp; Presentation Entry'!X:X,masterTBCY[[#This Row],[Note Line]],'Additional &amp; Presentation Entry'!Z:Z)</f>
        <v>0</v>
      </c>
      <c r="U208" s="320">
        <f t="shared" si="10"/>
        <v>0</v>
      </c>
      <c r="V208" s="320">
        <f>U208/'Master Data'!$C$25</f>
        <v>0</v>
      </c>
      <c r="W208" s="400" t="str">
        <f>K218</f>
        <v>Balance Sheet</v>
      </c>
    </row>
    <row r="209" spans="2:23" x14ac:dyDescent="0.3">
      <c r="B209" s="678">
        <f t="shared" si="12"/>
        <v>199</v>
      </c>
      <c r="C209" s="319" t="s">
        <v>363</v>
      </c>
      <c r="D209" s="321" t="s">
        <v>2015</v>
      </c>
      <c r="E209" s="321" t="s">
        <v>2031</v>
      </c>
      <c r="F209" s="320">
        <f>+SUMIFS('TB Grouping'!F:F,'TB Grouping'!H:H,masterTBCY[[#This Row],[Note Line]])</f>
        <v>2478878.4699999997</v>
      </c>
      <c r="G209" s="2562">
        <f ca="1">SUMIF('Additional &amp; Presentation Entry'!E:E,masterTBCY[[#This Row],[Note Line]],'Additional &amp; Presentation Entry'!G:G)</f>
        <v>1666022.9439763867</v>
      </c>
      <c r="H209" s="2562">
        <f>SUMIF('Additional &amp; Presentation Entry'!L:L,masterTBCY[[#This Row],[Note Line]],'Additional &amp; Presentation Entry'!N:N)</f>
        <v>0</v>
      </c>
      <c r="I209" s="320">
        <f>+masterTBCY[[#This Row],[Amount as per TB]]+masterTBCY[[#This Row],[Presentation Entry]]</f>
        <v>2478878.4699999997</v>
      </c>
      <c r="J209" s="320">
        <f>I209/'Master Data'!$C$25</f>
        <v>24788.784699999997</v>
      </c>
      <c r="K209" s="404" t="s">
        <v>1329</v>
      </c>
      <c r="N209" s="399">
        <v>199</v>
      </c>
      <c r="O209" s="319" t="s">
        <v>363</v>
      </c>
      <c r="P209" s="321" t="s">
        <v>2015</v>
      </c>
      <c r="Q209" s="321" t="s">
        <v>2031</v>
      </c>
      <c r="R209" s="320">
        <f>SUMIF('TB Grouping'!$Q:$Q,'Master TB'!P209,'TB Grouping'!$O:$O)</f>
        <v>564476.07999999996</v>
      </c>
      <c r="S209" s="320">
        <f>SUMIF('Additional &amp; Presentation Entry'!Q:Q,masterTBCY[[#This Row],[Note Line]],'Additional &amp; Presentation Entry'!S:S)</f>
        <v>0</v>
      </c>
      <c r="T209" s="320">
        <f>SUMIF('Additional &amp; Presentation Entry'!X:X,masterTBCY[[#This Row],[Note Line]],'Additional &amp; Presentation Entry'!Z:Z)</f>
        <v>0</v>
      </c>
      <c r="U209" s="320">
        <f t="shared" si="10"/>
        <v>564476.07999999996</v>
      </c>
      <c r="V209" s="320">
        <f>U209/'Master Data'!$C$25</f>
        <v>5644.7608</v>
      </c>
      <c r="W209" s="400" t="str">
        <f>K219</f>
        <v>Balance Sheet</v>
      </c>
    </row>
    <row r="210" spans="2:23" x14ac:dyDescent="0.3">
      <c r="B210" s="678">
        <f t="shared" si="12"/>
        <v>200</v>
      </c>
      <c r="C210" s="319" t="s">
        <v>363</v>
      </c>
      <c r="D210" s="321" t="s">
        <v>2005</v>
      </c>
      <c r="E210" s="321" t="s">
        <v>1443</v>
      </c>
      <c r="F210" s="320">
        <f>+SUMIFS('TB Grouping'!F:F,'TB Grouping'!H:H,masterTBCY[[#This Row],[Note Line]])</f>
        <v>0</v>
      </c>
      <c r="G210" s="2562">
        <f ca="1">SUMIF('Additional &amp; Presentation Entry'!E:E,masterTBCY[[#This Row],[Note Line]],'Additional &amp; Presentation Entry'!G:G)</f>
        <v>0</v>
      </c>
      <c r="H210" s="2562">
        <f>SUMIF('Additional &amp; Presentation Entry'!L:L,masterTBCY[[#This Row],[Note Line]],'Additional &amp; Presentation Entry'!N:N)</f>
        <v>0</v>
      </c>
      <c r="I210" s="320">
        <f>+masterTBCY[[#This Row],[Amount as per TB]]+masterTBCY[[#This Row],[Presentation Entry]]</f>
        <v>0</v>
      </c>
      <c r="J210" s="320">
        <f>I210/'Master Data'!$C$25</f>
        <v>0</v>
      </c>
      <c r="K210" s="404" t="s">
        <v>1329</v>
      </c>
      <c r="N210" s="399">
        <v>200</v>
      </c>
      <c r="O210" s="319" t="s">
        <v>363</v>
      </c>
      <c r="P210" s="321" t="s">
        <v>2005</v>
      </c>
      <c r="Q210" s="321" t="s">
        <v>1443</v>
      </c>
      <c r="R210" s="320">
        <f>SUMIF('TB Grouping'!$Q:$Q,'Master TB'!P210,'TB Grouping'!$O:$O)</f>
        <v>0</v>
      </c>
      <c r="S210" s="320">
        <f>SUMIF('Additional &amp; Presentation Entry'!Q:Q,masterTBCY[[#This Row],[Note Line]],'Additional &amp; Presentation Entry'!S:S)</f>
        <v>0</v>
      </c>
      <c r="T210" s="320">
        <f>SUMIF('Additional &amp; Presentation Entry'!X:X,masterTBCY[[#This Row],[Note Line]],'Additional &amp; Presentation Entry'!Z:Z)</f>
        <v>0</v>
      </c>
      <c r="U210" s="320">
        <f t="shared" si="10"/>
        <v>0</v>
      </c>
      <c r="V210" s="320">
        <f>U210/'Master Data'!$C$25</f>
        <v>0</v>
      </c>
      <c r="W210" s="400" t="str">
        <f>K224</f>
        <v>Balance Sheet</v>
      </c>
    </row>
    <row r="211" spans="2:23" x14ac:dyDescent="0.3">
      <c r="B211" s="678">
        <f t="shared" si="12"/>
        <v>201</v>
      </c>
      <c r="C211" s="319" t="s">
        <v>363</v>
      </c>
      <c r="D211" s="321" t="s">
        <v>2016</v>
      </c>
      <c r="E211" s="321" t="s">
        <v>2032</v>
      </c>
      <c r="F211" s="320">
        <f>+SUMIFS('TB Grouping'!F:F,'TB Grouping'!H:H,masterTBCY[[#This Row],[Note Line]])</f>
        <v>7700000</v>
      </c>
      <c r="G211" s="2562">
        <f ca="1">SUMIF('Additional &amp; Presentation Entry'!E:E,masterTBCY[[#This Row],[Note Line]],'Additional &amp; Presentation Entry'!G:G)</f>
        <v>0</v>
      </c>
      <c r="H211" s="2562">
        <f>SUMIF('Additional &amp; Presentation Entry'!L:L,masterTBCY[[#This Row],[Note Line]],'Additional &amp; Presentation Entry'!N:N)</f>
        <v>0</v>
      </c>
      <c r="I211" s="320">
        <f>+masterTBCY[[#This Row],[Amount as per TB]]+masterTBCY[[#This Row],[Presentation Entry]]</f>
        <v>7700000</v>
      </c>
      <c r="J211" s="320">
        <f>I211/'Master Data'!$C$25</f>
        <v>77000</v>
      </c>
      <c r="K211" s="404" t="s">
        <v>1329</v>
      </c>
      <c r="N211" s="399">
        <v>201</v>
      </c>
      <c r="O211" s="319" t="s">
        <v>363</v>
      </c>
      <c r="P211" s="321" t="s">
        <v>2016</v>
      </c>
      <c r="Q211" s="321" t="s">
        <v>2032</v>
      </c>
      <c r="R211" s="320">
        <f>SUMIF('TB Grouping'!$Q:$Q,'Master TB'!P211,'TB Grouping'!$O:$O)</f>
        <v>0</v>
      </c>
      <c r="S211" s="320">
        <f>SUMIF('Additional &amp; Presentation Entry'!Q:Q,masterTBCY[[#This Row],[Note Line]],'Additional &amp; Presentation Entry'!S:S)</f>
        <v>0</v>
      </c>
      <c r="T211" s="320">
        <f>SUMIF('Additional &amp; Presentation Entry'!X:X,masterTBCY[[#This Row],[Note Line]],'Additional &amp; Presentation Entry'!Z:Z)</f>
        <v>0</v>
      </c>
      <c r="U211" s="320">
        <f t="shared" si="10"/>
        <v>0</v>
      </c>
      <c r="V211" s="320">
        <f>U211/'Master Data'!$C$25</f>
        <v>0</v>
      </c>
      <c r="W211" s="400" t="str">
        <f>K225</f>
        <v>Balance Sheet</v>
      </c>
    </row>
    <row r="212" spans="2:23" x14ac:dyDescent="0.3">
      <c r="B212" s="678">
        <f t="shared" si="12"/>
        <v>202</v>
      </c>
      <c r="C212" s="319" t="s">
        <v>363</v>
      </c>
      <c r="D212" s="321" t="s">
        <v>2006</v>
      </c>
      <c r="E212" s="321" t="s">
        <v>1444</v>
      </c>
      <c r="F212" s="320">
        <f>+SUMIFS('TB Grouping'!F:F,'TB Grouping'!H:H,masterTBCY[[#This Row],[Note Line]])</f>
        <v>0</v>
      </c>
      <c r="G212" s="2562">
        <f ca="1">SUMIF('Additional &amp; Presentation Entry'!E:E,masterTBCY[[#This Row],[Note Line]],'Additional &amp; Presentation Entry'!G:G)</f>
        <v>0</v>
      </c>
      <c r="H212" s="2562">
        <f>SUMIF('Additional &amp; Presentation Entry'!L:L,masterTBCY[[#This Row],[Note Line]],'Additional &amp; Presentation Entry'!N:N)</f>
        <v>0</v>
      </c>
      <c r="I212" s="320">
        <f>+masterTBCY[[#This Row],[Amount as per TB]]+masterTBCY[[#This Row],[Presentation Entry]]</f>
        <v>0</v>
      </c>
      <c r="J212" s="320">
        <f>I212/'Master Data'!$C$25</f>
        <v>0</v>
      </c>
      <c r="K212" s="404" t="s">
        <v>1329</v>
      </c>
      <c r="N212" s="399">
        <v>202</v>
      </c>
      <c r="O212" s="319" t="s">
        <v>363</v>
      </c>
      <c r="P212" s="321" t="s">
        <v>2006</v>
      </c>
      <c r="Q212" s="321" t="s">
        <v>1444</v>
      </c>
      <c r="R212" s="320">
        <f>SUMIF('TB Grouping'!$Q:$Q,'Master TB'!P212,'TB Grouping'!$O:$O)</f>
        <v>0</v>
      </c>
      <c r="S212" s="320">
        <f>SUMIF('Additional &amp; Presentation Entry'!Q:Q,masterTBCY[[#This Row],[Note Line]],'Additional &amp; Presentation Entry'!S:S)</f>
        <v>0</v>
      </c>
      <c r="T212" s="320">
        <f>SUMIF('Additional &amp; Presentation Entry'!X:X,masterTBCY[[#This Row],[Note Line]],'Additional &amp; Presentation Entry'!Z:Z)</f>
        <v>0</v>
      </c>
      <c r="U212" s="320">
        <f t="shared" si="10"/>
        <v>0</v>
      </c>
      <c r="V212" s="320">
        <f>U212/'Master Data'!$C$25</f>
        <v>0</v>
      </c>
      <c r="W212" s="400" t="str">
        <f>K226</f>
        <v>Balance Sheet</v>
      </c>
    </row>
    <row r="213" spans="2:23" x14ac:dyDescent="0.3">
      <c r="B213" s="678">
        <f t="shared" si="12"/>
        <v>203</v>
      </c>
      <c r="C213" s="319" t="s">
        <v>363</v>
      </c>
      <c r="D213" s="321" t="s">
        <v>2017</v>
      </c>
      <c r="E213" s="321" t="s">
        <v>2033</v>
      </c>
      <c r="F213" s="320">
        <f>+SUMIFS('TB Grouping'!F:F,'TB Grouping'!H:H,masterTBCY[[#This Row],[Note Line]])</f>
        <v>0</v>
      </c>
      <c r="G213" s="2562">
        <f ca="1">SUMIF('Additional &amp; Presentation Entry'!E:E,masterTBCY[[#This Row],[Note Line]],'Additional &amp; Presentation Entry'!G:G)</f>
        <v>0</v>
      </c>
      <c r="H213" s="2562">
        <f>SUMIF('Additional &amp; Presentation Entry'!L:L,masterTBCY[[#This Row],[Note Line]],'Additional &amp; Presentation Entry'!N:N)</f>
        <v>0</v>
      </c>
      <c r="I213" s="320">
        <f>+masterTBCY[[#This Row],[Amount as per TB]]+masterTBCY[[#This Row],[Presentation Entry]]</f>
        <v>0</v>
      </c>
      <c r="J213" s="320">
        <f>I213/'Master Data'!$C$25</f>
        <v>0</v>
      </c>
      <c r="K213" s="404" t="s">
        <v>1329</v>
      </c>
      <c r="N213" s="399">
        <v>203</v>
      </c>
      <c r="O213" s="319" t="s">
        <v>363</v>
      </c>
      <c r="P213" s="321" t="s">
        <v>2017</v>
      </c>
      <c r="Q213" s="321" t="s">
        <v>2033</v>
      </c>
      <c r="R213" s="320">
        <f>SUMIF('TB Grouping'!$Q:$Q,'Master TB'!P213,'TB Grouping'!$O:$O)</f>
        <v>0</v>
      </c>
      <c r="S213" s="320">
        <f>SUMIF('Additional &amp; Presentation Entry'!Q:Q,masterTBCY[[#This Row],[Note Line]],'Additional &amp; Presentation Entry'!S:S)</f>
        <v>0</v>
      </c>
      <c r="T213" s="320">
        <f>SUMIF('Additional &amp; Presentation Entry'!X:X,masterTBCY[[#This Row],[Note Line]],'Additional &amp; Presentation Entry'!Z:Z)</f>
        <v>0</v>
      </c>
      <c r="U213" s="320">
        <f t="shared" si="10"/>
        <v>0</v>
      </c>
      <c r="V213" s="320">
        <f>U213/'Master Data'!$C$25</f>
        <v>0</v>
      </c>
      <c r="W213" s="400" t="str">
        <f>K227</f>
        <v>Balance Sheet</v>
      </c>
    </row>
    <row r="214" spans="2:23" x14ac:dyDescent="0.3">
      <c r="B214" s="678">
        <f t="shared" si="12"/>
        <v>204</v>
      </c>
      <c r="C214" s="319" t="s">
        <v>363</v>
      </c>
      <c r="D214" s="321" t="s">
        <v>2007</v>
      </c>
      <c r="E214" s="321" t="s">
        <v>1445</v>
      </c>
      <c r="F214" s="320">
        <f>+SUMIFS('TB Grouping'!F:F,'TB Grouping'!H:H,masterTBCY[[#This Row],[Note Line]])</f>
        <v>0</v>
      </c>
      <c r="G214" s="2562">
        <f ca="1">SUMIF('Additional &amp; Presentation Entry'!E:E,masterTBCY[[#This Row],[Note Line]],'Additional &amp; Presentation Entry'!G:G)</f>
        <v>0</v>
      </c>
      <c r="H214" s="2562">
        <f>SUMIF('Additional &amp; Presentation Entry'!L:L,masterTBCY[[#This Row],[Note Line]],'Additional &amp; Presentation Entry'!N:N)</f>
        <v>0</v>
      </c>
      <c r="I214" s="320">
        <f>+masterTBCY[[#This Row],[Amount as per TB]]+masterTBCY[[#This Row],[Presentation Entry]]</f>
        <v>0</v>
      </c>
      <c r="J214" s="320">
        <f>I214/'Master Data'!$C$25</f>
        <v>0</v>
      </c>
      <c r="K214" s="404" t="s">
        <v>1329</v>
      </c>
      <c r="N214" s="399">
        <v>204</v>
      </c>
      <c r="O214" s="319" t="s">
        <v>363</v>
      </c>
      <c r="P214" s="321" t="s">
        <v>2007</v>
      </c>
      <c r="Q214" s="321" t="s">
        <v>1445</v>
      </c>
      <c r="R214" s="320">
        <f>SUMIF('TB Grouping'!$Q:$Q,'Master TB'!P214,'TB Grouping'!$O:$O)</f>
        <v>0</v>
      </c>
      <c r="S214" s="320">
        <f>SUMIF('Additional &amp; Presentation Entry'!Q:Q,masterTBCY[[#This Row],[Note Line]],'Additional &amp; Presentation Entry'!S:S)</f>
        <v>0</v>
      </c>
      <c r="T214" s="320">
        <f>SUMIF('Additional &amp; Presentation Entry'!X:X,masterTBCY[[#This Row],[Note Line]],'Additional &amp; Presentation Entry'!Z:Z)</f>
        <v>0</v>
      </c>
      <c r="U214" s="320">
        <f t="shared" ref="U214:U264" si="13">SUM(R214:T214)</f>
        <v>0</v>
      </c>
      <c r="V214" s="320">
        <f>U214/'Master Data'!$C$25</f>
        <v>0</v>
      </c>
      <c r="W214" s="400" t="str">
        <f t="shared" ref="W214:W245" si="14">K232</f>
        <v>Balance Sheet</v>
      </c>
    </row>
    <row r="215" spans="2:23" x14ac:dyDescent="0.3">
      <c r="B215" s="678">
        <f t="shared" si="12"/>
        <v>205</v>
      </c>
      <c r="C215" s="319" t="s">
        <v>363</v>
      </c>
      <c r="D215" s="321" t="s">
        <v>2018</v>
      </c>
      <c r="E215" s="321" t="s">
        <v>2034</v>
      </c>
      <c r="F215" s="320">
        <f>+SUMIFS('TB Grouping'!F:F,'TB Grouping'!H:H,masterTBCY[[#This Row],[Note Line]])</f>
        <v>7390488.5500000007</v>
      </c>
      <c r="G215" s="2562">
        <f ca="1">SUMIF('Additional &amp; Presentation Entry'!E:E,masterTBCY[[#This Row],[Note Line]],'Additional &amp; Presentation Entry'!G:G)</f>
        <v>-1076763.4900000002</v>
      </c>
      <c r="H215" s="2562">
        <f>SUMIF('Additional &amp; Presentation Entry'!L:L,masterTBCY[[#This Row],[Note Line]],'Additional &amp; Presentation Entry'!N:N)</f>
        <v>0</v>
      </c>
      <c r="I215" s="320">
        <f>+masterTBCY[[#This Row],[Amount as per TB]]+masterTBCY[[#This Row],[Presentation Entry]]</f>
        <v>7390488.5500000007</v>
      </c>
      <c r="J215" s="320">
        <f>I215/'Master Data'!$C$25</f>
        <v>73904.885500000004</v>
      </c>
      <c r="K215" s="404" t="s">
        <v>1329</v>
      </c>
      <c r="N215" s="399">
        <v>205</v>
      </c>
      <c r="O215" s="319" t="s">
        <v>363</v>
      </c>
      <c r="P215" s="321" t="s">
        <v>2018</v>
      </c>
      <c r="Q215" s="321" t="s">
        <v>2034</v>
      </c>
      <c r="R215" s="320">
        <f>SUMIF('TB Grouping'!$Q:$Q,'Master TB'!P215,'TB Grouping'!$O:$O)</f>
        <v>1327432.6200000001</v>
      </c>
      <c r="S215" s="320">
        <f>SUMIF('Additional &amp; Presentation Entry'!Q:Q,masterTBCY[[#This Row],[Note Line]],'Additional &amp; Presentation Entry'!S:S)</f>
        <v>0</v>
      </c>
      <c r="T215" s="320">
        <f>SUMIF('Additional &amp; Presentation Entry'!X:X,masterTBCY[[#This Row],[Note Line]],'Additional &amp; Presentation Entry'!Z:Z)</f>
        <v>0</v>
      </c>
      <c r="U215" s="320">
        <f t="shared" si="13"/>
        <v>1327432.6200000001</v>
      </c>
      <c r="V215" s="320">
        <f>U215/'Master Data'!$C$25</f>
        <v>13274.326200000001</v>
      </c>
      <c r="W215" s="400" t="str">
        <f t="shared" si="14"/>
        <v>Balance Sheet</v>
      </c>
    </row>
    <row r="216" spans="2:23" x14ac:dyDescent="0.3">
      <c r="B216" s="678">
        <f t="shared" si="12"/>
        <v>206</v>
      </c>
      <c r="C216" s="319" t="s">
        <v>363</v>
      </c>
      <c r="D216" s="321" t="s">
        <v>1446</v>
      </c>
      <c r="E216" s="321" t="s">
        <v>1447</v>
      </c>
      <c r="F216" s="320">
        <f>+SUMIFS('TB Grouping'!F:F,'TB Grouping'!H:H,masterTBCY[[#This Row],[Note Line]])</f>
        <v>0</v>
      </c>
      <c r="G216" s="2562">
        <f ca="1">SUMIF('Additional &amp; Presentation Entry'!E:E,masterTBCY[[#This Row],[Note Line]],'Additional &amp; Presentation Entry'!G:G)</f>
        <v>0</v>
      </c>
      <c r="H216" s="2562">
        <f>SUMIF('Additional &amp; Presentation Entry'!L:L,masterTBCY[[#This Row],[Note Line]],'Additional &amp; Presentation Entry'!N:N)</f>
        <v>0</v>
      </c>
      <c r="I216" s="320">
        <f>+masterTBCY[[#This Row],[Amount as per TB]]+masterTBCY[[#This Row],[Presentation Entry]]</f>
        <v>0</v>
      </c>
      <c r="J216" s="320">
        <f>I216/'Master Data'!$C$25</f>
        <v>0</v>
      </c>
      <c r="K216" s="404" t="s">
        <v>1329</v>
      </c>
      <c r="N216" s="399">
        <v>206</v>
      </c>
      <c r="O216" s="319" t="s">
        <v>363</v>
      </c>
      <c r="P216" s="321" t="s">
        <v>1446</v>
      </c>
      <c r="Q216" s="321" t="s">
        <v>1447</v>
      </c>
      <c r="R216" s="320">
        <f>SUMIF('TB Grouping'!$Q:$Q,'Master TB'!P216,'TB Grouping'!$O:$O)</f>
        <v>0</v>
      </c>
      <c r="S216" s="320">
        <f>SUMIF('Additional &amp; Presentation Entry'!Q:Q,masterTBCY[[#This Row],[Note Line]],'Additional &amp; Presentation Entry'!S:S)</f>
        <v>0</v>
      </c>
      <c r="T216" s="320">
        <f>SUMIF('Additional &amp; Presentation Entry'!X:X,masterTBCY[[#This Row],[Note Line]],'Additional &amp; Presentation Entry'!Z:Z)</f>
        <v>0</v>
      </c>
      <c r="U216" s="320">
        <f t="shared" si="13"/>
        <v>0</v>
      </c>
      <c r="V216" s="320">
        <f>U216/'Master Data'!$C$25</f>
        <v>0</v>
      </c>
      <c r="W216" s="400" t="str">
        <f t="shared" si="14"/>
        <v>Balance Sheet</v>
      </c>
    </row>
    <row r="217" spans="2:23" x14ac:dyDescent="0.3">
      <c r="B217" s="678">
        <f t="shared" si="12"/>
        <v>207</v>
      </c>
      <c r="C217" s="319" t="s">
        <v>363</v>
      </c>
      <c r="D217" s="321" t="s">
        <v>1448</v>
      </c>
      <c r="E217" s="321" t="s">
        <v>1449</v>
      </c>
      <c r="F217" s="320">
        <f>+SUMIFS('TB Grouping'!F:F,'TB Grouping'!H:H,masterTBCY[[#This Row],[Note Line]])</f>
        <v>0</v>
      </c>
      <c r="G217" s="2562">
        <f ca="1">SUMIF('Additional &amp; Presentation Entry'!E:E,masterTBCY[[#This Row],[Note Line]],'Additional &amp; Presentation Entry'!G:G)</f>
        <v>0</v>
      </c>
      <c r="H217" s="2562">
        <f>SUMIF('Additional &amp; Presentation Entry'!L:L,masterTBCY[[#This Row],[Note Line]],'Additional &amp; Presentation Entry'!N:N)</f>
        <v>0</v>
      </c>
      <c r="I217" s="320">
        <f>+masterTBCY[[#This Row],[Amount as per TB]]+masterTBCY[[#This Row],[Presentation Entry]]</f>
        <v>0</v>
      </c>
      <c r="J217" s="320">
        <f>I217/'Master Data'!$C$25</f>
        <v>0</v>
      </c>
      <c r="K217" s="404" t="s">
        <v>1329</v>
      </c>
      <c r="N217" s="399">
        <v>207</v>
      </c>
      <c r="O217" s="319" t="s">
        <v>363</v>
      </c>
      <c r="P217" s="321" t="s">
        <v>1448</v>
      </c>
      <c r="Q217" s="321" t="s">
        <v>1449</v>
      </c>
      <c r="R217" s="320">
        <f>SUMIF('TB Grouping'!$Q:$Q,'Master TB'!P217,'TB Grouping'!$O:$O)</f>
        <v>0</v>
      </c>
      <c r="S217" s="320">
        <f>SUMIF('Additional &amp; Presentation Entry'!Q:Q,masterTBCY[[#This Row],[Note Line]],'Additional &amp; Presentation Entry'!S:S)</f>
        <v>0</v>
      </c>
      <c r="T217" s="320">
        <f>SUMIF('Additional &amp; Presentation Entry'!X:X,masterTBCY[[#This Row],[Note Line]],'Additional &amp; Presentation Entry'!Z:Z)</f>
        <v>0</v>
      </c>
      <c r="U217" s="320">
        <f t="shared" si="13"/>
        <v>0</v>
      </c>
      <c r="V217" s="320">
        <f>U217/'Master Data'!$C$25</f>
        <v>0</v>
      </c>
      <c r="W217" s="400" t="str">
        <f t="shared" si="14"/>
        <v>Balance Sheet</v>
      </c>
    </row>
    <row r="218" spans="2:23" x14ac:dyDescent="0.3">
      <c r="B218" s="678">
        <f t="shared" si="12"/>
        <v>208</v>
      </c>
      <c r="C218" s="319" t="s">
        <v>363</v>
      </c>
      <c r="D218" s="321" t="s">
        <v>1450</v>
      </c>
      <c r="E218" s="321" t="s">
        <v>1451</v>
      </c>
      <c r="F218" s="320">
        <f>+SUMIFS('TB Grouping'!F:F,'TB Grouping'!H:H,masterTBCY[[#This Row],[Note Line]])</f>
        <v>0</v>
      </c>
      <c r="G218" s="2562">
        <f ca="1">SUMIF('Additional &amp; Presentation Entry'!E:E,masterTBCY[[#This Row],[Note Line]],'Additional &amp; Presentation Entry'!G:G)</f>
        <v>0</v>
      </c>
      <c r="H218" s="2562">
        <f>SUMIF('Additional &amp; Presentation Entry'!L:L,masterTBCY[[#This Row],[Note Line]],'Additional &amp; Presentation Entry'!N:N)</f>
        <v>0</v>
      </c>
      <c r="I218" s="320">
        <f>+masterTBCY[[#This Row],[Amount as per TB]]+masterTBCY[[#This Row],[Presentation Entry]]</f>
        <v>0</v>
      </c>
      <c r="J218" s="320">
        <f>I218/'Master Data'!$C$25</f>
        <v>0</v>
      </c>
      <c r="K218" s="404" t="s">
        <v>1329</v>
      </c>
      <c r="N218" s="399">
        <v>208</v>
      </c>
      <c r="O218" s="319" t="s">
        <v>363</v>
      </c>
      <c r="P218" s="321" t="s">
        <v>1450</v>
      </c>
      <c r="Q218" s="321" t="s">
        <v>1451</v>
      </c>
      <c r="R218" s="320">
        <f>SUMIF('TB Grouping'!$Q:$Q,'Master TB'!P218,'TB Grouping'!$O:$O)</f>
        <v>0</v>
      </c>
      <c r="S218" s="320">
        <f>SUMIF('Additional &amp; Presentation Entry'!Q:Q,masterTBCY[[#This Row],[Note Line]],'Additional &amp; Presentation Entry'!S:S)</f>
        <v>0</v>
      </c>
      <c r="T218" s="320">
        <f>SUMIF('Additional &amp; Presentation Entry'!X:X,masterTBCY[[#This Row],[Note Line]],'Additional &amp; Presentation Entry'!Z:Z)</f>
        <v>0</v>
      </c>
      <c r="U218" s="320">
        <f t="shared" si="13"/>
        <v>0</v>
      </c>
      <c r="V218" s="320">
        <f>U218/'Master Data'!$C$25</f>
        <v>0</v>
      </c>
      <c r="W218" s="400" t="str">
        <f t="shared" si="14"/>
        <v>Balance Sheet</v>
      </c>
    </row>
    <row r="219" spans="2:23" x14ac:dyDescent="0.3">
      <c r="B219" s="678">
        <f t="shared" si="12"/>
        <v>209</v>
      </c>
      <c r="C219" s="319" t="s">
        <v>363</v>
      </c>
      <c r="D219" s="321" t="s">
        <v>2009</v>
      </c>
      <c r="E219" s="321" t="s">
        <v>1452</v>
      </c>
      <c r="F219" s="320">
        <f>+SUMIFS('TB Grouping'!F:F,'TB Grouping'!H:H,masterTBCY[[#This Row],[Note Line]])</f>
        <v>0</v>
      </c>
      <c r="G219" s="2562">
        <f ca="1">SUMIF('Additional &amp; Presentation Entry'!E:E,masterTBCY[[#This Row],[Note Line]],'Additional &amp; Presentation Entry'!G:G)</f>
        <v>0</v>
      </c>
      <c r="H219" s="2562">
        <f>SUMIF('Additional &amp; Presentation Entry'!L:L,masterTBCY[[#This Row],[Note Line]],'Additional &amp; Presentation Entry'!N:N)</f>
        <v>0</v>
      </c>
      <c r="I219" s="320">
        <f>+masterTBCY[[#This Row],[Amount as per TB]]+masterTBCY[[#This Row],[Presentation Entry]]</f>
        <v>0</v>
      </c>
      <c r="J219" s="320">
        <f>I219/'Master Data'!$C$25</f>
        <v>0</v>
      </c>
      <c r="K219" s="404" t="s">
        <v>1329</v>
      </c>
      <c r="N219" s="399">
        <v>209</v>
      </c>
      <c r="O219" s="319" t="s">
        <v>363</v>
      </c>
      <c r="P219" s="321" t="s">
        <v>2009</v>
      </c>
      <c r="Q219" s="321" t="s">
        <v>1452</v>
      </c>
      <c r="R219" s="320">
        <f>SUMIF('TB Grouping'!$Q:$Q,'Master TB'!P219,'TB Grouping'!$O:$O)</f>
        <v>0</v>
      </c>
      <c r="S219" s="320">
        <f>SUMIF('Additional &amp; Presentation Entry'!Q:Q,masterTBCY[[#This Row],[Note Line]],'Additional &amp; Presentation Entry'!S:S)</f>
        <v>0</v>
      </c>
      <c r="T219" s="320">
        <f>SUMIF('Additional &amp; Presentation Entry'!X:X,masterTBCY[[#This Row],[Note Line]],'Additional &amp; Presentation Entry'!Z:Z)</f>
        <v>0</v>
      </c>
      <c r="U219" s="320">
        <f t="shared" si="13"/>
        <v>0</v>
      </c>
      <c r="V219" s="320">
        <f>U219/'Master Data'!$C$25</f>
        <v>0</v>
      </c>
      <c r="W219" s="400" t="str">
        <f t="shared" si="14"/>
        <v>Balance Sheet</v>
      </c>
    </row>
    <row r="220" spans="2:23" x14ac:dyDescent="0.3">
      <c r="B220" s="678">
        <f t="shared" si="12"/>
        <v>210</v>
      </c>
      <c r="C220" s="319" t="s">
        <v>363</v>
      </c>
      <c r="D220" s="321" t="s">
        <v>2019</v>
      </c>
      <c r="E220" s="321" t="s">
        <v>2035</v>
      </c>
      <c r="F220" s="320">
        <f>+SUMIFS('TB Grouping'!F:F,'TB Grouping'!H:H,masterTBCY[[#This Row],[Note Line]])</f>
        <v>0</v>
      </c>
      <c r="G220" s="2562">
        <f ca="1">SUMIF('Additional &amp; Presentation Entry'!E:E,masterTBCY[[#This Row],[Note Line]],'Additional &amp; Presentation Entry'!G:G)</f>
        <v>0</v>
      </c>
      <c r="H220" s="2562">
        <f>SUMIF('Additional &amp; Presentation Entry'!L:L,masterTBCY[[#This Row],[Note Line]],'Additional &amp; Presentation Entry'!N:N)</f>
        <v>0</v>
      </c>
      <c r="I220" s="320">
        <f>+masterTBCY[[#This Row],[Amount as per TB]]+masterTBCY[[#This Row],[Presentation Entry]]</f>
        <v>0</v>
      </c>
      <c r="J220" s="320">
        <f>I220/'Master Data'!$C$25</f>
        <v>0</v>
      </c>
      <c r="K220" s="404" t="s">
        <v>1329</v>
      </c>
      <c r="N220" s="399">
        <v>210</v>
      </c>
      <c r="O220" s="319" t="s">
        <v>363</v>
      </c>
      <c r="P220" s="321" t="s">
        <v>2019</v>
      </c>
      <c r="Q220" s="321" t="s">
        <v>2035</v>
      </c>
      <c r="R220" s="320">
        <f>SUMIF('TB Grouping'!$Q:$Q,'Master TB'!P220,'TB Grouping'!$O:$O)</f>
        <v>0</v>
      </c>
      <c r="S220" s="320">
        <f>SUMIF('Additional &amp; Presentation Entry'!Q:Q,masterTBCY[[#This Row],[Note Line]],'Additional &amp; Presentation Entry'!S:S)</f>
        <v>0</v>
      </c>
      <c r="T220" s="320">
        <f>SUMIF('Additional &amp; Presentation Entry'!X:X,masterTBCY[[#This Row],[Note Line]],'Additional &amp; Presentation Entry'!Z:Z)</f>
        <v>0</v>
      </c>
      <c r="U220" s="320">
        <f t="shared" si="13"/>
        <v>0</v>
      </c>
      <c r="V220" s="320">
        <f>U220/'Master Data'!$C$25</f>
        <v>0</v>
      </c>
      <c r="W220" s="400" t="str">
        <f t="shared" si="14"/>
        <v>Balance Sheet</v>
      </c>
    </row>
    <row r="221" spans="2:23" x14ac:dyDescent="0.3">
      <c r="B221" s="678">
        <f t="shared" si="12"/>
        <v>211</v>
      </c>
      <c r="C221" s="319" t="s">
        <v>363</v>
      </c>
      <c r="D221" s="321" t="s">
        <v>2020</v>
      </c>
      <c r="E221" s="321" t="s">
        <v>2036</v>
      </c>
      <c r="F221" s="320">
        <f>+SUMIFS('TB Grouping'!F:F,'TB Grouping'!H:H,masterTBCY[[#This Row],[Note Line]])</f>
        <v>0</v>
      </c>
      <c r="G221" s="2562">
        <f ca="1">SUMIF('Additional &amp; Presentation Entry'!E:E,masterTBCY[[#This Row],[Note Line]],'Additional &amp; Presentation Entry'!G:G)</f>
        <v>0</v>
      </c>
      <c r="H221" s="2562">
        <f>SUMIF('Additional &amp; Presentation Entry'!L:L,masterTBCY[[#This Row],[Note Line]],'Additional &amp; Presentation Entry'!N:N)</f>
        <v>0</v>
      </c>
      <c r="I221" s="320">
        <f>+masterTBCY[[#This Row],[Amount as per TB]]+masterTBCY[[#This Row],[Presentation Entry]]</f>
        <v>0</v>
      </c>
      <c r="J221" s="320">
        <f>I221/'Master Data'!$C$25</f>
        <v>0</v>
      </c>
      <c r="K221" s="404" t="s">
        <v>1329</v>
      </c>
      <c r="N221" s="399">
        <v>211</v>
      </c>
      <c r="O221" s="319" t="s">
        <v>363</v>
      </c>
      <c r="P221" s="321" t="s">
        <v>2020</v>
      </c>
      <c r="Q221" s="321" t="s">
        <v>2036</v>
      </c>
      <c r="R221" s="320">
        <f>SUMIF('TB Grouping'!$Q:$Q,'Master TB'!P221,'TB Grouping'!$O:$O)</f>
        <v>0</v>
      </c>
      <c r="S221" s="320">
        <f>SUMIF('Additional &amp; Presentation Entry'!Q:Q,masterTBCY[[#This Row],[Note Line]],'Additional &amp; Presentation Entry'!S:S)</f>
        <v>0</v>
      </c>
      <c r="T221" s="320">
        <f>SUMIF('Additional &amp; Presentation Entry'!X:X,masterTBCY[[#This Row],[Note Line]],'Additional &amp; Presentation Entry'!Z:Z)</f>
        <v>0</v>
      </c>
      <c r="U221" s="320">
        <f t="shared" si="13"/>
        <v>0</v>
      </c>
      <c r="V221" s="320">
        <f>U221/'Master Data'!$C$25</f>
        <v>0</v>
      </c>
      <c r="W221" s="400" t="str">
        <f t="shared" si="14"/>
        <v>Balance Sheet</v>
      </c>
    </row>
    <row r="222" spans="2:23" x14ac:dyDescent="0.3">
      <c r="B222" s="678">
        <f t="shared" si="12"/>
        <v>212</v>
      </c>
      <c r="C222" s="319" t="s">
        <v>363</v>
      </c>
      <c r="D222" s="321" t="s">
        <v>2021</v>
      </c>
      <c r="E222" s="321" t="s">
        <v>2037</v>
      </c>
      <c r="F222" s="320">
        <f>+SUMIFS('TB Grouping'!F:F,'TB Grouping'!H:H,masterTBCY[[#This Row],[Note Line]])</f>
        <v>0</v>
      </c>
      <c r="G222" s="2562">
        <f ca="1">SUMIF('Additional &amp; Presentation Entry'!E:E,masterTBCY[[#This Row],[Note Line]],'Additional &amp; Presentation Entry'!G:G)</f>
        <v>0</v>
      </c>
      <c r="H222" s="2562">
        <f>SUMIF('Additional &amp; Presentation Entry'!L:L,masterTBCY[[#This Row],[Note Line]],'Additional &amp; Presentation Entry'!N:N)</f>
        <v>0</v>
      </c>
      <c r="I222" s="320">
        <f>+masterTBCY[[#This Row],[Amount as per TB]]+masterTBCY[[#This Row],[Presentation Entry]]</f>
        <v>0</v>
      </c>
      <c r="J222" s="320">
        <f>I222/'Master Data'!$C$25</f>
        <v>0</v>
      </c>
      <c r="K222" s="404" t="s">
        <v>1329</v>
      </c>
      <c r="N222" s="399">
        <v>212</v>
      </c>
      <c r="O222" s="319" t="s">
        <v>363</v>
      </c>
      <c r="P222" s="321" t="s">
        <v>2021</v>
      </c>
      <c r="Q222" s="321" t="s">
        <v>2037</v>
      </c>
      <c r="R222" s="320">
        <f>SUMIF('TB Grouping'!$Q:$Q,'Master TB'!P222,'TB Grouping'!$O:$O)</f>
        <v>0</v>
      </c>
      <c r="S222" s="320">
        <f>SUMIF('Additional &amp; Presentation Entry'!Q:Q,masterTBCY[[#This Row],[Note Line]],'Additional &amp; Presentation Entry'!S:S)</f>
        <v>0</v>
      </c>
      <c r="T222" s="320">
        <f>SUMIF('Additional &amp; Presentation Entry'!X:X,masterTBCY[[#This Row],[Note Line]],'Additional &amp; Presentation Entry'!Z:Z)</f>
        <v>0</v>
      </c>
      <c r="U222" s="320">
        <f t="shared" si="13"/>
        <v>0</v>
      </c>
      <c r="V222" s="320">
        <f>U222/'Master Data'!$C$25</f>
        <v>0</v>
      </c>
      <c r="W222" s="400" t="str">
        <f t="shared" si="14"/>
        <v>Balance Sheet</v>
      </c>
    </row>
    <row r="223" spans="2:23" x14ac:dyDescent="0.3">
      <c r="B223" s="678">
        <f t="shared" si="12"/>
        <v>213</v>
      </c>
      <c r="C223" s="319" t="s">
        <v>363</v>
      </c>
      <c r="D223" s="321" t="s">
        <v>2022</v>
      </c>
      <c r="E223" s="321" t="s">
        <v>2038</v>
      </c>
      <c r="F223" s="320">
        <f>+SUMIFS('TB Grouping'!F:F,'TB Grouping'!H:H,masterTBCY[[#This Row],[Note Line]])</f>
        <v>0</v>
      </c>
      <c r="G223" s="2562">
        <f ca="1">SUMIF('Additional &amp; Presentation Entry'!E:E,masterTBCY[[#This Row],[Note Line]],'Additional &amp; Presentation Entry'!G:G)</f>
        <v>0</v>
      </c>
      <c r="H223" s="2562">
        <f>SUMIF('Additional &amp; Presentation Entry'!L:L,masterTBCY[[#This Row],[Note Line]],'Additional &amp; Presentation Entry'!N:N)</f>
        <v>0</v>
      </c>
      <c r="I223" s="320">
        <f>+masterTBCY[[#This Row],[Amount as per TB]]+masterTBCY[[#This Row],[Presentation Entry]]</f>
        <v>0</v>
      </c>
      <c r="J223" s="320">
        <f>I223/'Master Data'!$C$25</f>
        <v>0</v>
      </c>
      <c r="K223" s="404" t="s">
        <v>1329</v>
      </c>
      <c r="N223" s="399">
        <v>213</v>
      </c>
      <c r="O223" s="319" t="s">
        <v>363</v>
      </c>
      <c r="P223" s="321" t="s">
        <v>2022</v>
      </c>
      <c r="Q223" s="321" t="s">
        <v>2038</v>
      </c>
      <c r="R223" s="320">
        <f>SUMIF('TB Grouping'!$Q:$Q,'Master TB'!P223,'TB Grouping'!$O:$O)</f>
        <v>0</v>
      </c>
      <c r="S223" s="320">
        <f>SUMIF('Additional &amp; Presentation Entry'!Q:Q,masterTBCY[[#This Row],[Note Line]],'Additional &amp; Presentation Entry'!S:S)</f>
        <v>0</v>
      </c>
      <c r="T223" s="320">
        <f>SUMIF('Additional &amp; Presentation Entry'!X:X,masterTBCY[[#This Row],[Note Line]],'Additional &amp; Presentation Entry'!Z:Z)</f>
        <v>0</v>
      </c>
      <c r="U223" s="320">
        <f t="shared" si="13"/>
        <v>0</v>
      </c>
      <c r="V223" s="320">
        <f>U223/'Master Data'!$C$25</f>
        <v>0</v>
      </c>
      <c r="W223" s="400" t="str">
        <f t="shared" si="14"/>
        <v>Balance Sheet</v>
      </c>
    </row>
    <row r="224" spans="2:23" x14ac:dyDescent="0.3">
      <c r="B224" s="678">
        <f t="shared" si="12"/>
        <v>214</v>
      </c>
      <c r="C224" s="319" t="s">
        <v>363</v>
      </c>
      <c r="D224" s="321" t="s">
        <v>1453</v>
      </c>
      <c r="E224" s="321" t="s">
        <v>1454</v>
      </c>
      <c r="F224" s="320">
        <f>+SUMIFS('TB Grouping'!F:F,'TB Grouping'!H:H,masterTBCY[[#This Row],[Note Line]])</f>
        <v>0</v>
      </c>
      <c r="G224" s="2562">
        <f ca="1">SUMIF('Additional &amp; Presentation Entry'!E:E,masterTBCY[[#This Row],[Note Line]],'Additional &amp; Presentation Entry'!G:G)</f>
        <v>0</v>
      </c>
      <c r="H224" s="2562">
        <f>SUMIF('Additional &amp; Presentation Entry'!L:L,masterTBCY[[#This Row],[Note Line]],'Additional &amp; Presentation Entry'!N:N)</f>
        <v>0</v>
      </c>
      <c r="I224" s="320">
        <f>+masterTBCY[[#This Row],[Amount as per TB]]+masterTBCY[[#This Row],[Presentation Entry]]</f>
        <v>0</v>
      </c>
      <c r="J224" s="320">
        <f>I224/'Master Data'!$C$25</f>
        <v>0</v>
      </c>
      <c r="K224" s="404" t="s">
        <v>1329</v>
      </c>
      <c r="N224" s="399">
        <v>214</v>
      </c>
      <c r="O224" s="319" t="s">
        <v>363</v>
      </c>
      <c r="P224" s="321" t="s">
        <v>1453</v>
      </c>
      <c r="Q224" s="321" t="s">
        <v>1454</v>
      </c>
      <c r="R224" s="320">
        <f>SUMIF('TB Grouping'!$Q:$Q,'Master TB'!P224,'TB Grouping'!$O:$O)</f>
        <v>0</v>
      </c>
      <c r="S224" s="320">
        <f>SUMIF('Additional &amp; Presentation Entry'!Q:Q,masterTBCY[[#This Row],[Note Line]],'Additional &amp; Presentation Entry'!S:S)</f>
        <v>0</v>
      </c>
      <c r="T224" s="320">
        <f>SUMIF('Additional &amp; Presentation Entry'!X:X,masterTBCY[[#This Row],[Note Line]],'Additional &amp; Presentation Entry'!Z:Z)</f>
        <v>0</v>
      </c>
      <c r="U224" s="320">
        <f t="shared" si="13"/>
        <v>0</v>
      </c>
      <c r="V224" s="320">
        <f>U224/'Master Data'!$C$25</f>
        <v>0</v>
      </c>
      <c r="W224" s="400" t="str">
        <f t="shared" si="14"/>
        <v>Balance Sheet</v>
      </c>
    </row>
    <row r="225" spans="2:23" x14ac:dyDescent="0.3">
      <c r="B225" s="678">
        <f t="shared" si="12"/>
        <v>215</v>
      </c>
      <c r="C225" s="319" t="s">
        <v>363</v>
      </c>
      <c r="D225" s="321" t="s">
        <v>1455</v>
      </c>
      <c r="E225" s="321" t="s">
        <v>1456</v>
      </c>
      <c r="F225" s="320">
        <f>+SUMIFS('TB Grouping'!F:F,'TB Grouping'!H:H,masterTBCY[[#This Row],[Note Line]])</f>
        <v>0</v>
      </c>
      <c r="G225" s="2562">
        <f ca="1">SUMIF('Additional &amp; Presentation Entry'!E:E,masterTBCY[[#This Row],[Note Line]],'Additional &amp; Presentation Entry'!G:G)</f>
        <v>0</v>
      </c>
      <c r="H225" s="2562">
        <f>SUMIF('Additional &amp; Presentation Entry'!L:L,masterTBCY[[#This Row],[Note Line]],'Additional &amp; Presentation Entry'!N:N)</f>
        <v>0</v>
      </c>
      <c r="I225" s="320">
        <f>+masterTBCY[[#This Row],[Amount as per TB]]+masterTBCY[[#This Row],[Presentation Entry]]</f>
        <v>0</v>
      </c>
      <c r="J225" s="320">
        <f>I225/'Master Data'!$C$25</f>
        <v>0</v>
      </c>
      <c r="K225" s="404" t="s">
        <v>1329</v>
      </c>
      <c r="N225" s="399">
        <v>215</v>
      </c>
      <c r="O225" s="319" t="s">
        <v>363</v>
      </c>
      <c r="P225" s="321" t="s">
        <v>1455</v>
      </c>
      <c r="Q225" s="321" t="s">
        <v>1456</v>
      </c>
      <c r="R225" s="320">
        <f>SUMIF('TB Grouping'!$Q:$Q,'Master TB'!P225,'TB Grouping'!$O:$O)</f>
        <v>0</v>
      </c>
      <c r="S225" s="320">
        <f>SUMIF('Additional &amp; Presentation Entry'!Q:Q,masterTBCY[[#This Row],[Note Line]],'Additional &amp; Presentation Entry'!S:S)</f>
        <v>0</v>
      </c>
      <c r="T225" s="320">
        <f>SUMIF('Additional &amp; Presentation Entry'!X:X,masterTBCY[[#This Row],[Note Line]],'Additional &amp; Presentation Entry'!Z:Z)</f>
        <v>0</v>
      </c>
      <c r="U225" s="320">
        <f t="shared" si="13"/>
        <v>0</v>
      </c>
      <c r="V225" s="320">
        <f>U225/'Master Data'!$C$25</f>
        <v>0</v>
      </c>
      <c r="W225" s="400" t="str">
        <f t="shared" si="14"/>
        <v>Balance Sheet</v>
      </c>
    </row>
    <row r="226" spans="2:23" x14ac:dyDescent="0.3">
      <c r="B226" s="678">
        <f t="shared" si="12"/>
        <v>216</v>
      </c>
      <c r="C226" s="319" t="s">
        <v>363</v>
      </c>
      <c r="D226" s="321" t="s">
        <v>1457</v>
      </c>
      <c r="E226" s="321" t="s">
        <v>1458</v>
      </c>
      <c r="F226" s="320">
        <f>+SUMIFS('TB Grouping'!F:F,'TB Grouping'!H:H,masterTBCY[[#This Row],[Note Line]])</f>
        <v>0</v>
      </c>
      <c r="G226" s="2562">
        <f ca="1">SUMIF('Additional &amp; Presentation Entry'!E:E,masterTBCY[[#This Row],[Note Line]],'Additional &amp; Presentation Entry'!G:G)</f>
        <v>0</v>
      </c>
      <c r="H226" s="2562">
        <f>SUMIF('Additional &amp; Presentation Entry'!L:L,masterTBCY[[#This Row],[Note Line]],'Additional &amp; Presentation Entry'!N:N)</f>
        <v>0</v>
      </c>
      <c r="I226" s="320">
        <f>+masterTBCY[[#This Row],[Amount as per TB]]+masterTBCY[[#This Row],[Presentation Entry]]</f>
        <v>0</v>
      </c>
      <c r="J226" s="320">
        <f>I226/'Master Data'!$C$25</f>
        <v>0</v>
      </c>
      <c r="K226" s="404" t="s">
        <v>1329</v>
      </c>
      <c r="N226" s="399">
        <v>216</v>
      </c>
      <c r="O226" s="319" t="s">
        <v>363</v>
      </c>
      <c r="P226" s="321" t="s">
        <v>1457</v>
      </c>
      <c r="Q226" s="321" t="s">
        <v>1458</v>
      </c>
      <c r="R226" s="320">
        <f>SUMIF('TB Grouping'!$Q:$Q,'Master TB'!P226,'TB Grouping'!$O:$O)</f>
        <v>0</v>
      </c>
      <c r="S226" s="320">
        <f>SUMIF('Additional &amp; Presentation Entry'!Q:Q,masterTBCY[[#This Row],[Note Line]],'Additional &amp; Presentation Entry'!S:S)</f>
        <v>0</v>
      </c>
      <c r="T226" s="320">
        <f>SUMIF('Additional &amp; Presentation Entry'!X:X,masterTBCY[[#This Row],[Note Line]],'Additional &amp; Presentation Entry'!Z:Z)</f>
        <v>0</v>
      </c>
      <c r="U226" s="320">
        <f t="shared" si="13"/>
        <v>0</v>
      </c>
      <c r="V226" s="320">
        <f>U226/'Master Data'!$C$25</f>
        <v>0</v>
      </c>
      <c r="W226" s="400" t="str">
        <f t="shared" si="14"/>
        <v>Balance Sheet</v>
      </c>
    </row>
    <row r="227" spans="2:23" x14ac:dyDescent="0.3">
      <c r="B227" s="678">
        <f t="shared" si="12"/>
        <v>217</v>
      </c>
      <c r="C227" s="319" t="s">
        <v>363</v>
      </c>
      <c r="D227" s="321" t="s">
        <v>2008</v>
      </c>
      <c r="E227" s="321" t="s">
        <v>1459</v>
      </c>
      <c r="F227" s="320">
        <f>+SUMIFS('TB Grouping'!F:F,'TB Grouping'!H:H,masterTBCY[[#This Row],[Note Line]])</f>
        <v>0</v>
      </c>
      <c r="G227" s="2562">
        <f ca="1">SUMIF('Additional &amp; Presentation Entry'!E:E,masterTBCY[[#This Row],[Note Line]],'Additional &amp; Presentation Entry'!G:G)</f>
        <v>0</v>
      </c>
      <c r="H227" s="2562">
        <f>SUMIF('Additional &amp; Presentation Entry'!L:L,masterTBCY[[#This Row],[Note Line]],'Additional &amp; Presentation Entry'!N:N)</f>
        <v>0</v>
      </c>
      <c r="I227" s="320">
        <f>+masterTBCY[[#This Row],[Amount as per TB]]+masterTBCY[[#This Row],[Presentation Entry]]</f>
        <v>0</v>
      </c>
      <c r="J227" s="320">
        <f>I227/'Master Data'!$C$25</f>
        <v>0</v>
      </c>
      <c r="K227" s="404" t="s">
        <v>1329</v>
      </c>
      <c r="N227" s="399">
        <v>217</v>
      </c>
      <c r="O227" s="319" t="s">
        <v>363</v>
      </c>
      <c r="P227" s="321" t="s">
        <v>2008</v>
      </c>
      <c r="Q227" s="321" t="s">
        <v>1459</v>
      </c>
      <c r="R227" s="320">
        <f>SUMIF('TB Grouping'!$Q:$Q,'Master TB'!P227,'TB Grouping'!$O:$O)</f>
        <v>0</v>
      </c>
      <c r="S227" s="320">
        <f>SUMIF('Additional &amp; Presentation Entry'!Q:Q,masterTBCY[[#This Row],[Note Line]],'Additional &amp; Presentation Entry'!S:S)</f>
        <v>0</v>
      </c>
      <c r="T227" s="320">
        <f>SUMIF('Additional &amp; Presentation Entry'!X:X,masterTBCY[[#This Row],[Note Line]],'Additional &amp; Presentation Entry'!Z:Z)</f>
        <v>0</v>
      </c>
      <c r="U227" s="320">
        <f t="shared" si="13"/>
        <v>0</v>
      </c>
      <c r="V227" s="320">
        <f>U227/'Master Data'!$C$25</f>
        <v>0</v>
      </c>
      <c r="W227" s="400" t="str">
        <f t="shared" si="14"/>
        <v>Balance Sheet</v>
      </c>
    </row>
    <row r="228" spans="2:23" x14ac:dyDescent="0.3">
      <c r="B228" s="678">
        <f t="shared" si="12"/>
        <v>218</v>
      </c>
      <c r="C228" s="319" t="s">
        <v>363</v>
      </c>
      <c r="D228" s="321" t="s">
        <v>2023</v>
      </c>
      <c r="E228" s="321" t="s">
        <v>2039</v>
      </c>
      <c r="F228" s="320">
        <f>+SUMIFS('TB Grouping'!F:F,'TB Grouping'!H:H,masterTBCY[[#This Row],[Note Line]])</f>
        <v>57623.429999999993</v>
      </c>
      <c r="G228" s="2562">
        <f ca="1">SUMIF('Additional &amp; Presentation Entry'!E:E,masterTBCY[[#This Row],[Note Line]],'Additional &amp; Presentation Entry'!G:G)</f>
        <v>0</v>
      </c>
      <c r="H228" s="2562">
        <f>SUMIF('Additional &amp; Presentation Entry'!L:L,masterTBCY[[#This Row],[Note Line]],'Additional &amp; Presentation Entry'!N:N)</f>
        <v>0</v>
      </c>
      <c r="I228" s="320">
        <f>+masterTBCY[[#This Row],[Amount as per TB]]+masterTBCY[[#This Row],[Presentation Entry]]</f>
        <v>57623.429999999993</v>
      </c>
      <c r="J228" s="320">
        <f>I228/'Master Data'!$C$25</f>
        <v>576.23429999999996</v>
      </c>
      <c r="K228" s="404" t="s">
        <v>1329</v>
      </c>
      <c r="N228" s="399">
        <v>218</v>
      </c>
      <c r="O228" s="319" t="s">
        <v>363</v>
      </c>
      <c r="P228" s="321" t="s">
        <v>2023</v>
      </c>
      <c r="Q228" s="321" t="s">
        <v>2039</v>
      </c>
      <c r="R228" s="320">
        <f>SUMIF('TB Grouping'!$Q:$Q,'Master TB'!P228,'TB Grouping'!$O:$O)</f>
        <v>29125.1</v>
      </c>
      <c r="S228" s="320">
        <f>SUMIF('Additional &amp; Presentation Entry'!Q:Q,masterTBCY[[#This Row],[Note Line]],'Additional &amp; Presentation Entry'!S:S)</f>
        <v>0</v>
      </c>
      <c r="T228" s="320">
        <f>SUMIF('Additional &amp; Presentation Entry'!X:X,masterTBCY[[#This Row],[Note Line]],'Additional &amp; Presentation Entry'!Z:Z)</f>
        <v>0</v>
      </c>
      <c r="U228" s="320">
        <f t="shared" si="13"/>
        <v>29125.1</v>
      </c>
      <c r="V228" s="320">
        <f>U228/'Master Data'!$C$25</f>
        <v>291.25099999999998</v>
      </c>
      <c r="W228" s="400" t="str">
        <f t="shared" si="14"/>
        <v>Balance Sheet</v>
      </c>
    </row>
    <row r="229" spans="2:23" x14ac:dyDescent="0.3">
      <c r="B229" s="678">
        <f t="shared" si="12"/>
        <v>219</v>
      </c>
      <c r="C229" s="319" t="s">
        <v>363</v>
      </c>
      <c r="D229" s="321" t="s">
        <v>2024</v>
      </c>
      <c r="E229" s="321" t="s">
        <v>2040</v>
      </c>
      <c r="F229" s="320">
        <f>+SUMIFS('TB Grouping'!F:F,'TB Grouping'!H:H,masterTBCY[[#This Row],[Note Line]])</f>
        <v>0</v>
      </c>
      <c r="G229" s="2562">
        <f ca="1">SUMIF('Additional &amp; Presentation Entry'!E:E,masterTBCY[[#This Row],[Note Line]],'Additional &amp; Presentation Entry'!G:G)</f>
        <v>0</v>
      </c>
      <c r="H229" s="2562">
        <f>SUMIF('Additional &amp; Presentation Entry'!L:L,masterTBCY[[#This Row],[Note Line]],'Additional &amp; Presentation Entry'!N:N)</f>
        <v>0</v>
      </c>
      <c r="I229" s="320">
        <f>+masterTBCY[[#This Row],[Amount as per TB]]+masterTBCY[[#This Row],[Presentation Entry]]</f>
        <v>0</v>
      </c>
      <c r="J229" s="320">
        <f>I229/'Master Data'!$C$25</f>
        <v>0</v>
      </c>
      <c r="K229" s="404" t="s">
        <v>1329</v>
      </c>
      <c r="N229" s="399">
        <v>219</v>
      </c>
      <c r="O229" s="319" t="s">
        <v>363</v>
      </c>
      <c r="P229" s="321" t="s">
        <v>2024</v>
      </c>
      <c r="Q229" s="321" t="s">
        <v>2040</v>
      </c>
      <c r="R229" s="320">
        <f>SUMIF('TB Grouping'!$Q:$Q,'Master TB'!P229,'TB Grouping'!$O:$O)</f>
        <v>0</v>
      </c>
      <c r="S229" s="320">
        <f>SUMIF('Additional &amp; Presentation Entry'!Q:Q,masterTBCY[[#This Row],[Note Line]],'Additional &amp; Presentation Entry'!S:S)</f>
        <v>0</v>
      </c>
      <c r="T229" s="320">
        <f>SUMIF('Additional &amp; Presentation Entry'!X:X,masterTBCY[[#This Row],[Note Line]],'Additional &amp; Presentation Entry'!Z:Z)</f>
        <v>0</v>
      </c>
      <c r="U229" s="320">
        <f t="shared" si="13"/>
        <v>0</v>
      </c>
      <c r="V229" s="320">
        <f>U229/'Master Data'!$C$25</f>
        <v>0</v>
      </c>
      <c r="W229" s="400" t="str">
        <f t="shared" si="14"/>
        <v>Balance Sheet</v>
      </c>
    </row>
    <row r="230" spans="2:23" x14ac:dyDescent="0.3">
      <c r="B230" s="678">
        <f t="shared" si="12"/>
        <v>220</v>
      </c>
      <c r="C230" s="319" t="s">
        <v>363</v>
      </c>
      <c r="D230" s="321" t="s">
        <v>2025</v>
      </c>
      <c r="E230" s="321" t="s">
        <v>2041</v>
      </c>
      <c r="F230" s="320">
        <f>+SUMIFS('TB Grouping'!F:F,'TB Grouping'!H:H,masterTBCY[[#This Row],[Note Line]])</f>
        <v>0</v>
      </c>
      <c r="G230" s="2562">
        <f ca="1">SUMIF('Additional &amp; Presentation Entry'!E:E,masterTBCY[[#This Row],[Note Line]],'Additional &amp; Presentation Entry'!G:G)</f>
        <v>0</v>
      </c>
      <c r="H230" s="2562">
        <f>SUMIF('Additional &amp; Presentation Entry'!L:L,masterTBCY[[#This Row],[Note Line]],'Additional &amp; Presentation Entry'!N:N)</f>
        <v>0</v>
      </c>
      <c r="I230" s="320">
        <f>+masterTBCY[[#This Row],[Amount as per TB]]+masterTBCY[[#This Row],[Presentation Entry]]</f>
        <v>0</v>
      </c>
      <c r="J230" s="320">
        <f>I230/'Master Data'!$C$25</f>
        <v>0</v>
      </c>
      <c r="K230" s="404" t="s">
        <v>1329</v>
      </c>
      <c r="N230" s="399">
        <v>220</v>
      </c>
      <c r="O230" s="319" t="s">
        <v>363</v>
      </c>
      <c r="P230" s="36" t="s">
        <v>2025</v>
      </c>
      <c r="Q230" s="36" t="s">
        <v>2041</v>
      </c>
      <c r="R230" s="320">
        <f>SUMIF('TB Grouping'!$Q:$Q,'Master TB'!P230,'TB Grouping'!$O:$O)</f>
        <v>0</v>
      </c>
      <c r="S230" s="320">
        <f>SUMIF('Additional &amp; Presentation Entry'!Q:Q,masterTBCY[[#This Row],[Note Line]],'Additional &amp; Presentation Entry'!S:S)</f>
        <v>0</v>
      </c>
      <c r="T230" s="320">
        <f>SUMIF('Additional &amp; Presentation Entry'!X:X,masterTBCY[[#This Row],[Note Line]],'Additional &amp; Presentation Entry'!Z:Z)</f>
        <v>0</v>
      </c>
      <c r="U230" s="320">
        <f t="shared" si="13"/>
        <v>0</v>
      </c>
      <c r="V230" s="320">
        <f>U230/'Master Data'!$C$25</f>
        <v>0</v>
      </c>
      <c r="W230" s="400" t="str">
        <f t="shared" si="14"/>
        <v>Balance Sheet</v>
      </c>
    </row>
    <row r="231" spans="2:23" x14ac:dyDescent="0.3">
      <c r="B231" s="678">
        <f t="shared" si="12"/>
        <v>221</v>
      </c>
      <c r="C231" s="319" t="s">
        <v>363</v>
      </c>
      <c r="D231" s="321" t="s">
        <v>2026</v>
      </c>
      <c r="E231" s="321" t="s">
        <v>2042</v>
      </c>
      <c r="F231" s="320">
        <f>+SUMIFS('TB Grouping'!F:F,'TB Grouping'!H:H,masterTBCY[[#This Row],[Note Line]])</f>
        <v>0</v>
      </c>
      <c r="G231" s="2562">
        <f ca="1">SUMIF('Additional &amp; Presentation Entry'!E:E,masterTBCY[[#This Row],[Note Line]],'Additional &amp; Presentation Entry'!G:G)</f>
        <v>0</v>
      </c>
      <c r="H231" s="2562">
        <f>SUMIF('Additional &amp; Presentation Entry'!L:L,masterTBCY[[#This Row],[Note Line]],'Additional &amp; Presentation Entry'!N:N)</f>
        <v>0</v>
      </c>
      <c r="I231" s="320">
        <f>+masterTBCY[[#This Row],[Amount as per TB]]+masterTBCY[[#This Row],[Presentation Entry]]</f>
        <v>0</v>
      </c>
      <c r="J231" s="320">
        <f>I231/'Master Data'!$C$25</f>
        <v>0</v>
      </c>
      <c r="K231" s="404" t="s">
        <v>1329</v>
      </c>
      <c r="N231" s="399">
        <v>221</v>
      </c>
      <c r="O231" s="319" t="s">
        <v>363</v>
      </c>
      <c r="P231" s="36" t="s">
        <v>2026</v>
      </c>
      <c r="Q231" s="36" t="s">
        <v>2042</v>
      </c>
      <c r="R231" s="320">
        <f>SUMIF('TB Grouping'!$Q:$Q,'Master TB'!P231,'TB Grouping'!$O:$O)</f>
        <v>0</v>
      </c>
      <c r="S231" s="320">
        <f>SUMIF('Additional &amp; Presentation Entry'!Q:Q,masterTBCY[[#This Row],[Note Line]],'Additional &amp; Presentation Entry'!S:S)</f>
        <v>0</v>
      </c>
      <c r="T231" s="320">
        <f>SUMIF('Additional &amp; Presentation Entry'!X:X,masterTBCY[[#This Row],[Note Line]],'Additional &amp; Presentation Entry'!Z:Z)</f>
        <v>0</v>
      </c>
      <c r="U231" s="320">
        <f t="shared" si="13"/>
        <v>0</v>
      </c>
      <c r="V231" s="320">
        <f>U231/'Master Data'!$C$25</f>
        <v>0</v>
      </c>
      <c r="W231" s="400" t="str">
        <f t="shared" si="14"/>
        <v>Balance Sheet</v>
      </c>
    </row>
    <row r="232" spans="2:23" x14ac:dyDescent="0.3">
      <c r="B232" s="678">
        <f t="shared" si="12"/>
        <v>222</v>
      </c>
      <c r="C232" s="319" t="s">
        <v>1643</v>
      </c>
      <c r="D232" s="321" t="s">
        <v>1460</v>
      </c>
      <c r="E232" s="321" t="s">
        <v>1461</v>
      </c>
      <c r="F232" s="320">
        <f>+SUMIFS('TB Grouping'!F:F,'TB Grouping'!H:H,masterTBCY[[#This Row],[Note Line]])</f>
        <v>0</v>
      </c>
      <c r="G232" s="2562">
        <f ca="1">SUMIF('Additional &amp; Presentation Entry'!E:E,masterTBCY[[#This Row],[Note Line]],'Additional &amp; Presentation Entry'!G:G)</f>
        <v>0</v>
      </c>
      <c r="H232" s="2562">
        <f>SUMIF('Additional &amp; Presentation Entry'!L:L,masterTBCY[[#This Row],[Note Line]],'Additional &amp; Presentation Entry'!N:N)</f>
        <v>0</v>
      </c>
      <c r="I232" s="320">
        <f>+masterTBCY[[#This Row],[Amount as per TB]]+masterTBCY[[#This Row],[Presentation Entry]]</f>
        <v>0</v>
      </c>
      <c r="J232" s="320">
        <f>I232/'Master Data'!$C$25</f>
        <v>0</v>
      </c>
      <c r="K232" s="404" t="s">
        <v>1329</v>
      </c>
      <c r="N232" s="399">
        <v>222</v>
      </c>
      <c r="O232" s="319" t="s">
        <v>1643</v>
      </c>
      <c r="P232" s="36" t="s">
        <v>1460</v>
      </c>
      <c r="Q232" s="36" t="s">
        <v>1461</v>
      </c>
      <c r="R232" s="320">
        <f>SUMIF('TB Grouping'!$Q:$Q,'Master TB'!P232,'TB Grouping'!$O:$O)</f>
        <v>0</v>
      </c>
      <c r="S232" s="320">
        <f>SUMIF('Additional &amp; Presentation Entry'!Q:Q,masterTBCY[[#This Row],[Note Line]],'Additional &amp; Presentation Entry'!S:S)</f>
        <v>0</v>
      </c>
      <c r="T232" s="320">
        <f>SUMIF('Additional &amp; Presentation Entry'!X:X,masterTBCY[[#This Row],[Note Line]],'Additional &amp; Presentation Entry'!Z:Z)</f>
        <v>0</v>
      </c>
      <c r="U232" s="320">
        <f t="shared" si="13"/>
        <v>0</v>
      </c>
      <c r="V232" s="320">
        <f>U232/'Master Data'!$C$25</f>
        <v>0</v>
      </c>
      <c r="W232" s="400" t="str">
        <f t="shared" si="14"/>
        <v>Balance Sheet</v>
      </c>
    </row>
    <row r="233" spans="2:23" x14ac:dyDescent="0.3">
      <c r="B233" s="678">
        <f t="shared" si="12"/>
        <v>223</v>
      </c>
      <c r="C233" s="319" t="s">
        <v>1643</v>
      </c>
      <c r="D233" s="321" t="s">
        <v>1462</v>
      </c>
      <c r="E233" s="321" t="s">
        <v>1463</v>
      </c>
      <c r="F233" s="320">
        <f>+SUMIFS('TB Grouping'!F:F,'TB Grouping'!H:H,masterTBCY[[#This Row],[Note Line]])</f>
        <v>0</v>
      </c>
      <c r="G233" s="2562">
        <f ca="1">SUMIF('Additional &amp; Presentation Entry'!E:E,masterTBCY[[#This Row],[Note Line]],'Additional &amp; Presentation Entry'!G:G)</f>
        <v>0</v>
      </c>
      <c r="H233" s="2562">
        <f>SUMIF('Additional &amp; Presentation Entry'!L:L,masterTBCY[[#This Row],[Note Line]],'Additional &amp; Presentation Entry'!N:N)</f>
        <v>0</v>
      </c>
      <c r="I233" s="320">
        <f>+masterTBCY[[#This Row],[Amount as per TB]]+masterTBCY[[#This Row],[Presentation Entry]]</f>
        <v>0</v>
      </c>
      <c r="J233" s="320">
        <f>I233/'Master Data'!$C$25</f>
        <v>0</v>
      </c>
      <c r="K233" s="404" t="s">
        <v>1329</v>
      </c>
      <c r="N233" s="399">
        <v>223</v>
      </c>
      <c r="O233" s="319" t="s">
        <v>1643</v>
      </c>
      <c r="P233" s="36" t="s">
        <v>1462</v>
      </c>
      <c r="Q233" s="36" t="s">
        <v>1463</v>
      </c>
      <c r="R233" s="320">
        <f>SUMIF('TB Grouping'!$Q:$Q,'Master TB'!P233,'TB Grouping'!$O:$O)</f>
        <v>0</v>
      </c>
      <c r="S233" s="320">
        <f>SUMIF('Additional &amp; Presentation Entry'!Q:Q,masterTBCY[[#This Row],[Note Line]],'Additional &amp; Presentation Entry'!S:S)</f>
        <v>0</v>
      </c>
      <c r="T233" s="320">
        <f>SUMIF('Additional &amp; Presentation Entry'!X:X,masterTBCY[[#This Row],[Note Line]],'Additional &amp; Presentation Entry'!Z:Z)</f>
        <v>0</v>
      </c>
      <c r="U233" s="320">
        <f t="shared" si="13"/>
        <v>0</v>
      </c>
      <c r="V233" s="320">
        <f>U233/'Master Data'!$C$25</f>
        <v>0</v>
      </c>
      <c r="W233" s="400" t="str">
        <f t="shared" si="14"/>
        <v>Balance Sheet</v>
      </c>
    </row>
    <row r="234" spans="2:23" x14ac:dyDescent="0.3">
      <c r="B234" s="678">
        <f t="shared" si="12"/>
        <v>224</v>
      </c>
      <c r="C234" s="319" t="s">
        <v>1643</v>
      </c>
      <c r="D234" s="321" t="s">
        <v>1464</v>
      </c>
      <c r="E234" s="321" t="s">
        <v>1465</v>
      </c>
      <c r="F234" s="320">
        <f>+SUMIFS('TB Grouping'!F:F,'TB Grouping'!H:H,masterTBCY[[#This Row],[Note Line]])</f>
        <v>0</v>
      </c>
      <c r="G234" s="2562">
        <f ca="1">SUMIF('Additional &amp; Presentation Entry'!E:E,masterTBCY[[#This Row],[Note Line]],'Additional &amp; Presentation Entry'!G:G)</f>
        <v>0</v>
      </c>
      <c r="H234" s="2562">
        <f>SUMIF('Additional &amp; Presentation Entry'!L:L,masterTBCY[[#This Row],[Note Line]],'Additional &amp; Presentation Entry'!N:N)</f>
        <v>0</v>
      </c>
      <c r="I234" s="320">
        <f>+masterTBCY[[#This Row],[Amount as per TB]]+masterTBCY[[#This Row],[Presentation Entry]]</f>
        <v>0</v>
      </c>
      <c r="J234" s="320">
        <f>I234/'Master Data'!$C$25</f>
        <v>0</v>
      </c>
      <c r="K234" s="404" t="s">
        <v>1329</v>
      </c>
      <c r="N234" s="399">
        <v>224</v>
      </c>
      <c r="O234" s="319" t="s">
        <v>1643</v>
      </c>
      <c r="P234" s="1338" t="s">
        <v>1464</v>
      </c>
      <c r="Q234" s="36" t="s">
        <v>1465</v>
      </c>
      <c r="R234" s="320">
        <f>SUMIF('TB Grouping'!$Q:$Q,'Master TB'!P234,'TB Grouping'!$O:$O)</f>
        <v>0</v>
      </c>
      <c r="S234" s="320">
        <f>SUMIF('Additional &amp; Presentation Entry'!Q:Q,masterTBCY[[#This Row],[Note Line]],'Additional &amp; Presentation Entry'!S:S)</f>
        <v>0</v>
      </c>
      <c r="T234" s="320">
        <f>SUMIF('Additional &amp; Presentation Entry'!X:X,masterTBCY[[#This Row],[Note Line]],'Additional &amp; Presentation Entry'!Z:Z)</f>
        <v>0</v>
      </c>
      <c r="U234" s="320">
        <f t="shared" si="13"/>
        <v>0</v>
      </c>
      <c r="V234" s="320">
        <f>U234/'Master Data'!$C$25</f>
        <v>0</v>
      </c>
      <c r="W234" s="400" t="str">
        <f t="shared" si="14"/>
        <v>Balance Sheet</v>
      </c>
    </row>
    <row r="235" spans="2:23" x14ac:dyDescent="0.3">
      <c r="B235" s="678">
        <f t="shared" si="12"/>
        <v>225</v>
      </c>
      <c r="C235" s="319" t="s">
        <v>1643</v>
      </c>
      <c r="D235" s="321" t="s">
        <v>1466</v>
      </c>
      <c r="E235" s="321" t="s">
        <v>1467</v>
      </c>
      <c r="F235" s="320">
        <f>+SUMIFS('TB Grouping'!F:F,'TB Grouping'!H:H,masterTBCY[[#This Row],[Note Line]])</f>
        <v>1808600</v>
      </c>
      <c r="G235" s="2562">
        <f ca="1">SUMIF('Additional &amp; Presentation Entry'!E:E,masterTBCY[[#This Row],[Note Line]],'Additional &amp; Presentation Entry'!G:G)</f>
        <v>0</v>
      </c>
      <c r="H235" s="2562">
        <f>SUMIF('Additional &amp; Presentation Entry'!L:L,masterTBCY[[#This Row],[Note Line]],'Additional &amp; Presentation Entry'!N:N)</f>
        <v>0</v>
      </c>
      <c r="I235" s="320">
        <f>+masterTBCY[[#This Row],[Amount as per TB]]+masterTBCY[[#This Row],[Presentation Entry]]</f>
        <v>1808600</v>
      </c>
      <c r="J235" s="320">
        <f>I235/'Master Data'!$C$25</f>
        <v>18086</v>
      </c>
      <c r="K235" s="404" t="s">
        <v>1329</v>
      </c>
      <c r="N235" s="399">
        <v>225</v>
      </c>
      <c r="O235" s="319" t="s">
        <v>1643</v>
      </c>
      <c r="P235" s="36" t="s">
        <v>1466</v>
      </c>
      <c r="Q235" s="36" t="s">
        <v>1467</v>
      </c>
      <c r="R235" s="320">
        <f>SUMIF('TB Grouping'!$Q:$Q,'Master TB'!P235,'TB Grouping'!$O:$O)</f>
        <v>1664000</v>
      </c>
      <c r="S235" s="320">
        <f>SUMIF('Additional &amp; Presentation Entry'!Q:Q,masterTBCY[[#This Row],[Note Line]],'Additional &amp; Presentation Entry'!S:S)</f>
        <v>0</v>
      </c>
      <c r="T235" s="320">
        <f>SUMIF('Additional &amp; Presentation Entry'!X:X,masterTBCY[[#This Row],[Note Line]],'Additional &amp; Presentation Entry'!Z:Z)</f>
        <v>0</v>
      </c>
      <c r="U235" s="320">
        <f t="shared" si="13"/>
        <v>1664000</v>
      </c>
      <c r="V235" s="320">
        <f>U235/'Master Data'!$C$25</f>
        <v>16640</v>
      </c>
      <c r="W235" s="400" t="str">
        <f t="shared" si="14"/>
        <v>Balance Sheet</v>
      </c>
    </row>
    <row r="236" spans="2:23" x14ac:dyDescent="0.3">
      <c r="B236" s="678">
        <f t="shared" si="12"/>
        <v>226</v>
      </c>
      <c r="C236" s="319" t="s">
        <v>1643</v>
      </c>
      <c r="D236" s="321" t="s">
        <v>1468</v>
      </c>
      <c r="E236" s="321" t="s">
        <v>1469</v>
      </c>
      <c r="F236" s="320">
        <f>+SUMIFS('TB Grouping'!F:F,'TB Grouping'!H:H,masterTBCY[[#This Row],[Note Line]])</f>
        <v>0</v>
      </c>
      <c r="G236" s="2562">
        <f ca="1">SUMIF('Additional &amp; Presentation Entry'!E:E,masterTBCY[[#This Row],[Note Line]],'Additional &amp; Presentation Entry'!G:G)</f>
        <v>0</v>
      </c>
      <c r="H236" s="2562">
        <f>SUMIF('Additional &amp; Presentation Entry'!L:L,masterTBCY[[#This Row],[Note Line]],'Additional &amp; Presentation Entry'!N:N)</f>
        <v>0</v>
      </c>
      <c r="I236" s="320">
        <f>+masterTBCY[[#This Row],[Amount as per TB]]+masterTBCY[[#This Row],[Presentation Entry]]</f>
        <v>0</v>
      </c>
      <c r="J236" s="320">
        <f>I236/'Master Data'!$C$25</f>
        <v>0</v>
      </c>
      <c r="K236" s="404" t="s">
        <v>1329</v>
      </c>
      <c r="N236" s="399">
        <v>226</v>
      </c>
      <c r="O236" s="319" t="s">
        <v>1643</v>
      </c>
      <c r="P236" s="36" t="s">
        <v>1468</v>
      </c>
      <c r="Q236" s="36" t="s">
        <v>1469</v>
      </c>
      <c r="R236" s="320">
        <f>SUMIF('TB Grouping'!$Q:$Q,'Master TB'!P236,'TB Grouping'!$O:$O)</f>
        <v>0</v>
      </c>
      <c r="S236" s="320">
        <f>SUMIF('Additional &amp; Presentation Entry'!Q:Q,masterTBCY[[#This Row],[Note Line]],'Additional &amp; Presentation Entry'!S:S)</f>
        <v>0</v>
      </c>
      <c r="T236" s="320">
        <f>SUMIF('Additional &amp; Presentation Entry'!X:X,masterTBCY[[#This Row],[Note Line]],'Additional &amp; Presentation Entry'!Z:Z)</f>
        <v>0</v>
      </c>
      <c r="U236" s="320">
        <f t="shared" si="13"/>
        <v>0</v>
      </c>
      <c r="V236" s="320">
        <f>U236/'Master Data'!$C$25</f>
        <v>0</v>
      </c>
      <c r="W236" s="400" t="str">
        <f t="shared" si="14"/>
        <v>Balance Sheet</v>
      </c>
    </row>
    <row r="237" spans="2:23" x14ac:dyDescent="0.3">
      <c r="B237" s="678">
        <f t="shared" si="12"/>
        <v>227</v>
      </c>
      <c r="C237" s="319" t="s">
        <v>1643</v>
      </c>
      <c r="D237" s="321" t="s">
        <v>1470</v>
      </c>
      <c r="E237" s="321" t="s">
        <v>1471</v>
      </c>
      <c r="F237" s="320">
        <f>+SUMIFS('TB Grouping'!F:F,'TB Grouping'!H:H,masterTBCY[[#This Row],[Note Line]])</f>
        <v>0</v>
      </c>
      <c r="G237" s="2562">
        <f ca="1">SUMIF('Additional &amp; Presentation Entry'!E:E,masterTBCY[[#This Row],[Note Line]],'Additional &amp; Presentation Entry'!G:G)</f>
        <v>0</v>
      </c>
      <c r="H237" s="2562">
        <f>SUMIF('Additional &amp; Presentation Entry'!L:L,masterTBCY[[#This Row],[Note Line]],'Additional &amp; Presentation Entry'!N:N)</f>
        <v>0</v>
      </c>
      <c r="I237" s="320">
        <f>+masterTBCY[[#This Row],[Amount as per TB]]+masterTBCY[[#This Row],[Presentation Entry]]</f>
        <v>0</v>
      </c>
      <c r="J237" s="320">
        <f>I237/'Master Data'!$C$25</f>
        <v>0</v>
      </c>
      <c r="K237" s="404" t="s">
        <v>1329</v>
      </c>
      <c r="N237" s="399">
        <v>227</v>
      </c>
      <c r="O237" s="319" t="s">
        <v>1643</v>
      </c>
      <c r="P237" s="36" t="s">
        <v>1470</v>
      </c>
      <c r="Q237" s="36" t="s">
        <v>1471</v>
      </c>
      <c r="R237" s="320">
        <f>SUMIF('TB Grouping'!$Q:$Q,'Master TB'!P237,'TB Grouping'!$O:$O)</f>
        <v>0</v>
      </c>
      <c r="S237" s="320">
        <f>SUMIF('Additional &amp; Presentation Entry'!Q:Q,masterTBCY[[#This Row],[Note Line]],'Additional &amp; Presentation Entry'!S:S)</f>
        <v>0</v>
      </c>
      <c r="T237" s="320">
        <f>SUMIF('Additional &amp; Presentation Entry'!X:X,masterTBCY[[#This Row],[Note Line]],'Additional &amp; Presentation Entry'!Z:Z)</f>
        <v>0</v>
      </c>
      <c r="U237" s="320">
        <f t="shared" si="13"/>
        <v>0</v>
      </c>
      <c r="V237" s="320">
        <f>U237/'Master Data'!$C$25</f>
        <v>0</v>
      </c>
      <c r="W237" s="400" t="str">
        <f t="shared" si="14"/>
        <v>Balance Sheet</v>
      </c>
    </row>
    <row r="238" spans="2:23" x14ac:dyDescent="0.3">
      <c r="B238" s="678">
        <f t="shared" si="12"/>
        <v>228</v>
      </c>
      <c r="C238" s="319" t="s">
        <v>1643</v>
      </c>
      <c r="D238" s="321" t="s">
        <v>1472</v>
      </c>
      <c r="E238" s="321" t="s">
        <v>1473</v>
      </c>
      <c r="F238" s="320">
        <f>+SUMIFS('TB Grouping'!F:F,'TB Grouping'!H:H,masterTBCY[[#This Row],[Note Line]])</f>
        <v>0</v>
      </c>
      <c r="G238" s="2562">
        <f ca="1">SUMIF('Additional &amp; Presentation Entry'!E:E,masterTBCY[[#This Row],[Note Line]],'Additional &amp; Presentation Entry'!G:G)</f>
        <v>0</v>
      </c>
      <c r="H238" s="2562">
        <f>SUMIF('Additional &amp; Presentation Entry'!L:L,masterTBCY[[#This Row],[Note Line]],'Additional &amp; Presentation Entry'!N:N)</f>
        <v>0</v>
      </c>
      <c r="I238" s="320">
        <f>+masterTBCY[[#This Row],[Amount as per TB]]+masterTBCY[[#This Row],[Presentation Entry]]</f>
        <v>0</v>
      </c>
      <c r="J238" s="320">
        <f>I238/'Master Data'!$C$25</f>
        <v>0</v>
      </c>
      <c r="K238" s="404" t="s">
        <v>1329</v>
      </c>
      <c r="N238" s="399">
        <v>228</v>
      </c>
      <c r="O238" s="319" t="s">
        <v>1643</v>
      </c>
      <c r="P238" s="321" t="s">
        <v>1472</v>
      </c>
      <c r="Q238" s="321" t="s">
        <v>1473</v>
      </c>
      <c r="R238" s="320">
        <f>SUMIF('TB Grouping'!$Q:$Q,'Master TB'!P238,'TB Grouping'!$O:$O)</f>
        <v>0</v>
      </c>
      <c r="S238" s="320">
        <f>SUMIF('Additional &amp; Presentation Entry'!Q:Q,masterTBCY[[#This Row],[Note Line]],'Additional &amp; Presentation Entry'!S:S)</f>
        <v>0</v>
      </c>
      <c r="T238" s="320">
        <f>SUMIF('Additional &amp; Presentation Entry'!X:X,masterTBCY[[#This Row],[Note Line]],'Additional &amp; Presentation Entry'!Z:Z)</f>
        <v>0</v>
      </c>
      <c r="U238" s="320">
        <f t="shared" si="13"/>
        <v>0</v>
      </c>
      <c r="V238" s="320">
        <f>U238/'Master Data'!$C$25</f>
        <v>0</v>
      </c>
      <c r="W238" s="400" t="str">
        <f t="shared" si="14"/>
        <v>Balance Sheet</v>
      </c>
    </row>
    <row r="239" spans="2:23" x14ac:dyDescent="0.3">
      <c r="B239" s="678">
        <f t="shared" si="12"/>
        <v>229</v>
      </c>
      <c r="C239" s="319" t="s">
        <v>1643</v>
      </c>
      <c r="D239" s="321" t="s">
        <v>1474</v>
      </c>
      <c r="E239" s="321" t="s">
        <v>1475</v>
      </c>
      <c r="F239" s="320">
        <f>+SUMIFS('TB Grouping'!F:F,'TB Grouping'!H:H,masterTBCY[[#This Row],[Note Line]])</f>
        <v>0</v>
      </c>
      <c r="G239" s="2562">
        <f ca="1">SUMIF('Additional &amp; Presentation Entry'!E:E,masterTBCY[[#This Row],[Note Line]],'Additional &amp; Presentation Entry'!G:G)</f>
        <v>0</v>
      </c>
      <c r="H239" s="2562">
        <f>SUMIF('Additional &amp; Presentation Entry'!L:L,masterTBCY[[#This Row],[Note Line]],'Additional &amp; Presentation Entry'!N:N)</f>
        <v>0</v>
      </c>
      <c r="I239" s="320">
        <f>+masterTBCY[[#This Row],[Amount as per TB]]+masterTBCY[[#This Row],[Presentation Entry]]</f>
        <v>0</v>
      </c>
      <c r="J239" s="320">
        <f>I239/'Master Data'!$C$25</f>
        <v>0</v>
      </c>
      <c r="K239" s="404" t="s">
        <v>1329</v>
      </c>
      <c r="N239" s="399">
        <v>229</v>
      </c>
      <c r="O239" s="319" t="s">
        <v>1643</v>
      </c>
      <c r="P239" s="321" t="s">
        <v>1474</v>
      </c>
      <c r="Q239" s="321" t="s">
        <v>1475</v>
      </c>
      <c r="R239" s="320">
        <f>SUMIF('TB Grouping'!$Q:$Q,'Master TB'!P239,'TB Grouping'!$O:$O)</f>
        <v>0</v>
      </c>
      <c r="S239" s="320">
        <f>SUMIF('Additional &amp; Presentation Entry'!Q:Q,masterTBCY[[#This Row],[Note Line]],'Additional &amp; Presentation Entry'!S:S)</f>
        <v>0</v>
      </c>
      <c r="T239" s="320">
        <f>SUMIF('Additional &amp; Presentation Entry'!X:X,masterTBCY[[#This Row],[Note Line]],'Additional &amp; Presentation Entry'!Z:Z)</f>
        <v>0</v>
      </c>
      <c r="U239" s="320">
        <f t="shared" si="13"/>
        <v>0</v>
      </c>
      <c r="V239" s="320">
        <f>U239/'Master Data'!$C$25</f>
        <v>0</v>
      </c>
      <c r="W239" s="400" t="str">
        <f t="shared" si="14"/>
        <v>Balance Sheet</v>
      </c>
    </row>
    <row r="240" spans="2:23" x14ac:dyDescent="0.3">
      <c r="B240" s="678">
        <f t="shared" si="12"/>
        <v>230</v>
      </c>
      <c r="C240" s="319" t="s">
        <v>1643</v>
      </c>
      <c r="D240" s="321" t="s">
        <v>1476</v>
      </c>
      <c r="E240" s="321" t="s">
        <v>1477</v>
      </c>
      <c r="F240" s="320">
        <f>+SUMIFS('TB Grouping'!F:F,'TB Grouping'!H:H,masterTBCY[[#This Row],[Note Line]])</f>
        <v>0</v>
      </c>
      <c r="G240" s="2562">
        <f ca="1">SUMIF('Additional &amp; Presentation Entry'!E:E,masterTBCY[[#This Row],[Note Line]],'Additional &amp; Presentation Entry'!G:G)</f>
        <v>0</v>
      </c>
      <c r="H240" s="2562">
        <f>SUMIF('Additional &amp; Presentation Entry'!L:L,masterTBCY[[#This Row],[Note Line]],'Additional &amp; Presentation Entry'!N:N)</f>
        <v>0</v>
      </c>
      <c r="I240" s="320">
        <f>+masterTBCY[[#This Row],[Amount as per TB]]+masterTBCY[[#This Row],[Presentation Entry]]</f>
        <v>0</v>
      </c>
      <c r="J240" s="320">
        <f>I240/'Master Data'!$C$25</f>
        <v>0</v>
      </c>
      <c r="K240" s="404" t="s">
        <v>1329</v>
      </c>
      <c r="N240" s="399">
        <v>230</v>
      </c>
      <c r="O240" s="319" t="s">
        <v>1643</v>
      </c>
      <c r="P240" s="321" t="s">
        <v>1476</v>
      </c>
      <c r="Q240" s="321" t="s">
        <v>1477</v>
      </c>
      <c r="R240" s="320">
        <f>SUMIF('TB Grouping'!$Q:$Q,'Master TB'!P240,'TB Grouping'!$O:$O)</f>
        <v>0</v>
      </c>
      <c r="S240" s="320">
        <f>SUMIF('Additional &amp; Presentation Entry'!Q:Q,masterTBCY[[#This Row],[Note Line]],'Additional &amp; Presentation Entry'!S:S)</f>
        <v>0</v>
      </c>
      <c r="T240" s="320">
        <f>SUMIF('Additional &amp; Presentation Entry'!X:X,masterTBCY[[#This Row],[Note Line]],'Additional &amp; Presentation Entry'!Z:Z)</f>
        <v>0</v>
      </c>
      <c r="U240" s="320">
        <f t="shared" si="13"/>
        <v>0</v>
      </c>
      <c r="V240" s="320">
        <f>U240/'Master Data'!$C$25</f>
        <v>0</v>
      </c>
      <c r="W240" s="400" t="str">
        <f t="shared" si="14"/>
        <v>Balance Sheet</v>
      </c>
    </row>
    <row r="241" spans="2:23" x14ac:dyDescent="0.3">
      <c r="B241" s="678">
        <f t="shared" si="12"/>
        <v>231</v>
      </c>
      <c r="C241" s="319" t="s">
        <v>1643</v>
      </c>
      <c r="D241" s="321" t="s">
        <v>1478</v>
      </c>
      <c r="E241" s="321" t="s">
        <v>1479</v>
      </c>
      <c r="F241" s="320">
        <f>+SUMIFS('TB Grouping'!F:F,'TB Grouping'!H:H,masterTBCY[[#This Row],[Note Line]])</f>
        <v>0</v>
      </c>
      <c r="G241" s="2562">
        <f ca="1">SUMIF('Additional &amp; Presentation Entry'!E:E,masterTBCY[[#This Row],[Note Line]],'Additional &amp; Presentation Entry'!G:G)</f>
        <v>0</v>
      </c>
      <c r="H241" s="2562">
        <f>SUMIF('Additional &amp; Presentation Entry'!L:L,masterTBCY[[#This Row],[Note Line]],'Additional &amp; Presentation Entry'!N:N)</f>
        <v>0</v>
      </c>
      <c r="I241" s="320">
        <f>+masterTBCY[[#This Row],[Amount as per TB]]+masterTBCY[[#This Row],[Presentation Entry]]</f>
        <v>0</v>
      </c>
      <c r="J241" s="320">
        <f>I241/'Master Data'!$C$25</f>
        <v>0</v>
      </c>
      <c r="K241" s="404" t="s">
        <v>1329</v>
      </c>
      <c r="N241" s="399">
        <v>231</v>
      </c>
      <c r="O241" s="319" t="s">
        <v>1643</v>
      </c>
      <c r="P241" s="321" t="s">
        <v>1478</v>
      </c>
      <c r="Q241" s="321" t="s">
        <v>1479</v>
      </c>
      <c r="R241" s="320">
        <f>SUMIF('TB Grouping'!$Q:$Q,'Master TB'!P241,'TB Grouping'!$O:$O)</f>
        <v>0</v>
      </c>
      <c r="S241" s="320">
        <f>SUMIF('Additional &amp; Presentation Entry'!Q:Q,masterTBCY[[#This Row],[Note Line]],'Additional &amp; Presentation Entry'!S:S)</f>
        <v>0</v>
      </c>
      <c r="T241" s="320">
        <f>SUMIF('Additional &amp; Presentation Entry'!X:X,masterTBCY[[#This Row],[Note Line]],'Additional &amp; Presentation Entry'!Z:Z)</f>
        <v>0</v>
      </c>
      <c r="U241" s="320">
        <f t="shared" si="13"/>
        <v>0</v>
      </c>
      <c r="V241" s="320">
        <f>U241/'Master Data'!$C$25</f>
        <v>0</v>
      </c>
      <c r="W241" s="400" t="str">
        <f t="shared" si="14"/>
        <v>Balance Sheet</v>
      </c>
    </row>
    <row r="242" spans="2:23" x14ac:dyDescent="0.3">
      <c r="B242" s="678">
        <f t="shared" si="12"/>
        <v>232</v>
      </c>
      <c r="C242" s="319" t="s">
        <v>1643</v>
      </c>
      <c r="D242" s="321" t="s">
        <v>1480</v>
      </c>
      <c r="E242" s="321" t="s">
        <v>1481</v>
      </c>
      <c r="F242" s="320">
        <f>+SUMIFS('TB Grouping'!F:F,'TB Grouping'!H:H,masterTBCY[[#This Row],[Note Line]])</f>
        <v>0</v>
      </c>
      <c r="G242" s="2562">
        <f ca="1">SUMIF('Additional &amp; Presentation Entry'!E:E,masterTBCY[[#This Row],[Note Line]],'Additional &amp; Presentation Entry'!G:G)</f>
        <v>0</v>
      </c>
      <c r="H242" s="2562">
        <f>SUMIF('Additional &amp; Presentation Entry'!L:L,masterTBCY[[#This Row],[Note Line]],'Additional &amp; Presentation Entry'!N:N)</f>
        <v>0</v>
      </c>
      <c r="I242" s="320">
        <f>+masterTBCY[[#This Row],[Amount as per TB]]+masterTBCY[[#This Row],[Presentation Entry]]</f>
        <v>0</v>
      </c>
      <c r="J242" s="320">
        <f>I242/'Master Data'!$C$25</f>
        <v>0</v>
      </c>
      <c r="K242" s="404" t="s">
        <v>1329</v>
      </c>
      <c r="N242" s="399">
        <v>232</v>
      </c>
      <c r="O242" s="319" t="s">
        <v>1643</v>
      </c>
      <c r="P242" s="321" t="s">
        <v>1480</v>
      </c>
      <c r="Q242" s="321" t="s">
        <v>1481</v>
      </c>
      <c r="R242" s="320">
        <f>SUMIF('TB Grouping'!$Q:$Q,'Master TB'!P242,'TB Grouping'!$O:$O)</f>
        <v>0</v>
      </c>
      <c r="S242" s="320">
        <f>SUMIF('Additional &amp; Presentation Entry'!Q:Q,masterTBCY[[#This Row],[Note Line]],'Additional &amp; Presentation Entry'!S:S)</f>
        <v>0</v>
      </c>
      <c r="T242" s="320">
        <f>SUMIF('Additional &amp; Presentation Entry'!X:X,masterTBCY[[#This Row],[Note Line]],'Additional &amp; Presentation Entry'!Z:Z)</f>
        <v>0</v>
      </c>
      <c r="U242" s="320">
        <f t="shared" si="13"/>
        <v>0</v>
      </c>
      <c r="V242" s="320">
        <f>U242/'Master Data'!$C$25</f>
        <v>0</v>
      </c>
      <c r="W242" s="400" t="str">
        <f t="shared" si="14"/>
        <v>Balance Sheet</v>
      </c>
    </row>
    <row r="243" spans="2:23" x14ac:dyDescent="0.3">
      <c r="B243" s="678">
        <f t="shared" si="12"/>
        <v>233</v>
      </c>
      <c r="C243" s="319" t="s">
        <v>1643</v>
      </c>
      <c r="D243" s="321" t="s">
        <v>1482</v>
      </c>
      <c r="E243" s="321" t="s">
        <v>1483</v>
      </c>
      <c r="F243" s="320">
        <f>+SUMIFS('TB Grouping'!F:F,'TB Grouping'!H:H,masterTBCY[[#This Row],[Note Line]])</f>
        <v>0</v>
      </c>
      <c r="G243" s="2562">
        <f ca="1">SUMIF('Additional &amp; Presentation Entry'!E:E,masterTBCY[[#This Row],[Note Line]],'Additional &amp; Presentation Entry'!G:G)</f>
        <v>0</v>
      </c>
      <c r="H243" s="2562">
        <f>SUMIF('Additional &amp; Presentation Entry'!L:L,masterTBCY[[#This Row],[Note Line]],'Additional &amp; Presentation Entry'!N:N)</f>
        <v>0</v>
      </c>
      <c r="I243" s="320">
        <f>+masterTBCY[[#This Row],[Amount as per TB]]+masterTBCY[[#This Row],[Presentation Entry]]</f>
        <v>0</v>
      </c>
      <c r="J243" s="320">
        <f>I243/'Master Data'!$C$25</f>
        <v>0</v>
      </c>
      <c r="K243" s="404" t="s">
        <v>1329</v>
      </c>
      <c r="N243" s="399">
        <v>233</v>
      </c>
      <c r="O243" s="319" t="s">
        <v>1643</v>
      </c>
      <c r="P243" s="321" t="s">
        <v>1482</v>
      </c>
      <c r="Q243" s="321" t="s">
        <v>1483</v>
      </c>
      <c r="R243" s="320">
        <f>SUMIF('TB Grouping'!$Q:$Q,'Master TB'!P243,'TB Grouping'!$O:$O)</f>
        <v>0</v>
      </c>
      <c r="S243" s="320">
        <f>SUMIF('Additional &amp; Presentation Entry'!Q:Q,masterTBCY[[#This Row],[Note Line]],'Additional &amp; Presentation Entry'!S:S)</f>
        <v>0</v>
      </c>
      <c r="T243" s="320">
        <f>SUMIF('Additional &amp; Presentation Entry'!X:X,masterTBCY[[#This Row],[Note Line]],'Additional &amp; Presentation Entry'!Z:Z)</f>
        <v>0</v>
      </c>
      <c r="U243" s="320">
        <f t="shared" si="13"/>
        <v>0</v>
      </c>
      <c r="V243" s="320">
        <f>U243/'Master Data'!$C$25</f>
        <v>0</v>
      </c>
      <c r="W243" s="400" t="str">
        <f t="shared" si="14"/>
        <v>Balance Sheet</v>
      </c>
    </row>
    <row r="244" spans="2:23" x14ac:dyDescent="0.3">
      <c r="B244" s="678">
        <f t="shared" si="12"/>
        <v>234</v>
      </c>
      <c r="C244" s="319" t="s">
        <v>1643</v>
      </c>
      <c r="D244" s="321" t="s">
        <v>1484</v>
      </c>
      <c r="E244" s="321" t="s">
        <v>1485</v>
      </c>
      <c r="F244" s="320">
        <f>+SUMIFS('TB Grouping'!F:F,'TB Grouping'!H:H,masterTBCY[[#This Row],[Note Line]])</f>
        <v>0</v>
      </c>
      <c r="G244" s="2562">
        <f ca="1">SUMIF('Additional &amp; Presentation Entry'!E:E,masterTBCY[[#This Row],[Note Line]],'Additional &amp; Presentation Entry'!G:G)</f>
        <v>0</v>
      </c>
      <c r="H244" s="2562">
        <f>SUMIF('Additional &amp; Presentation Entry'!L:L,masterTBCY[[#This Row],[Note Line]],'Additional &amp; Presentation Entry'!N:N)</f>
        <v>0</v>
      </c>
      <c r="I244" s="320">
        <f>+masterTBCY[[#This Row],[Amount as per TB]]+masterTBCY[[#This Row],[Presentation Entry]]</f>
        <v>0</v>
      </c>
      <c r="J244" s="320">
        <f>I244/'Master Data'!$C$25</f>
        <v>0</v>
      </c>
      <c r="K244" s="404" t="s">
        <v>1329</v>
      </c>
      <c r="N244" s="399">
        <v>234</v>
      </c>
      <c r="O244" s="319" t="s">
        <v>1643</v>
      </c>
      <c r="P244" s="321" t="s">
        <v>1484</v>
      </c>
      <c r="Q244" s="321" t="s">
        <v>1485</v>
      </c>
      <c r="R244" s="320">
        <f>SUMIF('TB Grouping'!$Q:$Q,'Master TB'!P244,'TB Grouping'!$O:$O)</f>
        <v>0</v>
      </c>
      <c r="S244" s="320">
        <f>SUMIF('Additional &amp; Presentation Entry'!Q:Q,masterTBCY[[#This Row],[Note Line]],'Additional &amp; Presentation Entry'!S:S)</f>
        <v>0</v>
      </c>
      <c r="T244" s="320">
        <f>SUMIF('Additional &amp; Presentation Entry'!X:X,masterTBCY[[#This Row],[Note Line]],'Additional &amp; Presentation Entry'!Z:Z)</f>
        <v>0</v>
      </c>
      <c r="U244" s="320">
        <f t="shared" si="13"/>
        <v>0</v>
      </c>
      <c r="V244" s="320">
        <f>U244/'Master Data'!$C$25</f>
        <v>0</v>
      </c>
      <c r="W244" s="400" t="str">
        <f t="shared" si="14"/>
        <v>Balance Sheet</v>
      </c>
    </row>
    <row r="245" spans="2:23" x14ac:dyDescent="0.3">
      <c r="B245" s="678">
        <f t="shared" si="12"/>
        <v>235</v>
      </c>
      <c r="C245" s="319" t="s">
        <v>1643</v>
      </c>
      <c r="D245" s="321" t="s">
        <v>1486</v>
      </c>
      <c r="E245" s="321" t="s">
        <v>1487</v>
      </c>
      <c r="F245" s="320">
        <f>+SUMIFS('TB Grouping'!F:F,'TB Grouping'!H:H,masterTBCY[[#This Row],[Note Line]])</f>
        <v>0</v>
      </c>
      <c r="G245" s="2562">
        <f ca="1">SUMIF('Additional &amp; Presentation Entry'!E:E,masterTBCY[[#This Row],[Note Line]],'Additional &amp; Presentation Entry'!G:G)</f>
        <v>0</v>
      </c>
      <c r="H245" s="2562">
        <f>SUMIF('Additional &amp; Presentation Entry'!L:L,masterTBCY[[#This Row],[Note Line]],'Additional &amp; Presentation Entry'!N:N)</f>
        <v>0</v>
      </c>
      <c r="I245" s="320">
        <f>+masterTBCY[[#This Row],[Amount as per TB]]+masterTBCY[[#This Row],[Presentation Entry]]</f>
        <v>0</v>
      </c>
      <c r="J245" s="320">
        <f>I245/'Master Data'!$C$25</f>
        <v>0</v>
      </c>
      <c r="K245" s="404" t="s">
        <v>1329</v>
      </c>
      <c r="N245" s="399">
        <v>235</v>
      </c>
      <c r="O245" s="319" t="s">
        <v>1643</v>
      </c>
      <c r="P245" s="321" t="s">
        <v>1486</v>
      </c>
      <c r="Q245" s="321" t="s">
        <v>1487</v>
      </c>
      <c r="R245" s="320">
        <f>SUMIF('TB Grouping'!$Q:$Q,'Master TB'!P245,'TB Grouping'!$O:$O)</f>
        <v>0</v>
      </c>
      <c r="S245" s="320">
        <f>SUMIF('Additional &amp; Presentation Entry'!Q:Q,masterTBCY[[#This Row],[Note Line]],'Additional &amp; Presentation Entry'!S:S)</f>
        <v>0</v>
      </c>
      <c r="T245" s="320">
        <f>SUMIF('Additional &amp; Presentation Entry'!X:X,masterTBCY[[#This Row],[Note Line]],'Additional &amp; Presentation Entry'!Z:Z)</f>
        <v>0</v>
      </c>
      <c r="U245" s="320">
        <f t="shared" si="13"/>
        <v>0</v>
      </c>
      <c r="V245" s="320">
        <f>U245/'Master Data'!$C$25</f>
        <v>0</v>
      </c>
      <c r="W245" s="400" t="str">
        <f t="shared" si="14"/>
        <v>Balance Sheet</v>
      </c>
    </row>
    <row r="246" spans="2:23" x14ac:dyDescent="0.3">
      <c r="B246" s="678">
        <f t="shared" si="12"/>
        <v>236</v>
      </c>
      <c r="C246" s="319" t="s">
        <v>1847</v>
      </c>
      <c r="D246" s="36" t="s">
        <v>560</v>
      </c>
      <c r="E246" s="36" t="s">
        <v>1831</v>
      </c>
      <c r="F246" s="320">
        <f>+SUMIFS('TB Grouping'!F:F,'TB Grouping'!H:H,masterTBCY[[#This Row],[Note Line]])</f>
        <v>0</v>
      </c>
      <c r="G246" s="2562">
        <f ca="1">SUMIF('Additional &amp; Presentation Entry'!E:E,masterTBCY[[#This Row],[Note Line]],'Additional &amp; Presentation Entry'!G:G)</f>
        <v>0</v>
      </c>
      <c r="H246" s="2562">
        <f>SUMIF('Additional &amp; Presentation Entry'!L:L,masterTBCY[[#This Row],[Note Line]],'Additional &amp; Presentation Entry'!N:N)</f>
        <v>0</v>
      </c>
      <c r="I246" s="320">
        <f>+masterTBCY[[#This Row],[Amount as per TB]]+masterTBCY[[#This Row],[Presentation Entry]]</f>
        <v>0</v>
      </c>
      <c r="J246" s="320">
        <f>I246/'Master Data'!$C$25</f>
        <v>0</v>
      </c>
      <c r="K246" s="404" t="s">
        <v>1329</v>
      </c>
      <c r="N246" s="399">
        <v>236</v>
      </c>
      <c r="O246" s="319" t="s">
        <v>1847</v>
      </c>
      <c r="P246" s="321" t="s">
        <v>560</v>
      </c>
      <c r="Q246" s="321" t="s">
        <v>1831</v>
      </c>
      <c r="R246" s="320">
        <f>SUMIF('TB Grouping'!$Q:$Q,'Master TB'!P246,'TB Grouping'!$O:$O)</f>
        <v>0</v>
      </c>
      <c r="S246" s="320">
        <f>SUMIF('Additional &amp; Presentation Entry'!Q:Q,masterTBCY[[#This Row],[Note Line]],'Additional &amp; Presentation Entry'!S:S)</f>
        <v>0</v>
      </c>
      <c r="T246" s="320">
        <f>SUMIF('Additional &amp; Presentation Entry'!X:X,masterTBCY[[#This Row],[Note Line]],'Additional &amp; Presentation Entry'!Z:Z)</f>
        <v>0</v>
      </c>
      <c r="U246" s="320">
        <f t="shared" si="13"/>
        <v>0</v>
      </c>
      <c r="V246" s="320">
        <f>U246/'Master Data'!$C$25</f>
        <v>0</v>
      </c>
      <c r="W246" s="400" t="str">
        <f t="shared" ref="W246:W277" si="15">K264</f>
        <v>Balance Sheet</v>
      </c>
    </row>
    <row r="247" spans="2:23" x14ac:dyDescent="0.3">
      <c r="B247" s="678">
        <f t="shared" si="12"/>
        <v>237</v>
      </c>
      <c r="C247" s="319" t="s">
        <v>1847</v>
      </c>
      <c r="D247" s="36" t="s">
        <v>1815</v>
      </c>
      <c r="E247" s="36" t="s">
        <v>1832</v>
      </c>
      <c r="F247" s="320">
        <f>+SUMIFS('TB Grouping'!F:F,'TB Grouping'!H:H,masterTBCY[[#This Row],[Note Line]])</f>
        <v>0</v>
      </c>
      <c r="G247" s="2562">
        <f ca="1">SUMIF('Additional &amp; Presentation Entry'!E:E,masterTBCY[[#This Row],[Note Line]],'Additional &amp; Presentation Entry'!G:G)</f>
        <v>0</v>
      </c>
      <c r="H247" s="2562">
        <f>SUMIF('Additional &amp; Presentation Entry'!L:L,masterTBCY[[#This Row],[Note Line]],'Additional &amp; Presentation Entry'!N:N)</f>
        <v>0</v>
      </c>
      <c r="I247" s="320">
        <f>+masterTBCY[[#This Row],[Amount as per TB]]+masterTBCY[[#This Row],[Presentation Entry]]</f>
        <v>0</v>
      </c>
      <c r="J247" s="320">
        <f>I247/'Master Data'!$C$25</f>
        <v>0</v>
      </c>
      <c r="K247" s="404" t="s">
        <v>1329</v>
      </c>
      <c r="N247" s="399">
        <v>237</v>
      </c>
      <c r="O247" s="319" t="s">
        <v>1847</v>
      </c>
      <c r="P247" s="321" t="s">
        <v>1815</v>
      </c>
      <c r="Q247" s="321" t="s">
        <v>1832</v>
      </c>
      <c r="R247" s="320">
        <f>SUMIF('TB Grouping'!$Q:$Q,'Master TB'!P247,'TB Grouping'!$O:$O)</f>
        <v>0</v>
      </c>
      <c r="S247" s="320">
        <f>SUMIF('Additional &amp; Presentation Entry'!Q:Q,masterTBCY[[#This Row],[Note Line]],'Additional &amp; Presentation Entry'!S:S)</f>
        <v>0</v>
      </c>
      <c r="T247" s="320">
        <f>SUMIF('Additional &amp; Presentation Entry'!X:X,masterTBCY[[#This Row],[Note Line]],'Additional &amp; Presentation Entry'!Z:Z)</f>
        <v>0</v>
      </c>
      <c r="U247" s="320">
        <f t="shared" si="13"/>
        <v>0</v>
      </c>
      <c r="V247" s="320">
        <f>U247/'Master Data'!$C$25</f>
        <v>0</v>
      </c>
      <c r="W247" s="400" t="str">
        <f t="shared" si="15"/>
        <v>Balance Sheet</v>
      </c>
    </row>
    <row r="248" spans="2:23" x14ac:dyDescent="0.3">
      <c r="B248" s="678">
        <f t="shared" si="12"/>
        <v>238</v>
      </c>
      <c r="C248" s="319" t="s">
        <v>1847</v>
      </c>
      <c r="D248" s="36" t="s">
        <v>1848</v>
      </c>
      <c r="E248" s="36" t="s">
        <v>1833</v>
      </c>
      <c r="F248" s="320">
        <f>+SUMIFS('TB Grouping'!F:F,'TB Grouping'!H:H,masterTBCY[[#This Row],[Note Line]])</f>
        <v>0</v>
      </c>
      <c r="G248" s="2562">
        <f ca="1">SUMIF('Additional &amp; Presentation Entry'!E:E,masterTBCY[[#This Row],[Note Line]],'Additional &amp; Presentation Entry'!G:G)</f>
        <v>0</v>
      </c>
      <c r="H248" s="2562">
        <f>SUMIF('Additional &amp; Presentation Entry'!L:L,masterTBCY[[#This Row],[Note Line]],'Additional &amp; Presentation Entry'!N:N)</f>
        <v>0</v>
      </c>
      <c r="I248" s="320">
        <f>+masterTBCY[[#This Row],[Amount as per TB]]+masterTBCY[[#This Row],[Presentation Entry]]</f>
        <v>0</v>
      </c>
      <c r="J248" s="320">
        <f>I248/'Master Data'!$C$25</f>
        <v>0</v>
      </c>
      <c r="K248" s="404" t="s">
        <v>1329</v>
      </c>
      <c r="N248" s="399">
        <v>238</v>
      </c>
      <c r="O248" s="319" t="s">
        <v>1847</v>
      </c>
      <c r="P248" s="321" t="s">
        <v>1848</v>
      </c>
      <c r="Q248" s="321" t="s">
        <v>1833</v>
      </c>
      <c r="R248" s="320">
        <f>SUMIF('TB Grouping'!$Q:$Q,'Master TB'!P248,'TB Grouping'!$O:$O)</f>
        <v>0</v>
      </c>
      <c r="S248" s="320">
        <f>SUMIF('Additional &amp; Presentation Entry'!Q:Q,masterTBCY[[#This Row],[Note Line]],'Additional &amp; Presentation Entry'!S:S)</f>
        <v>0</v>
      </c>
      <c r="T248" s="320">
        <f>SUMIF('Additional &amp; Presentation Entry'!X:X,masterTBCY[[#This Row],[Note Line]],'Additional &amp; Presentation Entry'!Z:Z)</f>
        <v>0</v>
      </c>
      <c r="U248" s="320">
        <f t="shared" si="13"/>
        <v>0</v>
      </c>
      <c r="V248" s="320">
        <f>U248/'Master Data'!$C$25</f>
        <v>0</v>
      </c>
      <c r="W248" s="400" t="str">
        <f t="shared" si="15"/>
        <v>Balance Sheet</v>
      </c>
    </row>
    <row r="249" spans="2:23" x14ac:dyDescent="0.3">
      <c r="B249" s="678">
        <f t="shared" si="12"/>
        <v>239</v>
      </c>
      <c r="C249" s="319" t="s">
        <v>1847</v>
      </c>
      <c r="D249" s="36" t="s">
        <v>1849</v>
      </c>
      <c r="E249" s="36" t="s">
        <v>1834</v>
      </c>
      <c r="F249" s="320">
        <f>+SUMIFS('TB Grouping'!F:F,'TB Grouping'!H:H,masterTBCY[[#This Row],[Note Line]])</f>
        <v>0</v>
      </c>
      <c r="G249" s="2562">
        <f ca="1">SUMIF('Additional &amp; Presentation Entry'!E:E,masterTBCY[[#This Row],[Note Line]],'Additional &amp; Presentation Entry'!G:G)</f>
        <v>0</v>
      </c>
      <c r="H249" s="2562">
        <f>SUMIF('Additional &amp; Presentation Entry'!L:L,masterTBCY[[#This Row],[Note Line]],'Additional &amp; Presentation Entry'!N:N)</f>
        <v>0</v>
      </c>
      <c r="I249" s="320">
        <f>+masterTBCY[[#This Row],[Amount as per TB]]+masterTBCY[[#This Row],[Presentation Entry]]</f>
        <v>0</v>
      </c>
      <c r="J249" s="320">
        <f>I249/'Master Data'!$C$25</f>
        <v>0</v>
      </c>
      <c r="K249" s="404" t="s">
        <v>1329</v>
      </c>
      <c r="N249" s="399">
        <v>239</v>
      </c>
      <c r="O249" s="319" t="s">
        <v>1847</v>
      </c>
      <c r="P249" s="321" t="s">
        <v>1849</v>
      </c>
      <c r="Q249" s="321" t="s">
        <v>1834</v>
      </c>
      <c r="R249" s="320">
        <f>SUMIF('TB Grouping'!$Q:$Q,'Master TB'!P249,'TB Grouping'!$O:$O)</f>
        <v>0</v>
      </c>
      <c r="S249" s="320">
        <f>SUMIF('Additional &amp; Presentation Entry'!Q:Q,masterTBCY[[#This Row],[Note Line]],'Additional &amp; Presentation Entry'!S:S)</f>
        <v>0</v>
      </c>
      <c r="T249" s="320">
        <f>SUMIF('Additional &amp; Presentation Entry'!X:X,masterTBCY[[#This Row],[Note Line]],'Additional &amp; Presentation Entry'!Z:Z)</f>
        <v>0</v>
      </c>
      <c r="U249" s="320">
        <f t="shared" si="13"/>
        <v>0</v>
      </c>
      <c r="V249" s="320">
        <f>U249/'Master Data'!$C$25</f>
        <v>0</v>
      </c>
      <c r="W249" s="400" t="str">
        <f t="shared" si="15"/>
        <v>Balance Sheet</v>
      </c>
    </row>
    <row r="250" spans="2:23" ht="33" x14ac:dyDescent="0.3">
      <c r="B250" s="678">
        <f t="shared" si="12"/>
        <v>240</v>
      </c>
      <c r="C250" s="319" t="s">
        <v>1847</v>
      </c>
      <c r="D250" s="1338" t="s">
        <v>1816</v>
      </c>
      <c r="E250" s="36" t="s">
        <v>1835</v>
      </c>
      <c r="F250" s="320">
        <f>+SUMIFS('TB Grouping'!F:F,'TB Grouping'!H:H,masterTBCY[[#This Row],[Note Line]])</f>
        <v>0</v>
      </c>
      <c r="G250" s="2562">
        <f ca="1">SUMIF('Additional &amp; Presentation Entry'!E:E,masterTBCY[[#This Row],[Note Line]],'Additional &amp; Presentation Entry'!G:G)</f>
        <v>0</v>
      </c>
      <c r="H250" s="2562">
        <f>SUMIF('Additional &amp; Presentation Entry'!L:L,masterTBCY[[#This Row],[Note Line]],'Additional &amp; Presentation Entry'!N:N)</f>
        <v>0</v>
      </c>
      <c r="I250" s="320">
        <f>+masterTBCY[[#This Row],[Amount as per TB]]+masterTBCY[[#This Row],[Presentation Entry]]</f>
        <v>0</v>
      </c>
      <c r="J250" s="320">
        <f>I250/'Master Data'!$C$25</f>
        <v>0</v>
      </c>
      <c r="K250" s="404" t="s">
        <v>1329</v>
      </c>
      <c r="N250" s="399">
        <v>240</v>
      </c>
      <c r="O250" s="319" t="s">
        <v>1847</v>
      </c>
      <c r="P250" s="321" t="s">
        <v>1816</v>
      </c>
      <c r="Q250" s="321" t="s">
        <v>1835</v>
      </c>
      <c r="R250" s="320">
        <f>SUMIF('TB Grouping'!$Q:$Q,'Master TB'!P250,'TB Grouping'!$O:$O)</f>
        <v>0</v>
      </c>
      <c r="S250" s="320">
        <f>SUMIF('Additional &amp; Presentation Entry'!Q:Q,masterTBCY[[#This Row],[Note Line]],'Additional &amp; Presentation Entry'!S:S)</f>
        <v>0</v>
      </c>
      <c r="T250" s="320">
        <f>SUMIF('Additional &amp; Presentation Entry'!X:X,masterTBCY[[#This Row],[Note Line]],'Additional &amp; Presentation Entry'!Z:Z)</f>
        <v>0</v>
      </c>
      <c r="U250" s="320">
        <f t="shared" si="13"/>
        <v>0</v>
      </c>
      <c r="V250" s="320">
        <f>U250/'Master Data'!$C$25</f>
        <v>0</v>
      </c>
      <c r="W250" s="400" t="str">
        <f t="shared" si="15"/>
        <v>Balance Sheet</v>
      </c>
    </row>
    <row r="251" spans="2:23" x14ac:dyDescent="0.3">
      <c r="B251" s="678">
        <f t="shared" si="12"/>
        <v>241</v>
      </c>
      <c r="C251" s="319" t="s">
        <v>1847</v>
      </c>
      <c r="D251" s="36" t="s">
        <v>1817</v>
      </c>
      <c r="E251" s="36" t="s">
        <v>1836</v>
      </c>
      <c r="F251" s="320">
        <f>+SUMIFS('TB Grouping'!F:F,'TB Grouping'!H:H,masterTBCY[[#This Row],[Note Line]])</f>
        <v>0</v>
      </c>
      <c r="G251" s="2562">
        <f ca="1">SUMIF('Additional &amp; Presentation Entry'!E:E,masterTBCY[[#This Row],[Note Line]],'Additional &amp; Presentation Entry'!G:G)</f>
        <v>0</v>
      </c>
      <c r="H251" s="2562">
        <f>SUMIF('Additional &amp; Presentation Entry'!L:L,masterTBCY[[#This Row],[Note Line]],'Additional &amp; Presentation Entry'!N:N)</f>
        <v>0</v>
      </c>
      <c r="I251" s="320">
        <f>+masterTBCY[[#This Row],[Amount as per TB]]+masterTBCY[[#This Row],[Presentation Entry]]</f>
        <v>0</v>
      </c>
      <c r="J251" s="320">
        <f>I251/'Master Data'!$C$25</f>
        <v>0</v>
      </c>
      <c r="K251" s="404" t="s">
        <v>1329</v>
      </c>
      <c r="N251" s="399">
        <v>241</v>
      </c>
      <c r="O251" s="319" t="s">
        <v>1847</v>
      </c>
      <c r="P251" s="321" t="s">
        <v>1817</v>
      </c>
      <c r="Q251" s="321" t="s">
        <v>1836</v>
      </c>
      <c r="R251" s="320">
        <f>SUMIF('TB Grouping'!$Q:$Q,'Master TB'!P251,'TB Grouping'!$O:$O)</f>
        <v>0</v>
      </c>
      <c r="S251" s="320">
        <f>SUMIF('Additional &amp; Presentation Entry'!Q:Q,masterTBCY[[#This Row],[Note Line]],'Additional &amp; Presentation Entry'!S:S)</f>
        <v>0</v>
      </c>
      <c r="T251" s="320">
        <f>SUMIF('Additional &amp; Presentation Entry'!X:X,masterTBCY[[#This Row],[Note Line]],'Additional &amp; Presentation Entry'!Z:Z)</f>
        <v>0</v>
      </c>
      <c r="U251" s="320">
        <f t="shared" si="13"/>
        <v>0</v>
      </c>
      <c r="V251" s="320">
        <f>U251/'Master Data'!$C$25</f>
        <v>0</v>
      </c>
      <c r="W251" s="400" t="str">
        <f t="shared" si="15"/>
        <v>Balance Sheet</v>
      </c>
    </row>
    <row r="252" spans="2:23" x14ac:dyDescent="0.3">
      <c r="B252" s="678">
        <f t="shared" si="12"/>
        <v>242</v>
      </c>
      <c r="C252" s="319" t="s">
        <v>1847</v>
      </c>
      <c r="D252" s="36" t="s">
        <v>1818</v>
      </c>
      <c r="E252" s="36" t="s">
        <v>1837</v>
      </c>
      <c r="F252" s="320">
        <f>+SUMIFS('TB Grouping'!F:F,'TB Grouping'!H:H,masterTBCY[[#This Row],[Note Line]])</f>
        <v>0</v>
      </c>
      <c r="G252" s="2562">
        <f ca="1">SUMIF('Additional &amp; Presentation Entry'!E:E,masterTBCY[[#This Row],[Note Line]],'Additional &amp; Presentation Entry'!G:G)</f>
        <v>0</v>
      </c>
      <c r="H252" s="2562">
        <f>SUMIF('Additional &amp; Presentation Entry'!L:L,masterTBCY[[#This Row],[Note Line]],'Additional &amp; Presentation Entry'!N:N)</f>
        <v>0</v>
      </c>
      <c r="I252" s="320">
        <f>+masterTBCY[[#This Row],[Amount as per TB]]+masterTBCY[[#This Row],[Presentation Entry]]</f>
        <v>0</v>
      </c>
      <c r="J252" s="320">
        <f>I252/'Master Data'!$C$25</f>
        <v>0</v>
      </c>
      <c r="K252" s="404" t="s">
        <v>1329</v>
      </c>
      <c r="N252" s="399">
        <v>242</v>
      </c>
      <c r="O252" s="319" t="s">
        <v>1847</v>
      </c>
      <c r="P252" s="321" t="s">
        <v>1818</v>
      </c>
      <c r="Q252" s="321" t="s">
        <v>1837</v>
      </c>
      <c r="R252" s="320">
        <f>SUMIF('TB Grouping'!$Q:$Q,'Master TB'!P252,'TB Grouping'!$O:$O)</f>
        <v>0</v>
      </c>
      <c r="S252" s="320">
        <f>SUMIF('Additional &amp; Presentation Entry'!Q:Q,masterTBCY[[#This Row],[Note Line]],'Additional &amp; Presentation Entry'!S:S)</f>
        <v>0</v>
      </c>
      <c r="T252" s="320">
        <f>SUMIF('Additional &amp; Presentation Entry'!X:X,masterTBCY[[#This Row],[Note Line]],'Additional &amp; Presentation Entry'!Z:Z)</f>
        <v>0</v>
      </c>
      <c r="U252" s="320">
        <f t="shared" si="13"/>
        <v>0</v>
      </c>
      <c r="V252" s="320">
        <f>U252/'Master Data'!$C$25</f>
        <v>0</v>
      </c>
      <c r="W252" s="400" t="str">
        <f t="shared" si="15"/>
        <v>Balance Sheet</v>
      </c>
    </row>
    <row r="253" spans="2:23" x14ac:dyDescent="0.3">
      <c r="B253" s="678">
        <f t="shared" si="12"/>
        <v>243</v>
      </c>
      <c r="C253" s="319" t="s">
        <v>1847</v>
      </c>
      <c r="D253" s="36" t="s">
        <v>1819</v>
      </c>
      <c r="E253" s="36" t="s">
        <v>1838</v>
      </c>
      <c r="F253" s="320">
        <f>+SUMIFS('TB Grouping'!F:F,'TB Grouping'!H:H,masterTBCY[[#This Row],[Note Line]])</f>
        <v>0</v>
      </c>
      <c r="G253" s="2562">
        <f ca="1">SUMIF('Additional &amp; Presentation Entry'!E:E,masterTBCY[[#This Row],[Note Line]],'Additional &amp; Presentation Entry'!G:G)</f>
        <v>0</v>
      </c>
      <c r="H253" s="2562">
        <f>SUMIF('Additional &amp; Presentation Entry'!L:L,masterTBCY[[#This Row],[Note Line]],'Additional &amp; Presentation Entry'!N:N)</f>
        <v>0</v>
      </c>
      <c r="I253" s="320">
        <f>+masterTBCY[[#This Row],[Amount as per TB]]+masterTBCY[[#This Row],[Presentation Entry]]</f>
        <v>0</v>
      </c>
      <c r="J253" s="320">
        <f>I253/'Master Data'!$C$25</f>
        <v>0</v>
      </c>
      <c r="K253" s="404" t="s">
        <v>1329</v>
      </c>
      <c r="N253" s="399">
        <v>243</v>
      </c>
      <c r="O253" s="319" t="s">
        <v>1847</v>
      </c>
      <c r="P253" s="321" t="s">
        <v>1819</v>
      </c>
      <c r="Q253" s="321" t="s">
        <v>1838</v>
      </c>
      <c r="R253" s="320">
        <f>SUMIF('TB Grouping'!$Q:$Q,'Master TB'!P253,'TB Grouping'!$O:$O)</f>
        <v>0</v>
      </c>
      <c r="S253" s="320">
        <f>SUMIF('Additional &amp; Presentation Entry'!Q:Q,masterTBCY[[#This Row],[Note Line]],'Additional &amp; Presentation Entry'!S:S)</f>
        <v>0</v>
      </c>
      <c r="T253" s="320">
        <f>SUMIF('Additional &amp; Presentation Entry'!X:X,masterTBCY[[#This Row],[Note Line]],'Additional &amp; Presentation Entry'!Z:Z)</f>
        <v>0</v>
      </c>
      <c r="U253" s="320">
        <f t="shared" si="13"/>
        <v>0</v>
      </c>
      <c r="V253" s="320">
        <f>U253/'Master Data'!$C$25</f>
        <v>0</v>
      </c>
      <c r="W253" s="400" t="str">
        <f t="shared" si="15"/>
        <v>Balance Sheet</v>
      </c>
    </row>
    <row r="254" spans="2:23" x14ac:dyDescent="0.3">
      <c r="B254" s="678">
        <f t="shared" si="12"/>
        <v>244</v>
      </c>
      <c r="C254" s="319" t="s">
        <v>58</v>
      </c>
      <c r="D254" s="321" t="s">
        <v>1488</v>
      </c>
      <c r="E254" s="321" t="s">
        <v>774</v>
      </c>
      <c r="F254" s="320">
        <f>+SUMIFS('TB Grouping'!F:F,'TB Grouping'!H:H,masterTBCY[[#This Row],[Note Line]])</f>
        <v>0</v>
      </c>
      <c r="G254" s="2562">
        <f ca="1">SUMIF('Additional &amp; Presentation Entry'!E:E,masterTBCY[[#This Row],[Note Line]],'Additional &amp; Presentation Entry'!G:G)</f>
        <v>0</v>
      </c>
      <c r="H254" s="2562">
        <f>SUMIF('Additional &amp; Presentation Entry'!L:L,masterTBCY[[#This Row],[Note Line]],'Additional &amp; Presentation Entry'!N:N)</f>
        <v>0</v>
      </c>
      <c r="I254" s="320">
        <f>+masterTBCY[[#This Row],[Amount as per TB]]+masterTBCY[[#This Row],[Presentation Entry]]</f>
        <v>0</v>
      </c>
      <c r="J254" s="320">
        <f>I254/'Master Data'!$C$25</f>
        <v>0</v>
      </c>
      <c r="K254" s="404" t="s">
        <v>1329</v>
      </c>
      <c r="N254" s="399">
        <v>244</v>
      </c>
      <c r="O254" s="319" t="s">
        <v>58</v>
      </c>
      <c r="P254" s="321" t="s">
        <v>1488</v>
      </c>
      <c r="Q254" s="321" t="s">
        <v>774</v>
      </c>
      <c r="R254" s="320">
        <f>SUMIF('TB Grouping'!$Q:$Q,'Master TB'!P254,'TB Grouping'!$O:$O)</f>
        <v>0</v>
      </c>
      <c r="S254" s="320">
        <f>SUMIF('Additional &amp; Presentation Entry'!Q:Q,masterTBCY[[#This Row],[Note Line]],'Additional &amp; Presentation Entry'!S:S)</f>
        <v>0</v>
      </c>
      <c r="T254" s="320">
        <f>SUMIF('Additional &amp; Presentation Entry'!X:X,masterTBCY[[#This Row],[Note Line]],'Additional &amp; Presentation Entry'!Z:Z)</f>
        <v>0</v>
      </c>
      <c r="U254" s="320">
        <f t="shared" si="13"/>
        <v>0</v>
      </c>
      <c r="V254" s="320">
        <f>U254/'Master Data'!$C$25</f>
        <v>0</v>
      </c>
      <c r="W254" s="400" t="str">
        <f t="shared" si="15"/>
        <v>Balance Sheet</v>
      </c>
    </row>
    <row r="255" spans="2:23" x14ac:dyDescent="0.3">
      <c r="B255" s="678">
        <f t="shared" si="12"/>
        <v>245</v>
      </c>
      <c r="C255" s="319" t="s">
        <v>58</v>
      </c>
      <c r="D255" s="321" t="s">
        <v>1489</v>
      </c>
      <c r="E255" s="321" t="s">
        <v>1490</v>
      </c>
      <c r="F255" s="320">
        <f>+SUMIFS('TB Grouping'!F:F,'TB Grouping'!H:H,masterTBCY[[#This Row],[Note Line]])</f>
        <v>0</v>
      </c>
      <c r="G255" s="2562">
        <f ca="1">SUMIF('Additional &amp; Presentation Entry'!E:E,masterTBCY[[#This Row],[Note Line]],'Additional &amp; Presentation Entry'!G:G)</f>
        <v>0</v>
      </c>
      <c r="H255" s="2562">
        <f>SUMIF('Additional &amp; Presentation Entry'!L:L,masterTBCY[[#This Row],[Note Line]],'Additional &amp; Presentation Entry'!N:N)</f>
        <v>0</v>
      </c>
      <c r="I255" s="320">
        <f>+masterTBCY[[#This Row],[Amount as per TB]]+masterTBCY[[#This Row],[Presentation Entry]]</f>
        <v>0</v>
      </c>
      <c r="J255" s="320">
        <f>I255/'Master Data'!$C$25</f>
        <v>0</v>
      </c>
      <c r="K255" s="404" t="s">
        <v>1329</v>
      </c>
      <c r="N255" s="399">
        <v>245</v>
      </c>
      <c r="O255" s="319" t="s">
        <v>58</v>
      </c>
      <c r="P255" s="321" t="s">
        <v>1489</v>
      </c>
      <c r="Q255" s="321" t="s">
        <v>1490</v>
      </c>
      <c r="R255" s="320">
        <f>SUMIF('TB Grouping'!$Q:$Q,'Master TB'!P255,'TB Grouping'!$O:$O)</f>
        <v>0</v>
      </c>
      <c r="S255" s="320">
        <f>SUMIF('Additional &amp; Presentation Entry'!Q:Q,masterTBCY[[#This Row],[Note Line]],'Additional &amp; Presentation Entry'!S:S)</f>
        <v>0</v>
      </c>
      <c r="T255" s="320">
        <f>SUMIF('Additional &amp; Presentation Entry'!X:X,masterTBCY[[#This Row],[Note Line]],'Additional &amp; Presentation Entry'!Z:Z)</f>
        <v>0</v>
      </c>
      <c r="U255" s="320">
        <f t="shared" si="13"/>
        <v>0</v>
      </c>
      <c r="V255" s="320">
        <f>U255/'Master Data'!$C$25</f>
        <v>0</v>
      </c>
      <c r="W255" s="400" t="str">
        <f t="shared" si="15"/>
        <v>Balance Sheet</v>
      </c>
    </row>
    <row r="256" spans="2:23" x14ac:dyDescent="0.3">
      <c r="B256" s="678">
        <f t="shared" si="12"/>
        <v>246</v>
      </c>
      <c r="C256" s="319" t="s">
        <v>58</v>
      </c>
      <c r="D256" s="321" t="s">
        <v>1491</v>
      </c>
      <c r="E256" s="321" t="s">
        <v>775</v>
      </c>
      <c r="F256" s="320">
        <f>+SUMIFS('TB Grouping'!F:F,'TB Grouping'!H:H,masterTBCY[[#This Row],[Note Line]])</f>
        <v>0</v>
      </c>
      <c r="G256" s="2562">
        <f ca="1">SUMIF('Additional &amp; Presentation Entry'!E:E,masterTBCY[[#This Row],[Note Line]],'Additional &amp; Presentation Entry'!G:G)</f>
        <v>0</v>
      </c>
      <c r="H256" s="2562">
        <f>SUMIF('Additional &amp; Presentation Entry'!L:L,masterTBCY[[#This Row],[Note Line]],'Additional &amp; Presentation Entry'!N:N)</f>
        <v>0</v>
      </c>
      <c r="I256" s="320">
        <f>+masterTBCY[[#This Row],[Amount as per TB]]+masterTBCY[[#This Row],[Presentation Entry]]</f>
        <v>0</v>
      </c>
      <c r="J256" s="320">
        <f>I256/'Master Data'!$C$25</f>
        <v>0</v>
      </c>
      <c r="K256" s="404" t="s">
        <v>1329</v>
      </c>
      <c r="N256" s="399">
        <v>246</v>
      </c>
      <c r="O256" s="319" t="s">
        <v>58</v>
      </c>
      <c r="P256" s="321" t="s">
        <v>1491</v>
      </c>
      <c r="Q256" s="321" t="s">
        <v>775</v>
      </c>
      <c r="R256" s="320">
        <f>SUMIF('TB Grouping'!$Q:$Q,'Master TB'!P256,'TB Grouping'!$O:$O)</f>
        <v>0</v>
      </c>
      <c r="S256" s="320">
        <f>SUMIF('Additional &amp; Presentation Entry'!Q:Q,masterTBCY[[#This Row],[Note Line]],'Additional &amp; Presentation Entry'!S:S)</f>
        <v>0</v>
      </c>
      <c r="T256" s="320">
        <f>SUMIF('Additional &amp; Presentation Entry'!X:X,masterTBCY[[#This Row],[Note Line]],'Additional &amp; Presentation Entry'!Z:Z)</f>
        <v>0</v>
      </c>
      <c r="U256" s="320">
        <f t="shared" si="13"/>
        <v>0</v>
      </c>
      <c r="V256" s="320">
        <f>U256/'Master Data'!$C$25</f>
        <v>0</v>
      </c>
      <c r="W256" s="400" t="str">
        <f t="shared" si="15"/>
        <v>Balance Sheet</v>
      </c>
    </row>
    <row r="257" spans="2:23" x14ac:dyDescent="0.3">
      <c r="B257" s="678">
        <f t="shared" si="12"/>
        <v>247</v>
      </c>
      <c r="C257" s="319" t="s">
        <v>58</v>
      </c>
      <c r="D257" s="321" t="s">
        <v>1492</v>
      </c>
      <c r="E257" s="321" t="s">
        <v>1493</v>
      </c>
      <c r="F257" s="320">
        <f>+SUMIFS('TB Grouping'!F:F,'TB Grouping'!H:H,masterTBCY[[#This Row],[Note Line]])</f>
        <v>0</v>
      </c>
      <c r="G257" s="2562">
        <f ca="1">SUMIF('Additional &amp; Presentation Entry'!E:E,masterTBCY[[#This Row],[Note Line]],'Additional &amp; Presentation Entry'!G:G)</f>
        <v>0</v>
      </c>
      <c r="H257" s="2562">
        <f>SUMIF('Additional &amp; Presentation Entry'!L:L,masterTBCY[[#This Row],[Note Line]],'Additional &amp; Presentation Entry'!N:N)</f>
        <v>0</v>
      </c>
      <c r="I257" s="320">
        <f>+masterTBCY[[#This Row],[Amount as per TB]]+masterTBCY[[#This Row],[Presentation Entry]]</f>
        <v>0</v>
      </c>
      <c r="J257" s="320">
        <f>I257/'Master Data'!$C$25</f>
        <v>0</v>
      </c>
      <c r="K257" s="404" t="s">
        <v>1329</v>
      </c>
      <c r="N257" s="399">
        <v>247</v>
      </c>
      <c r="O257" s="319" t="s">
        <v>58</v>
      </c>
      <c r="P257" s="321" t="s">
        <v>1492</v>
      </c>
      <c r="Q257" s="321" t="s">
        <v>1493</v>
      </c>
      <c r="R257" s="320">
        <f>SUMIF('TB Grouping'!$Q:$Q,'Master TB'!P257,'TB Grouping'!$O:$O)</f>
        <v>0</v>
      </c>
      <c r="S257" s="320">
        <f>SUMIF('Additional &amp; Presentation Entry'!Q:Q,masterTBCY[[#This Row],[Note Line]],'Additional &amp; Presentation Entry'!S:S)</f>
        <v>0</v>
      </c>
      <c r="T257" s="320">
        <f>SUMIF('Additional &amp; Presentation Entry'!X:X,masterTBCY[[#This Row],[Note Line]],'Additional &amp; Presentation Entry'!Z:Z)</f>
        <v>0</v>
      </c>
      <c r="U257" s="320">
        <f t="shared" si="13"/>
        <v>0</v>
      </c>
      <c r="V257" s="320">
        <f>U257/'Master Data'!$C$25</f>
        <v>0</v>
      </c>
      <c r="W257" s="400" t="str">
        <f t="shared" si="15"/>
        <v>Balance Sheet</v>
      </c>
    </row>
    <row r="258" spans="2:23" x14ac:dyDescent="0.3">
      <c r="B258" s="678">
        <f t="shared" si="12"/>
        <v>248</v>
      </c>
      <c r="C258" s="319" t="s">
        <v>58</v>
      </c>
      <c r="D258" s="321" t="s">
        <v>1494</v>
      </c>
      <c r="E258" s="321" t="s">
        <v>776</v>
      </c>
      <c r="F258" s="320">
        <f>+SUMIFS('TB Grouping'!F:F,'TB Grouping'!H:H,masterTBCY[[#This Row],[Note Line]])</f>
        <v>0</v>
      </c>
      <c r="G258" s="2562">
        <f ca="1">SUMIF('Additional &amp; Presentation Entry'!E:E,masterTBCY[[#This Row],[Note Line]],'Additional &amp; Presentation Entry'!G:G)</f>
        <v>0</v>
      </c>
      <c r="H258" s="2562">
        <f>SUMIF('Additional &amp; Presentation Entry'!L:L,masterTBCY[[#This Row],[Note Line]],'Additional &amp; Presentation Entry'!N:N)</f>
        <v>0</v>
      </c>
      <c r="I258" s="320">
        <f>+masterTBCY[[#This Row],[Amount as per TB]]+masterTBCY[[#This Row],[Presentation Entry]]</f>
        <v>0</v>
      </c>
      <c r="J258" s="320">
        <f>I258/'Master Data'!$C$25</f>
        <v>0</v>
      </c>
      <c r="K258" s="404" t="s">
        <v>1329</v>
      </c>
      <c r="N258" s="399">
        <v>248</v>
      </c>
      <c r="O258" s="319" t="s">
        <v>58</v>
      </c>
      <c r="P258" s="321" t="s">
        <v>1494</v>
      </c>
      <c r="Q258" s="321" t="s">
        <v>776</v>
      </c>
      <c r="R258" s="320">
        <f>SUMIF('TB Grouping'!$Q:$Q,'Master TB'!P258,'TB Grouping'!$O:$O)</f>
        <v>0</v>
      </c>
      <c r="S258" s="320">
        <f>SUMIF('Additional &amp; Presentation Entry'!Q:Q,masterTBCY[[#This Row],[Note Line]],'Additional &amp; Presentation Entry'!S:S)</f>
        <v>0</v>
      </c>
      <c r="T258" s="320">
        <f>SUMIF('Additional &amp; Presentation Entry'!X:X,masterTBCY[[#This Row],[Note Line]],'Additional &amp; Presentation Entry'!Z:Z)</f>
        <v>0</v>
      </c>
      <c r="U258" s="320">
        <f t="shared" si="13"/>
        <v>0</v>
      </c>
      <c r="V258" s="320">
        <f>U258/'Master Data'!$C$25</f>
        <v>0</v>
      </c>
      <c r="W258" s="400" t="str">
        <f t="shared" si="15"/>
        <v>Balance Sheet</v>
      </c>
    </row>
    <row r="259" spans="2:23" x14ac:dyDescent="0.3">
      <c r="B259" s="678">
        <f t="shared" si="12"/>
        <v>249</v>
      </c>
      <c r="C259" s="319" t="s">
        <v>58</v>
      </c>
      <c r="D259" s="321" t="s">
        <v>1495</v>
      </c>
      <c r="E259" s="321" t="s">
        <v>1496</v>
      </c>
      <c r="F259" s="320">
        <f>+SUMIFS('TB Grouping'!F:F,'TB Grouping'!H:H,masterTBCY[[#This Row],[Note Line]])</f>
        <v>0</v>
      </c>
      <c r="G259" s="2562">
        <f ca="1">SUMIF('Additional &amp; Presentation Entry'!E:E,masterTBCY[[#This Row],[Note Line]],'Additional &amp; Presentation Entry'!G:G)</f>
        <v>0</v>
      </c>
      <c r="H259" s="2562">
        <f>SUMIF('Additional &amp; Presentation Entry'!L:L,masterTBCY[[#This Row],[Note Line]],'Additional &amp; Presentation Entry'!N:N)</f>
        <v>0</v>
      </c>
      <c r="I259" s="320">
        <f>+masterTBCY[[#This Row],[Amount as per TB]]+masterTBCY[[#This Row],[Presentation Entry]]</f>
        <v>0</v>
      </c>
      <c r="J259" s="320">
        <f>I259/'Master Data'!$C$25</f>
        <v>0</v>
      </c>
      <c r="K259" s="404" t="s">
        <v>1329</v>
      </c>
      <c r="N259" s="399">
        <v>249</v>
      </c>
      <c r="O259" s="319" t="s">
        <v>58</v>
      </c>
      <c r="P259" s="321" t="s">
        <v>1495</v>
      </c>
      <c r="Q259" s="321" t="s">
        <v>1496</v>
      </c>
      <c r="R259" s="320">
        <f>SUMIF('TB Grouping'!$Q:$Q,'Master TB'!P259,'TB Grouping'!$O:$O)</f>
        <v>0</v>
      </c>
      <c r="S259" s="320">
        <f>SUMIF('Additional &amp; Presentation Entry'!Q:Q,masterTBCY[[#This Row],[Note Line]],'Additional &amp; Presentation Entry'!S:S)</f>
        <v>0</v>
      </c>
      <c r="T259" s="320">
        <f>SUMIF('Additional &amp; Presentation Entry'!X:X,masterTBCY[[#This Row],[Note Line]],'Additional &amp; Presentation Entry'!Z:Z)</f>
        <v>0</v>
      </c>
      <c r="U259" s="320">
        <f t="shared" si="13"/>
        <v>0</v>
      </c>
      <c r="V259" s="320">
        <f>U259/'Master Data'!$C$25</f>
        <v>0</v>
      </c>
      <c r="W259" s="400" t="str">
        <f t="shared" si="15"/>
        <v>Balance Sheet</v>
      </c>
    </row>
    <row r="260" spans="2:23" x14ac:dyDescent="0.3">
      <c r="B260" s="678">
        <f t="shared" si="12"/>
        <v>250</v>
      </c>
      <c r="C260" s="319" t="s">
        <v>58</v>
      </c>
      <c r="D260" s="321" t="s">
        <v>1497</v>
      </c>
      <c r="E260" s="321" t="s">
        <v>777</v>
      </c>
      <c r="F260" s="320">
        <f>+SUMIFS('TB Grouping'!F:F,'TB Grouping'!H:H,masterTBCY[[#This Row],[Note Line]])</f>
        <v>0</v>
      </c>
      <c r="G260" s="2562">
        <f ca="1">SUMIF('Additional &amp; Presentation Entry'!E:E,masterTBCY[[#This Row],[Note Line]],'Additional &amp; Presentation Entry'!G:G)</f>
        <v>0</v>
      </c>
      <c r="H260" s="2562">
        <f>SUMIF('Additional &amp; Presentation Entry'!L:L,masterTBCY[[#This Row],[Note Line]],'Additional &amp; Presentation Entry'!N:N)</f>
        <v>0</v>
      </c>
      <c r="I260" s="320">
        <f>+masterTBCY[[#This Row],[Amount as per TB]]+masterTBCY[[#This Row],[Presentation Entry]]</f>
        <v>0</v>
      </c>
      <c r="J260" s="320">
        <f>I260/'Master Data'!$C$25</f>
        <v>0</v>
      </c>
      <c r="K260" s="404" t="s">
        <v>1329</v>
      </c>
      <c r="N260" s="399">
        <v>250</v>
      </c>
      <c r="O260" s="319" t="s">
        <v>58</v>
      </c>
      <c r="P260" s="321" t="s">
        <v>1497</v>
      </c>
      <c r="Q260" s="321" t="s">
        <v>777</v>
      </c>
      <c r="R260" s="320">
        <f>SUMIF('TB Grouping'!$Q:$Q,'Master TB'!P260,'TB Grouping'!$O:$O)</f>
        <v>0</v>
      </c>
      <c r="S260" s="320">
        <f>SUMIF('Additional &amp; Presentation Entry'!Q:Q,masterTBCY[[#This Row],[Note Line]],'Additional &amp; Presentation Entry'!S:S)</f>
        <v>0</v>
      </c>
      <c r="T260" s="320">
        <f>SUMIF('Additional &amp; Presentation Entry'!X:X,masterTBCY[[#This Row],[Note Line]],'Additional &amp; Presentation Entry'!Z:Z)</f>
        <v>0</v>
      </c>
      <c r="U260" s="320">
        <f t="shared" si="13"/>
        <v>0</v>
      </c>
      <c r="V260" s="320">
        <f>U260/'Master Data'!$C$25</f>
        <v>0</v>
      </c>
      <c r="W260" s="400" t="str">
        <f t="shared" si="15"/>
        <v>Balance Sheet</v>
      </c>
    </row>
    <row r="261" spans="2:23" x14ac:dyDescent="0.3">
      <c r="B261" s="678">
        <f t="shared" si="12"/>
        <v>251</v>
      </c>
      <c r="C261" s="319" t="s">
        <v>58</v>
      </c>
      <c r="D261" s="321" t="s">
        <v>1498</v>
      </c>
      <c r="E261" s="321" t="s">
        <v>1499</v>
      </c>
      <c r="F261" s="320">
        <f>+SUMIFS('TB Grouping'!F:F,'TB Grouping'!H:H,masterTBCY[[#This Row],[Note Line]])</f>
        <v>0</v>
      </c>
      <c r="G261" s="2562">
        <f ca="1">SUMIF('Additional &amp; Presentation Entry'!E:E,masterTBCY[[#This Row],[Note Line]],'Additional &amp; Presentation Entry'!G:G)</f>
        <v>0</v>
      </c>
      <c r="H261" s="2562">
        <f>SUMIF('Additional &amp; Presentation Entry'!L:L,masterTBCY[[#This Row],[Note Line]],'Additional &amp; Presentation Entry'!N:N)</f>
        <v>0</v>
      </c>
      <c r="I261" s="320">
        <f>+masterTBCY[[#This Row],[Amount as per TB]]+masterTBCY[[#This Row],[Presentation Entry]]</f>
        <v>0</v>
      </c>
      <c r="J261" s="320">
        <f>I261/'Master Data'!$C$25</f>
        <v>0</v>
      </c>
      <c r="K261" s="404" t="s">
        <v>1329</v>
      </c>
      <c r="N261" s="399">
        <v>251</v>
      </c>
      <c r="O261" s="319" t="s">
        <v>58</v>
      </c>
      <c r="P261" s="321" t="s">
        <v>1498</v>
      </c>
      <c r="Q261" s="321" t="s">
        <v>1499</v>
      </c>
      <c r="R261" s="320">
        <f>SUMIF('TB Grouping'!$Q:$Q,'Master TB'!P261,'TB Grouping'!$O:$O)</f>
        <v>0</v>
      </c>
      <c r="S261" s="320">
        <f>SUMIF('Additional &amp; Presentation Entry'!Q:Q,masterTBCY[[#This Row],[Note Line]],'Additional &amp; Presentation Entry'!S:S)</f>
        <v>0</v>
      </c>
      <c r="T261" s="320">
        <f>SUMIF('Additional &amp; Presentation Entry'!X:X,masterTBCY[[#This Row],[Note Line]],'Additional &amp; Presentation Entry'!Z:Z)</f>
        <v>0</v>
      </c>
      <c r="U261" s="320">
        <f t="shared" si="13"/>
        <v>0</v>
      </c>
      <c r="V261" s="320">
        <f>U261/'Master Data'!$C$25</f>
        <v>0</v>
      </c>
      <c r="W261" s="400" t="str">
        <f t="shared" si="15"/>
        <v>Balance Sheet</v>
      </c>
    </row>
    <row r="262" spans="2:23" x14ac:dyDescent="0.3">
      <c r="B262" s="678">
        <f t="shared" si="12"/>
        <v>252</v>
      </c>
      <c r="C262" s="319" t="s">
        <v>58</v>
      </c>
      <c r="D262" s="321" t="s">
        <v>1500</v>
      </c>
      <c r="E262" s="321" t="s">
        <v>778</v>
      </c>
      <c r="F262" s="320">
        <f>+SUMIFS('TB Grouping'!F:F,'TB Grouping'!H:H,masterTBCY[[#This Row],[Note Line]])</f>
        <v>0</v>
      </c>
      <c r="G262" s="2562">
        <f ca="1">SUMIF('Additional &amp; Presentation Entry'!E:E,masterTBCY[[#This Row],[Note Line]],'Additional &amp; Presentation Entry'!G:G)</f>
        <v>0</v>
      </c>
      <c r="H262" s="2562">
        <f>SUMIF('Additional &amp; Presentation Entry'!L:L,masterTBCY[[#This Row],[Note Line]],'Additional &amp; Presentation Entry'!N:N)</f>
        <v>0</v>
      </c>
      <c r="I262" s="320">
        <f>+masterTBCY[[#This Row],[Amount as per TB]]+masterTBCY[[#This Row],[Presentation Entry]]</f>
        <v>0</v>
      </c>
      <c r="J262" s="320">
        <f>I262/'Master Data'!$C$25</f>
        <v>0</v>
      </c>
      <c r="K262" s="404" t="s">
        <v>1329</v>
      </c>
      <c r="N262" s="399">
        <v>252</v>
      </c>
      <c r="O262" s="319" t="s">
        <v>58</v>
      </c>
      <c r="P262" s="321" t="s">
        <v>1500</v>
      </c>
      <c r="Q262" s="321" t="s">
        <v>778</v>
      </c>
      <c r="R262" s="320">
        <f>SUMIF('TB Grouping'!$Q:$Q,'Master TB'!P262,'TB Grouping'!$O:$O)</f>
        <v>0</v>
      </c>
      <c r="S262" s="320">
        <f>SUMIF('Additional &amp; Presentation Entry'!Q:Q,masterTBCY[[#This Row],[Note Line]],'Additional &amp; Presentation Entry'!S:S)</f>
        <v>0</v>
      </c>
      <c r="T262" s="320">
        <f>SUMIF('Additional &amp; Presentation Entry'!X:X,masterTBCY[[#This Row],[Note Line]],'Additional &amp; Presentation Entry'!Z:Z)</f>
        <v>0</v>
      </c>
      <c r="U262" s="320">
        <f t="shared" si="13"/>
        <v>0</v>
      </c>
      <c r="V262" s="320">
        <f>U262/'Master Data'!$C$25</f>
        <v>0</v>
      </c>
      <c r="W262" s="400" t="str">
        <f t="shared" si="15"/>
        <v>Balance Sheet</v>
      </c>
    </row>
    <row r="263" spans="2:23" x14ac:dyDescent="0.3">
      <c r="B263" s="678">
        <f t="shared" si="12"/>
        <v>253</v>
      </c>
      <c r="C263" s="319" t="s">
        <v>58</v>
      </c>
      <c r="D263" s="321" t="s">
        <v>1501</v>
      </c>
      <c r="E263" s="321" t="s">
        <v>1502</v>
      </c>
      <c r="F263" s="320">
        <f>+SUMIFS('TB Grouping'!F:F,'TB Grouping'!H:H,masterTBCY[[#This Row],[Note Line]])</f>
        <v>0</v>
      </c>
      <c r="G263" s="2562">
        <f ca="1">SUMIF('Additional &amp; Presentation Entry'!E:E,masterTBCY[[#This Row],[Note Line]],'Additional &amp; Presentation Entry'!G:G)</f>
        <v>0</v>
      </c>
      <c r="H263" s="2562">
        <f>SUMIF('Additional &amp; Presentation Entry'!L:L,masterTBCY[[#This Row],[Note Line]],'Additional &amp; Presentation Entry'!N:N)</f>
        <v>0</v>
      </c>
      <c r="I263" s="320">
        <f>+masterTBCY[[#This Row],[Amount as per TB]]+masterTBCY[[#This Row],[Presentation Entry]]</f>
        <v>0</v>
      </c>
      <c r="J263" s="320">
        <f>I263/'Master Data'!$C$25</f>
        <v>0</v>
      </c>
      <c r="K263" s="404" t="s">
        <v>1329</v>
      </c>
      <c r="N263" s="399">
        <v>253</v>
      </c>
      <c r="O263" s="319" t="s">
        <v>58</v>
      </c>
      <c r="P263" s="321" t="s">
        <v>1501</v>
      </c>
      <c r="Q263" s="321" t="s">
        <v>1502</v>
      </c>
      <c r="R263" s="320">
        <f>SUMIF('TB Grouping'!$Q:$Q,'Master TB'!P263,'TB Grouping'!$O:$O)</f>
        <v>0</v>
      </c>
      <c r="S263" s="320">
        <f>SUMIF('Additional &amp; Presentation Entry'!Q:Q,masterTBCY[[#This Row],[Note Line]],'Additional &amp; Presentation Entry'!S:S)</f>
        <v>0</v>
      </c>
      <c r="T263" s="320">
        <f>SUMIF('Additional &amp; Presentation Entry'!X:X,masterTBCY[[#This Row],[Note Line]],'Additional &amp; Presentation Entry'!Z:Z)</f>
        <v>0</v>
      </c>
      <c r="U263" s="320">
        <f t="shared" si="13"/>
        <v>0</v>
      </c>
      <c r="V263" s="320">
        <f>U263/'Master Data'!$C$25</f>
        <v>0</v>
      </c>
      <c r="W263" s="400" t="str">
        <f t="shared" si="15"/>
        <v>Balance Sheet</v>
      </c>
    </row>
    <row r="264" spans="2:23" x14ac:dyDescent="0.3">
      <c r="B264" s="678">
        <f t="shared" si="12"/>
        <v>254</v>
      </c>
      <c r="C264" s="319" t="s">
        <v>58</v>
      </c>
      <c r="D264" s="321" t="s">
        <v>1503</v>
      </c>
      <c r="E264" s="321" t="s">
        <v>779</v>
      </c>
      <c r="F264" s="320">
        <f>+SUMIFS('TB Grouping'!F:F,'TB Grouping'!H:H,masterTBCY[[#This Row],[Note Line]])</f>
        <v>0</v>
      </c>
      <c r="G264" s="2562">
        <f ca="1">SUMIF('Additional &amp; Presentation Entry'!E:E,masterTBCY[[#This Row],[Note Line]],'Additional &amp; Presentation Entry'!G:G)</f>
        <v>0</v>
      </c>
      <c r="H264" s="2562">
        <f>SUMIF('Additional &amp; Presentation Entry'!L:L,masterTBCY[[#This Row],[Note Line]],'Additional &amp; Presentation Entry'!N:N)</f>
        <v>0</v>
      </c>
      <c r="I264" s="320">
        <f>+masterTBCY[[#This Row],[Amount as per TB]]+masterTBCY[[#This Row],[Presentation Entry]]</f>
        <v>0</v>
      </c>
      <c r="J264" s="320">
        <f>I264/'Master Data'!$C$25</f>
        <v>0</v>
      </c>
      <c r="K264" s="404" t="s">
        <v>1329</v>
      </c>
      <c r="N264" s="399">
        <v>254</v>
      </c>
      <c r="O264" s="319" t="s">
        <v>58</v>
      </c>
      <c r="P264" s="321" t="s">
        <v>1503</v>
      </c>
      <c r="Q264" s="321" t="s">
        <v>779</v>
      </c>
      <c r="R264" s="320">
        <f>SUMIF('TB Grouping'!$Q:$Q,'Master TB'!P264,'TB Grouping'!$O:$O)</f>
        <v>0</v>
      </c>
      <c r="S264" s="320">
        <f>SUMIF('Additional &amp; Presentation Entry'!Q:Q,masterTBCY[[#This Row],[Note Line]],'Additional &amp; Presentation Entry'!S:S)</f>
        <v>0</v>
      </c>
      <c r="T264" s="320">
        <f>SUMIF('Additional &amp; Presentation Entry'!X:X,masterTBCY[[#This Row],[Note Line]],'Additional &amp; Presentation Entry'!Z:Z)</f>
        <v>0</v>
      </c>
      <c r="U264" s="320">
        <f t="shared" si="13"/>
        <v>0</v>
      </c>
      <c r="V264" s="320">
        <f>U264/'Master Data'!$C$25</f>
        <v>0</v>
      </c>
      <c r="W264" s="400" t="str">
        <f t="shared" si="15"/>
        <v>Balance Sheet</v>
      </c>
    </row>
    <row r="265" spans="2:23" x14ac:dyDescent="0.3">
      <c r="B265" s="678">
        <f t="shared" si="12"/>
        <v>255</v>
      </c>
      <c r="C265" s="319" t="s">
        <v>58</v>
      </c>
      <c r="D265" s="321" t="s">
        <v>1504</v>
      </c>
      <c r="E265" s="321" t="s">
        <v>1505</v>
      </c>
      <c r="F265" s="320">
        <f>+SUMIFS('TB Grouping'!F:F,'TB Grouping'!H:H,masterTBCY[[#This Row],[Note Line]])</f>
        <v>0</v>
      </c>
      <c r="G265" s="2562">
        <f ca="1">SUMIF('Additional &amp; Presentation Entry'!E:E,masterTBCY[[#This Row],[Note Line]],'Additional &amp; Presentation Entry'!G:G)</f>
        <v>0</v>
      </c>
      <c r="H265" s="2562">
        <f>SUMIF('Additional &amp; Presentation Entry'!L:L,masterTBCY[[#This Row],[Note Line]],'Additional &amp; Presentation Entry'!N:N)</f>
        <v>0</v>
      </c>
      <c r="I265" s="320">
        <f>+masterTBCY[[#This Row],[Amount as per TB]]+masterTBCY[[#This Row],[Presentation Entry]]</f>
        <v>0</v>
      </c>
      <c r="J265" s="320">
        <f>I265/'Master Data'!$C$25</f>
        <v>0</v>
      </c>
      <c r="K265" s="404" t="s">
        <v>1329</v>
      </c>
      <c r="N265" s="399">
        <v>255</v>
      </c>
      <c r="O265" s="319" t="s">
        <v>58</v>
      </c>
      <c r="P265" s="321" t="s">
        <v>1504</v>
      </c>
      <c r="Q265" s="321" t="s">
        <v>1505</v>
      </c>
      <c r="R265" s="320">
        <f>SUMIF('TB Grouping'!$Q:$Q,'Master TB'!P265,'TB Grouping'!$O:$O)</f>
        <v>0</v>
      </c>
      <c r="S265" s="320">
        <f>SUMIF('Additional &amp; Presentation Entry'!Q:Q,masterTBCY[[#This Row],[Note Line]],'Additional &amp; Presentation Entry'!S:S)</f>
        <v>0</v>
      </c>
      <c r="T265" s="320">
        <f>SUMIF('Additional &amp; Presentation Entry'!X:X,masterTBCY[[#This Row],[Note Line]],'Additional &amp; Presentation Entry'!Z:Z)</f>
        <v>0</v>
      </c>
      <c r="U265" s="320">
        <f t="shared" ref="U265:U280" si="16">SUM(R265:T265)</f>
        <v>0</v>
      </c>
      <c r="V265" s="320">
        <f>U265/'Master Data'!$C$25</f>
        <v>0</v>
      </c>
      <c r="W265" s="400" t="str">
        <f t="shared" si="15"/>
        <v>Balance Sheet</v>
      </c>
    </row>
    <row r="266" spans="2:23" x14ac:dyDescent="0.3">
      <c r="B266" s="678">
        <f t="shared" si="12"/>
        <v>256</v>
      </c>
      <c r="C266" s="319" t="s">
        <v>58</v>
      </c>
      <c r="D266" s="321" t="s">
        <v>1988</v>
      </c>
      <c r="E266" s="321" t="s">
        <v>780</v>
      </c>
      <c r="F266" s="320">
        <f>+SUMIFS('TB Grouping'!F:F,'TB Grouping'!H:H,masterTBCY[[#This Row],[Note Line]])</f>
        <v>0</v>
      </c>
      <c r="G266" s="2562">
        <f ca="1">SUMIF('Additional &amp; Presentation Entry'!E:E,masterTBCY[[#This Row],[Note Line]],'Additional &amp; Presentation Entry'!G:G)</f>
        <v>0</v>
      </c>
      <c r="H266" s="2562">
        <f>SUMIF('Additional &amp; Presentation Entry'!L:L,masterTBCY[[#This Row],[Note Line]],'Additional &amp; Presentation Entry'!N:N)</f>
        <v>0</v>
      </c>
      <c r="I266" s="320">
        <f>+masterTBCY[[#This Row],[Amount as per TB]]+masterTBCY[[#This Row],[Presentation Entry]]</f>
        <v>0</v>
      </c>
      <c r="J266" s="320">
        <f>I266/'Master Data'!$C$25</f>
        <v>0</v>
      </c>
      <c r="K266" s="404" t="s">
        <v>1329</v>
      </c>
      <c r="N266" s="399">
        <v>256</v>
      </c>
      <c r="O266" s="319" t="s">
        <v>58</v>
      </c>
      <c r="P266" s="321" t="s">
        <v>1988</v>
      </c>
      <c r="Q266" s="321" t="s">
        <v>780</v>
      </c>
      <c r="R266" s="320">
        <f>SUMIF('TB Grouping'!$Q:$Q,'Master TB'!P266,'TB Grouping'!$O:$O)</f>
        <v>0</v>
      </c>
      <c r="S266" s="320">
        <f>SUMIF('Additional &amp; Presentation Entry'!Q:Q,masterTBCY[[#This Row],[Note Line]],'Additional &amp; Presentation Entry'!S:S)</f>
        <v>0</v>
      </c>
      <c r="T266" s="320">
        <f>SUMIF('Additional &amp; Presentation Entry'!X:X,masterTBCY[[#This Row],[Note Line]],'Additional &amp; Presentation Entry'!Z:Z)</f>
        <v>0</v>
      </c>
      <c r="U266" s="320">
        <f t="shared" si="16"/>
        <v>0</v>
      </c>
      <c r="V266" s="320">
        <f>U266/'Master Data'!$C$25</f>
        <v>0</v>
      </c>
      <c r="W266" s="400" t="str">
        <f t="shared" si="15"/>
        <v>Balance Sheet</v>
      </c>
    </row>
    <row r="267" spans="2:23" x14ac:dyDescent="0.3">
      <c r="B267" s="678">
        <f t="shared" si="12"/>
        <v>257</v>
      </c>
      <c r="C267" s="319" t="s">
        <v>58</v>
      </c>
      <c r="D267" s="321" t="s">
        <v>1507</v>
      </c>
      <c r="E267" s="321" t="s">
        <v>1508</v>
      </c>
      <c r="F267" s="320">
        <f>+SUMIFS('TB Grouping'!F:F,'TB Grouping'!H:H,masterTBCY[[#This Row],[Note Line]])</f>
        <v>0</v>
      </c>
      <c r="G267" s="2562">
        <f ca="1">SUMIF('Additional &amp; Presentation Entry'!E:E,masterTBCY[[#This Row],[Note Line]],'Additional &amp; Presentation Entry'!G:G)</f>
        <v>0</v>
      </c>
      <c r="H267" s="2562">
        <f>SUMIF('Additional &amp; Presentation Entry'!L:L,masterTBCY[[#This Row],[Note Line]],'Additional &amp; Presentation Entry'!N:N)</f>
        <v>0</v>
      </c>
      <c r="I267" s="320">
        <f>+masterTBCY[[#This Row],[Amount as per TB]]+masterTBCY[[#This Row],[Presentation Entry]]</f>
        <v>0</v>
      </c>
      <c r="J267" s="320">
        <f>I267/'Master Data'!$C$25</f>
        <v>0</v>
      </c>
      <c r="K267" s="404" t="s">
        <v>1329</v>
      </c>
      <c r="N267" s="399">
        <v>257</v>
      </c>
      <c r="O267" s="319" t="s">
        <v>58</v>
      </c>
      <c r="P267" s="321" t="s">
        <v>1507</v>
      </c>
      <c r="Q267" s="321" t="s">
        <v>1508</v>
      </c>
      <c r="R267" s="320">
        <f>SUMIF('TB Grouping'!$Q:$Q,'Master TB'!P267,'TB Grouping'!$O:$O)</f>
        <v>0</v>
      </c>
      <c r="S267" s="320">
        <f>SUMIF('Additional &amp; Presentation Entry'!Q:Q,masterTBCY[[#This Row],[Note Line]],'Additional &amp; Presentation Entry'!S:S)</f>
        <v>0</v>
      </c>
      <c r="T267" s="320">
        <f>SUMIF('Additional &amp; Presentation Entry'!X:X,masterTBCY[[#This Row],[Note Line]],'Additional &amp; Presentation Entry'!Z:Z)</f>
        <v>0</v>
      </c>
      <c r="U267" s="320">
        <f t="shared" si="16"/>
        <v>0</v>
      </c>
      <c r="V267" s="320">
        <f>U267/'Master Data'!$C$25</f>
        <v>0</v>
      </c>
      <c r="W267" s="400" t="str">
        <f t="shared" si="15"/>
        <v>Balance Sheet</v>
      </c>
    </row>
    <row r="268" spans="2:23" x14ac:dyDescent="0.3">
      <c r="B268" s="678">
        <f t="shared" ref="B268:B314" si="17">+B267+1</f>
        <v>258</v>
      </c>
      <c r="C268" s="319" t="s">
        <v>743</v>
      </c>
      <c r="D268" s="321" t="s">
        <v>1509</v>
      </c>
      <c r="E268" s="321" t="s">
        <v>781</v>
      </c>
      <c r="F268" s="320">
        <f>+SUMIFS('TB Grouping'!F:F,'TB Grouping'!H:H,masterTBCY[[#This Row],[Note Line]])</f>
        <v>40004404.979999997</v>
      </c>
      <c r="G268" s="2562">
        <f ca="1">SUMIF('Additional &amp; Presentation Entry'!E:E,masterTBCY[[#This Row],[Note Line]],'Additional &amp; Presentation Entry'!G:G)</f>
        <v>0</v>
      </c>
      <c r="H268" s="2562">
        <f>SUMIF('Additional &amp; Presentation Entry'!L:L,masterTBCY[[#This Row],[Note Line]],'Additional &amp; Presentation Entry'!N:N)</f>
        <v>0</v>
      </c>
      <c r="I268" s="320">
        <f>+masterTBCY[[#This Row],[Amount as per TB]]+masterTBCY[[#This Row],[Presentation Entry]]</f>
        <v>40004404.979999997</v>
      </c>
      <c r="J268" s="320">
        <f>I268/'Master Data'!$C$25</f>
        <v>400044.04979999998</v>
      </c>
      <c r="K268" s="404" t="s">
        <v>1329</v>
      </c>
      <c r="N268" s="399">
        <v>258</v>
      </c>
      <c r="O268" s="319" t="s">
        <v>743</v>
      </c>
      <c r="P268" s="321" t="s">
        <v>1509</v>
      </c>
      <c r="Q268" s="321" t="s">
        <v>781</v>
      </c>
      <c r="R268" s="320">
        <f>SUMIF('TB Grouping'!$Q:$Q,'Master TB'!P268,'TB Grouping'!$O:$O)</f>
        <v>26557511.240000002</v>
      </c>
      <c r="S268" s="320">
        <f>SUMIF('Additional &amp; Presentation Entry'!Q:Q,masterTBCY[[#This Row],[Note Line]],'Additional &amp; Presentation Entry'!S:S)</f>
        <v>0</v>
      </c>
      <c r="T268" s="320">
        <f>SUMIF('Additional &amp; Presentation Entry'!X:X,masterTBCY[[#This Row],[Note Line]],'Additional &amp; Presentation Entry'!Z:Z)</f>
        <v>0</v>
      </c>
      <c r="U268" s="320">
        <f t="shared" si="16"/>
        <v>26557511.240000002</v>
      </c>
      <c r="V268" s="320">
        <f>U268/'Master Data'!$C$25</f>
        <v>265575.11240000004</v>
      </c>
      <c r="W268" s="400" t="str">
        <f t="shared" si="15"/>
        <v>Balance Sheet</v>
      </c>
    </row>
    <row r="269" spans="2:23" x14ac:dyDescent="0.3">
      <c r="B269" s="678">
        <f t="shared" si="17"/>
        <v>259</v>
      </c>
      <c r="C269" s="319" t="s">
        <v>743</v>
      </c>
      <c r="D269" s="321" t="s">
        <v>1510</v>
      </c>
      <c r="E269" s="321" t="s">
        <v>782</v>
      </c>
      <c r="F269" s="320">
        <f>+SUMIFS('TB Grouping'!F:F,'TB Grouping'!H:H,masterTBCY[[#This Row],[Note Line]])</f>
        <v>0</v>
      </c>
      <c r="G269" s="2562">
        <f ca="1">SUMIF('Additional &amp; Presentation Entry'!E:E,masterTBCY[[#This Row],[Note Line]],'Additional &amp; Presentation Entry'!G:G)</f>
        <v>0</v>
      </c>
      <c r="H269" s="2562">
        <f>SUMIF('Additional &amp; Presentation Entry'!L:L,masterTBCY[[#This Row],[Note Line]],'Additional &amp; Presentation Entry'!N:N)</f>
        <v>0</v>
      </c>
      <c r="I269" s="320">
        <f>+masterTBCY[[#This Row],[Amount as per TB]]+masterTBCY[[#This Row],[Presentation Entry]]</f>
        <v>0</v>
      </c>
      <c r="J269" s="320">
        <f>I269/'Master Data'!$C$25</f>
        <v>0</v>
      </c>
      <c r="K269" s="404" t="s">
        <v>1329</v>
      </c>
      <c r="N269" s="399">
        <v>259</v>
      </c>
      <c r="O269" s="319" t="s">
        <v>743</v>
      </c>
      <c r="P269" s="321" t="s">
        <v>1510</v>
      </c>
      <c r="Q269" s="321" t="s">
        <v>782</v>
      </c>
      <c r="R269" s="320">
        <f>SUMIF('TB Grouping'!$Q:$Q,'Master TB'!P269,'TB Grouping'!$O:$O)</f>
        <v>0</v>
      </c>
      <c r="S269" s="320">
        <f>SUMIF('Additional &amp; Presentation Entry'!Q:Q,masterTBCY[[#This Row],[Note Line]],'Additional &amp; Presentation Entry'!S:S)</f>
        <v>0</v>
      </c>
      <c r="T269" s="320">
        <f>SUMIF('Additional &amp; Presentation Entry'!X:X,masterTBCY[[#This Row],[Note Line]],'Additional &amp; Presentation Entry'!Z:Z)</f>
        <v>0</v>
      </c>
      <c r="U269" s="320">
        <f t="shared" si="16"/>
        <v>0</v>
      </c>
      <c r="V269" s="320">
        <f>U269/'Master Data'!$C$25</f>
        <v>0</v>
      </c>
      <c r="W269" s="400" t="str">
        <f t="shared" si="15"/>
        <v>Balance Sheet</v>
      </c>
    </row>
    <row r="270" spans="2:23" x14ac:dyDescent="0.3">
      <c r="B270" s="678">
        <f t="shared" si="17"/>
        <v>260</v>
      </c>
      <c r="C270" s="319" t="s">
        <v>743</v>
      </c>
      <c r="D270" s="321" t="s">
        <v>1511</v>
      </c>
      <c r="E270" s="321" t="s">
        <v>1512</v>
      </c>
      <c r="F270" s="320">
        <f>+SUMIFS('TB Grouping'!F:F,'TB Grouping'!H:H,masterTBCY[[#This Row],[Note Line]])</f>
        <v>0</v>
      </c>
      <c r="G270" s="2562">
        <f ca="1">SUMIF('Additional &amp; Presentation Entry'!E:E,masterTBCY[[#This Row],[Note Line]],'Additional &amp; Presentation Entry'!G:G)</f>
        <v>0</v>
      </c>
      <c r="H270" s="2562">
        <f>SUMIF('Additional &amp; Presentation Entry'!L:L,masterTBCY[[#This Row],[Note Line]],'Additional &amp; Presentation Entry'!N:N)</f>
        <v>0</v>
      </c>
      <c r="I270" s="320">
        <f>+masterTBCY[[#This Row],[Amount as per TB]]+masterTBCY[[#This Row],[Presentation Entry]]</f>
        <v>0</v>
      </c>
      <c r="J270" s="320">
        <f>I270/'Master Data'!$C$25</f>
        <v>0</v>
      </c>
      <c r="K270" s="404" t="s">
        <v>1329</v>
      </c>
      <c r="N270" s="399">
        <v>260</v>
      </c>
      <c r="O270" s="319" t="s">
        <v>743</v>
      </c>
      <c r="P270" s="321" t="s">
        <v>1511</v>
      </c>
      <c r="Q270" s="321" t="s">
        <v>1512</v>
      </c>
      <c r="R270" s="320">
        <f>SUMIF('TB Grouping'!$Q:$Q,'Master TB'!P270,'TB Grouping'!$O:$O)</f>
        <v>0</v>
      </c>
      <c r="S270" s="320">
        <f>SUMIF('Additional &amp; Presentation Entry'!Q:Q,masterTBCY[[#This Row],[Note Line]],'Additional &amp; Presentation Entry'!S:S)</f>
        <v>0</v>
      </c>
      <c r="T270" s="320">
        <f>SUMIF('Additional &amp; Presentation Entry'!X:X,masterTBCY[[#This Row],[Note Line]],'Additional &amp; Presentation Entry'!Z:Z)</f>
        <v>0</v>
      </c>
      <c r="U270" s="320">
        <f t="shared" si="16"/>
        <v>0</v>
      </c>
      <c r="V270" s="320">
        <f>U270/'Master Data'!$C$25</f>
        <v>0</v>
      </c>
      <c r="W270" s="400" t="str">
        <f t="shared" si="15"/>
        <v>Balance Sheet</v>
      </c>
    </row>
    <row r="271" spans="2:23" x14ac:dyDescent="0.3">
      <c r="B271" s="678">
        <f t="shared" si="17"/>
        <v>261</v>
      </c>
      <c r="C271" s="319" t="s">
        <v>743</v>
      </c>
      <c r="D271" s="321" t="s">
        <v>1513</v>
      </c>
      <c r="E271" s="321" t="s">
        <v>1514</v>
      </c>
      <c r="F271" s="320">
        <f>+SUMIFS('TB Grouping'!F:F,'TB Grouping'!H:H,masterTBCY[[#This Row],[Note Line]])</f>
        <v>10032011.449999999</v>
      </c>
      <c r="G271" s="2562">
        <f ca="1">SUMIF('Additional &amp; Presentation Entry'!E:E,masterTBCY[[#This Row],[Note Line]],'Additional &amp; Presentation Entry'!G:G)</f>
        <v>11829.587165997364</v>
      </c>
      <c r="H271" s="2562">
        <f>SUMIF('Additional &amp; Presentation Entry'!L:L,masterTBCY[[#This Row],[Note Line]],'Additional &amp; Presentation Entry'!N:N)</f>
        <v>0</v>
      </c>
      <c r="I271" s="320">
        <f>+masterTBCY[[#This Row],[Amount as per TB]]+masterTBCY[[#This Row],[Presentation Entry]]</f>
        <v>10032011.449999999</v>
      </c>
      <c r="J271" s="320">
        <f>I271/'Master Data'!$C$25</f>
        <v>100320.1145</v>
      </c>
      <c r="K271" s="404" t="s">
        <v>1329</v>
      </c>
      <c r="N271" s="399">
        <v>261</v>
      </c>
      <c r="O271" s="319" t="s">
        <v>743</v>
      </c>
      <c r="P271" s="321" t="s">
        <v>1513</v>
      </c>
      <c r="Q271" s="321" t="s">
        <v>1514</v>
      </c>
      <c r="R271" s="320">
        <f>SUMIF('TB Grouping'!$Q:$Q,'Master TB'!P271,'TB Grouping'!$O:$O)</f>
        <v>6113368.1699999999</v>
      </c>
      <c r="S271" s="320">
        <f>SUMIF('Additional &amp; Presentation Entry'!Q:Q,masterTBCY[[#This Row],[Note Line]],'Additional &amp; Presentation Entry'!S:S)</f>
        <v>0</v>
      </c>
      <c r="T271" s="320">
        <f>SUMIF('Additional &amp; Presentation Entry'!X:X,masterTBCY[[#This Row],[Note Line]],'Additional &amp; Presentation Entry'!Z:Z)</f>
        <v>0</v>
      </c>
      <c r="U271" s="320">
        <f t="shared" si="16"/>
        <v>6113368.1699999999</v>
      </c>
      <c r="V271" s="320">
        <f>U271/'Master Data'!$C$25</f>
        <v>61133.681700000001</v>
      </c>
      <c r="W271" s="400" t="str">
        <f t="shared" si="15"/>
        <v>Balance Sheet</v>
      </c>
    </row>
    <row r="272" spans="2:23" x14ac:dyDescent="0.3">
      <c r="B272" s="678">
        <f t="shared" si="17"/>
        <v>262</v>
      </c>
      <c r="C272" s="319" t="s">
        <v>743</v>
      </c>
      <c r="D272" s="321" t="s">
        <v>1515</v>
      </c>
      <c r="E272" s="321" t="s">
        <v>1516</v>
      </c>
      <c r="F272" s="320">
        <f>+SUMIFS('TB Grouping'!F:F,'TB Grouping'!H:H,masterTBCY[[#This Row],[Note Line]])</f>
        <v>0</v>
      </c>
      <c r="G272" s="2562">
        <f ca="1">SUMIF('Additional &amp; Presentation Entry'!E:E,masterTBCY[[#This Row],[Note Line]],'Additional &amp; Presentation Entry'!G:G)</f>
        <v>0</v>
      </c>
      <c r="H272" s="2562">
        <f>SUMIF('Additional &amp; Presentation Entry'!L:L,masterTBCY[[#This Row],[Note Line]],'Additional &amp; Presentation Entry'!N:N)</f>
        <v>0</v>
      </c>
      <c r="I272" s="320">
        <f>+masterTBCY[[#This Row],[Amount as per TB]]+masterTBCY[[#This Row],[Presentation Entry]]</f>
        <v>0</v>
      </c>
      <c r="J272" s="320">
        <f>I272/'Master Data'!$C$25</f>
        <v>0</v>
      </c>
      <c r="K272" s="404" t="s">
        <v>1329</v>
      </c>
      <c r="N272" s="399">
        <v>262</v>
      </c>
      <c r="O272" s="319" t="s">
        <v>743</v>
      </c>
      <c r="P272" s="321" t="s">
        <v>1515</v>
      </c>
      <c r="Q272" s="321" t="s">
        <v>1516</v>
      </c>
      <c r="R272" s="320">
        <f>SUMIF('TB Grouping'!$Q:$Q,'Master TB'!P272,'TB Grouping'!$O:$O)</f>
        <v>0</v>
      </c>
      <c r="S272" s="320">
        <f>SUMIF('Additional &amp; Presentation Entry'!Q:Q,masterTBCY[[#This Row],[Note Line]],'Additional &amp; Presentation Entry'!S:S)</f>
        <v>0</v>
      </c>
      <c r="T272" s="320">
        <f>SUMIF('Additional &amp; Presentation Entry'!X:X,masterTBCY[[#This Row],[Note Line]],'Additional &amp; Presentation Entry'!Z:Z)</f>
        <v>0</v>
      </c>
      <c r="U272" s="320">
        <f t="shared" si="16"/>
        <v>0</v>
      </c>
      <c r="V272" s="320">
        <f>U272/'Master Data'!$C$25</f>
        <v>0</v>
      </c>
      <c r="W272" s="400" t="str">
        <f t="shared" si="15"/>
        <v>Balance Sheet</v>
      </c>
    </row>
    <row r="273" spans="2:23" x14ac:dyDescent="0.3">
      <c r="B273" s="678">
        <f t="shared" si="17"/>
        <v>263</v>
      </c>
      <c r="C273" s="319" t="s">
        <v>743</v>
      </c>
      <c r="D273" s="321" t="s">
        <v>1517</v>
      </c>
      <c r="E273" s="321" t="s">
        <v>1518</v>
      </c>
      <c r="F273" s="320">
        <f>+SUMIFS('TB Grouping'!F:F,'TB Grouping'!H:H,masterTBCY[[#This Row],[Note Line]])</f>
        <v>0</v>
      </c>
      <c r="G273" s="2562">
        <f ca="1">SUMIF('Additional &amp; Presentation Entry'!E:E,masterTBCY[[#This Row],[Note Line]],'Additional &amp; Presentation Entry'!G:G)</f>
        <v>0</v>
      </c>
      <c r="H273" s="2562">
        <f>SUMIF('Additional &amp; Presentation Entry'!L:L,masterTBCY[[#This Row],[Note Line]],'Additional &amp; Presentation Entry'!N:N)</f>
        <v>0</v>
      </c>
      <c r="I273" s="320">
        <f>+masterTBCY[[#This Row],[Amount as per TB]]+masterTBCY[[#This Row],[Presentation Entry]]</f>
        <v>0</v>
      </c>
      <c r="J273" s="320">
        <f>I273/'Master Data'!$C$25</f>
        <v>0</v>
      </c>
      <c r="K273" s="404" t="s">
        <v>1329</v>
      </c>
      <c r="N273" s="399">
        <v>263</v>
      </c>
      <c r="O273" s="319" t="s">
        <v>743</v>
      </c>
      <c r="P273" s="321" t="s">
        <v>1517</v>
      </c>
      <c r="Q273" s="321" t="s">
        <v>1518</v>
      </c>
      <c r="R273" s="320">
        <f>SUMIF('TB Grouping'!$Q:$Q,'Master TB'!P273,'TB Grouping'!$O:$O)</f>
        <v>0</v>
      </c>
      <c r="S273" s="320">
        <f>SUMIF('Additional &amp; Presentation Entry'!Q:Q,masterTBCY[[#This Row],[Note Line]],'Additional &amp; Presentation Entry'!S:S)</f>
        <v>0</v>
      </c>
      <c r="T273" s="320">
        <f>SUMIF('Additional &amp; Presentation Entry'!X:X,masterTBCY[[#This Row],[Note Line]],'Additional &amp; Presentation Entry'!Z:Z)</f>
        <v>0</v>
      </c>
      <c r="U273" s="320">
        <f t="shared" si="16"/>
        <v>0</v>
      </c>
      <c r="V273" s="320">
        <f>U273/'Master Data'!$C$25</f>
        <v>0</v>
      </c>
      <c r="W273" s="400" t="str">
        <f t="shared" si="15"/>
        <v>Balance Sheet</v>
      </c>
    </row>
    <row r="274" spans="2:23" x14ac:dyDescent="0.3">
      <c r="B274" s="678">
        <f t="shared" si="17"/>
        <v>264</v>
      </c>
      <c r="C274" s="319" t="s">
        <v>743</v>
      </c>
      <c r="D274" s="321" t="s">
        <v>1666</v>
      </c>
      <c r="E274" s="321" t="s">
        <v>1519</v>
      </c>
      <c r="F274" s="320">
        <f>+SUMIFS('TB Grouping'!F:F,'TB Grouping'!H:H,masterTBCY[[#This Row],[Note Line]])</f>
        <v>0</v>
      </c>
      <c r="G274" s="2562">
        <f ca="1">SUMIF('Additional &amp; Presentation Entry'!E:E,masterTBCY[[#This Row],[Note Line]],'Additional &amp; Presentation Entry'!G:G)</f>
        <v>0</v>
      </c>
      <c r="H274" s="2562">
        <f>SUMIF('Additional &amp; Presentation Entry'!L:L,masterTBCY[[#This Row],[Note Line]],'Additional &amp; Presentation Entry'!N:N)</f>
        <v>0</v>
      </c>
      <c r="I274" s="320">
        <f>+masterTBCY[[#This Row],[Amount as per TB]]+masterTBCY[[#This Row],[Presentation Entry]]</f>
        <v>0</v>
      </c>
      <c r="J274" s="320">
        <f>I274/'Master Data'!$C$25</f>
        <v>0</v>
      </c>
      <c r="K274" s="404" t="s">
        <v>1329</v>
      </c>
      <c r="N274" s="399">
        <v>264</v>
      </c>
      <c r="O274" s="319" t="s">
        <v>743</v>
      </c>
      <c r="P274" s="321" t="s">
        <v>1666</v>
      </c>
      <c r="Q274" s="321" t="s">
        <v>1519</v>
      </c>
      <c r="R274" s="320">
        <f>SUMIF('TB Grouping'!$Q:$Q,'Master TB'!P274,'TB Grouping'!$O:$O)</f>
        <v>0</v>
      </c>
      <c r="S274" s="320">
        <f>SUMIF('Additional &amp; Presentation Entry'!Q:Q,masterTBCY[[#This Row],[Note Line]],'Additional &amp; Presentation Entry'!S:S)</f>
        <v>0</v>
      </c>
      <c r="T274" s="320">
        <f>SUMIF('Additional &amp; Presentation Entry'!X:X,masterTBCY[[#This Row],[Note Line]],'Additional &amp; Presentation Entry'!Z:Z)</f>
        <v>0</v>
      </c>
      <c r="U274" s="320">
        <f t="shared" si="16"/>
        <v>0</v>
      </c>
      <c r="V274" s="320">
        <f>U274/'Master Data'!$C$25</f>
        <v>0</v>
      </c>
      <c r="W274" s="400" t="str">
        <f t="shared" si="15"/>
        <v>Balance Sheet</v>
      </c>
    </row>
    <row r="275" spans="2:23" x14ac:dyDescent="0.3">
      <c r="B275" s="678">
        <f t="shared" si="17"/>
        <v>265</v>
      </c>
      <c r="C275" s="319" t="s">
        <v>1520</v>
      </c>
      <c r="D275" s="321" t="s">
        <v>1521</v>
      </c>
      <c r="E275" s="321" t="s">
        <v>783</v>
      </c>
      <c r="F275" s="320">
        <f>+SUMIFS('TB Grouping'!F:F,'TB Grouping'!H:H,masterTBCY[[#This Row],[Note Line]])</f>
        <v>5007918.18</v>
      </c>
      <c r="G275" s="2562">
        <f ca="1">SUMIF('Additional &amp; Presentation Entry'!E:E,masterTBCY[[#This Row],[Note Line]],'Additional &amp; Presentation Entry'!G:G)</f>
        <v>0</v>
      </c>
      <c r="H275" s="2562">
        <f>SUMIF('Additional &amp; Presentation Entry'!L:L,masterTBCY[[#This Row],[Note Line]],'Additional &amp; Presentation Entry'!N:N)</f>
        <v>0</v>
      </c>
      <c r="I275" s="320">
        <f>+masterTBCY[[#This Row],[Amount as per TB]]+masterTBCY[[#This Row],[Presentation Entry]]</f>
        <v>5007918.18</v>
      </c>
      <c r="J275" s="320">
        <f>I275/'Master Data'!$C$25</f>
        <v>50079.181799999998</v>
      </c>
      <c r="K275" s="404" t="s">
        <v>1329</v>
      </c>
      <c r="N275" s="399">
        <v>265</v>
      </c>
      <c r="O275" s="319" t="s">
        <v>1520</v>
      </c>
      <c r="P275" s="321" t="s">
        <v>1521</v>
      </c>
      <c r="Q275" s="321" t="s">
        <v>783</v>
      </c>
      <c r="R275" s="320">
        <f>SUMIF('TB Grouping'!$Q:$Q,'Master TB'!P275,'TB Grouping'!$O:$O)</f>
        <v>5004254.82</v>
      </c>
      <c r="S275" s="320">
        <f>SUMIF('Additional &amp; Presentation Entry'!Q:Q,masterTBCY[[#This Row],[Note Line]],'Additional &amp; Presentation Entry'!S:S)</f>
        <v>0</v>
      </c>
      <c r="T275" s="320">
        <f>SUMIF('Additional &amp; Presentation Entry'!X:X,masterTBCY[[#This Row],[Note Line]],'Additional &amp; Presentation Entry'!Z:Z)</f>
        <v>0</v>
      </c>
      <c r="U275" s="320">
        <f t="shared" si="16"/>
        <v>5004254.82</v>
      </c>
      <c r="V275" s="320">
        <f>U275/'Master Data'!$C$25</f>
        <v>50042.548200000005</v>
      </c>
      <c r="W275" s="400" t="str">
        <f t="shared" si="15"/>
        <v>Balance Sheet</v>
      </c>
    </row>
    <row r="276" spans="2:23" x14ac:dyDescent="0.3">
      <c r="B276" s="678">
        <f t="shared" si="17"/>
        <v>266</v>
      </c>
      <c r="C276" s="319" t="s">
        <v>1520</v>
      </c>
      <c r="D276" s="321" t="s">
        <v>1522</v>
      </c>
      <c r="E276" s="321" t="s">
        <v>784</v>
      </c>
      <c r="F276" s="320">
        <f>+SUMIFS('TB Grouping'!F:F,'TB Grouping'!H:H,masterTBCY[[#This Row],[Note Line]])</f>
        <v>0</v>
      </c>
      <c r="G276" s="2562">
        <f ca="1">SUMIF('Additional &amp; Presentation Entry'!E:E,masterTBCY[[#This Row],[Note Line]],'Additional &amp; Presentation Entry'!G:G)</f>
        <v>0</v>
      </c>
      <c r="H276" s="2562">
        <f>SUMIF('Additional &amp; Presentation Entry'!L:L,masterTBCY[[#This Row],[Note Line]],'Additional &amp; Presentation Entry'!N:N)</f>
        <v>0</v>
      </c>
      <c r="I276" s="320">
        <f>+masterTBCY[[#This Row],[Amount as per TB]]+masterTBCY[[#This Row],[Presentation Entry]]</f>
        <v>0</v>
      </c>
      <c r="J276" s="320">
        <f>I276/'Master Data'!$C$25</f>
        <v>0</v>
      </c>
      <c r="K276" s="404" t="s">
        <v>1329</v>
      </c>
      <c r="N276" s="399">
        <v>266</v>
      </c>
      <c r="O276" s="319" t="s">
        <v>1520</v>
      </c>
      <c r="P276" s="321" t="s">
        <v>1522</v>
      </c>
      <c r="Q276" s="321" t="s">
        <v>784</v>
      </c>
      <c r="R276" s="320">
        <f>SUMIF('TB Grouping'!$Q:$Q,'Master TB'!P276,'TB Grouping'!$O:$O)</f>
        <v>0</v>
      </c>
      <c r="S276" s="320">
        <f>SUMIF('Additional &amp; Presentation Entry'!Q:Q,masterTBCY[[#This Row],[Note Line]],'Additional &amp; Presentation Entry'!S:S)</f>
        <v>0</v>
      </c>
      <c r="T276" s="320">
        <f>SUMIF('Additional &amp; Presentation Entry'!X:X,masterTBCY[[#This Row],[Note Line]],'Additional &amp; Presentation Entry'!Z:Z)</f>
        <v>0</v>
      </c>
      <c r="U276" s="320">
        <f t="shared" si="16"/>
        <v>0</v>
      </c>
      <c r="V276" s="320">
        <f>U276/'Master Data'!$C$25</f>
        <v>0</v>
      </c>
      <c r="W276" s="400" t="str">
        <f t="shared" si="15"/>
        <v>Balance Sheet</v>
      </c>
    </row>
    <row r="277" spans="2:23" x14ac:dyDescent="0.3">
      <c r="B277" s="678">
        <f t="shared" si="17"/>
        <v>267</v>
      </c>
      <c r="C277" s="319" t="s">
        <v>1520</v>
      </c>
      <c r="D277" s="321" t="s">
        <v>1523</v>
      </c>
      <c r="E277" s="321" t="s">
        <v>785</v>
      </c>
      <c r="F277" s="320">
        <f>+SUMIFS('TB Grouping'!F:F,'TB Grouping'!H:H,masterTBCY[[#This Row],[Note Line]])</f>
        <v>122267474</v>
      </c>
      <c r="G277" s="2562">
        <f ca="1">SUMIF('Additional &amp; Presentation Entry'!E:E,masterTBCY[[#This Row],[Note Line]],'Additional &amp; Presentation Entry'!G:G)</f>
        <v>4774373</v>
      </c>
      <c r="H277" s="2562">
        <f>SUMIF('Additional &amp; Presentation Entry'!L:L,masterTBCY[[#This Row],[Note Line]],'Additional &amp; Presentation Entry'!N:N)</f>
        <v>0</v>
      </c>
      <c r="I277" s="320">
        <f>+masterTBCY[[#This Row],[Amount as per TB]]+masterTBCY[[#This Row],[Presentation Entry]]</f>
        <v>122267474</v>
      </c>
      <c r="J277" s="320">
        <f>I277/'Master Data'!$C$25</f>
        <v>1222674.74</v>
      </c>
      <c r="K277" s="404" t="s">
        <v>1329</v>
      </c>
      <c r="N277" s="399">
        <v>267</v>
      </c>
      <c r="O277" s="319" t="s">
        <v>1520</v>
      </c>
      <c r="P277" s="321" t="s">
        <v>1523</v>
      </c>
      <c r="Q277" s="321" t="s">
        <v>785</v>
      </c>
      <c r="R277" s="320">
        <f>SUMIF('TB Grouping'!$Q:$Q,'Master TB'!P277,'TB Grouping'!$O:$O)</f>
        <v>93458728</v>
      </c>
      <c r="S277" s="320">
        <f>SUMIF('Additional &amp; Presentation Entry'!Q:Q,masterTBCY[[#This Row],[Note Line]],'Additional &amp; Presentation Entry'!S:S)</f>
        <v>0</v>
      </c>
      <c r="T277" s="320">
        <f>SUMIF('Additional &amp; Presentation Entry'!X:X,masterTBCY[[#This Row],[Note Line]],'Additional &amp; Presentation Entry'!Z:Z)</f>
        <v>0</v>
      </c>
      <c r="U277" s="320">
        <f t="shared" si="16"/>
        <v>93458728</v>
      </c>
      <c r="V277" s="320">
        <f>U277/'Master Data'!$C$25</f>
        <v>934587.28</v>
      </c>
      <c r="W277" s="400" t="str">
        <f t="shared" si="15"/>
        <v>Balance Sheet</v>
      </c>
    </row>
    <row r="278" spans="2:23" x14ac:dyDescent="0.3">
      <c r="B278" s="678">
        <f t="shared" si="17"/>
        <v>268</v>
      </c>
      <c r="C278" s="319" t="s">
        <v>1520</v>
      </c>
      <c r="D278" s="321" t="s">
        <v>1524</v>
      </c>
      <c r="E278" s="321" t="s">
        <v>786</v>
      </c>
      <c r="F278" s="320">
        <f>+SUMIFS('TB Grouping'!F:F,'TB Grouping'!H:H,masterTBCY[[#This Row],[Note Line]])</f>
        <v>0</v>
      </c>
      <c r="G278" s="2562">
        <f ca="1">SUMIF('Additional &amp; Presentation Entry'!E:E,masterTBCY[[#This Row],[Note Line]],'Additional &amp; Presentation Entry'!G:G)</f>
        <v>0</v>
      </c>
      <c r="H278" s="2562">
        <f>SUMIF('Additional &amp; Presentation Entry'!L:L,masterTBCY[[#This Row],[Note Line]],'Additional &amp; Presentation Entry'!N:N)</f>
        <v>0</v>
      </c>
      <c r="I278" s="320">
        <f>+masterTBCY[[#This Row],[Amount as per TB]]+masterTBCY[[#This Row],[Presentation Entry]]</f>
        <v>0</v>
      </c>
      <c r="J278" s="320">
        <f>I278/'Master Data'!$C$25</f>
        <v>0</v>
      </c>
      <c r="K278" s="404" t="s">
        <v>1329</v>
      </c>
      <c r="N278" s="399">
        <v>268</v>
      </c>
      <c r="O278" s="319" t="s">
        <v>1520</v>
      </c>
      <c r="P278" s="321" t="s">
        <v>1524</v>
      </c>
      <c r="Q278" s="321" t="s">
        <v>786</v>
      </c>
      <c r="R278" s="320">
        <f>SUMIF('TB Grouping'!$Q:$Q,'Master TB'!P278,'TB Grouping'!$O:$O)</f>
        <v>0</v>
      </c>
      <c r="S278" s="320">
        <f>SUMIF('Additional &amp; Presentation Entry'!Q:Q,masterTBCY[[#This Row],[Note Line]],'Additional &amp; Presentation Entry'!S:S)</f>
        <v>0</v>
      </c>
      <c r="T278" s="320">
        <f>SUMIF('Additional &amp; Presentation Entry'!X:X,masterTBCY[[#This Row],[Note Line]],'Additional &amp; Presentation Entry'!Z:Z)</f>
        <v>0</v>
      </c>
      <c r="U278" s="320">
        <f t="shared" si="16"/>
        <v>0</v>
      </c>
      <c r="V278" s="320">
        <f>U278/'Master Data'!$C$25</f>
        <v>0</v>
      </c>
      <c r="W278" s="400" t="str">
        <f t="shared" ref="W278:W280" si="18">K296</f>
        <v>Balance Sheet</v>
      </c>
    </row>
    <row r="279" spans="2:23" x14ac:dyDescent="0.3">
      <c r="B279" s="678">
        <f t="shared" si="17"/>
        <v>269</v>
      </c>
      <c r="C279" s="319" t="s">
        <v>1520</v>
      </c>
      <c r="D279" s="321" t="s">
        <v>1525</v>
      </c>
      <c r="E279" s="321" t="s">
        <v>1553</v>
      </c>
      <c r="F279" s="320">
        <f>+SUMIFS('TB Grouping'!F:F,'TB Grouping'!H:H,masterTBCY[[#This Row],[Note Line]])</f>
        <v>0</v>
      </c>
      <c r="G279" s="2562">
        <f ca="1">SUMIF('Additional &amp; Presentation Entry'!E:E,masterTBCY[[#This Row],[Note Line]],'Additional &amp; Presentation Entry'!G:G)</f>
        <v>0</v>
      </c>
      <c r="H279" s="2562">
        <f>SUMIF('Additional &amp; Presentation Entry'!L:L,masterTBCY[[#This Row],[Note Line]],'Additional &amp; Presentation Entry'!N:N)</f>
        <v>0</v>
      </c>
      <c r="I279" s="320">
        <f>+masterTBCY[[#This Row],[Amount as per TB]]+masterTBCY[[#This Row],[Presentation Entry]]</f>
        <v>0</v>
      </c>
      <c r="J279" s="320">
        <f>I279/'Master Data'!$C$25</f>
        <v>0</v>
      </c>
      <c r="K279" s="404" t="s">
        <v>1329</v>
      </c>
      <c r="N279" s="399">
        <v>269</v>
      </c>
      <c r="O279" s="319" t="s">
        <v>1520</v>
      </c>
      <c r="P279" s="321" t="s">
        <v>1525</v>
      </c>
      <c r="Q279" s="321" t="s">
        <v>1553</v>
      </c>
      <c r="R279" s="320">
        <f>SUMIF('TB Grouping'!$Q:$Q,'Master TB'!P279,'TB Grouping'!$O:$O)</f>
        <v>0</v>
      </c>
      <c r="S279" s="320">
        <f>SUMIF('Additional &amp; Presentation Entry'!Q:Q,masterTBCY[[#This Row],[Note Line]],'Additional &amp; Presentation Entry'!S:S)</f>
        <v>0</v>
      </c>
      <c r="T279" s="320">
        <f>SUMIF('Additional &amp; Presentation Entry'!X:X,masterTBCY[[#This Row],[Note Line]],'Additional &amp; Presentation Entry'!Z:Z)</f>
        <v>0</v>
      </c>
      <c r="U279" s="320">
        <f t="shared" si="16"/>
        <v>0</v>
      </c>
      <c r="V279" s="320">
        <f>U279/'Master Data'!$C$25</f>
        <v>0</v>
      </c>
      <c r="W279" s="400" t="str">
        <f t="shared" si="18"/>
        <v>Balance Sheet</v>
      </c>
    </row>
    <row r="280" spans="2:23" x14ac:dyDescent="0.3">
      <c r="B280" s="678">
        <f t="shared" si="17"/>
        <v>270</v>
      </c>
      <c r="C280" s="319" t="s">
        <v>1520</v>
      </c>
      <c r="D280" s="321" t="s">
        <v>1526</v>
      </c>
      <c r="E280" s="321" t="s">
        <v>1554</v>
      </c>
      <c r="F280" s="320">
        <f>+SUMIFS('TB Grouping'!F:F,'TB Grouping'!H:H,masterTBCY[[#This Row],[Note Line]])</f>
        <v>0</v>
      </c>
      <c r="G280" s="2562">
        <f ca="1">SUMIF('Additional &amp; Presentation Entry'!E:E,masterTBCY[[#This Row],[Note Line]],'Additional &amp; Presentation Entry'!G:G)</f>
        <v>0</v>
      </c>
      <c r="H280" s="2562">
        <f>SUMIF('Additional &amp; Presentation Entry'!L:L,masterTBCY[[#This Row],[Note Line]],'Additional &amp; Presentation Entry'!N:N)</f>
        <v>0</v>
      </c>
      <c r="I280" s="320">
        <f>+masterTBCY[[#This Row],[Amount as per TB]]+masterTBCY[[#This Row],[Presentation Entry]]</f>
        <v>0</v>
      </c>
      <c r="J280" s="320">
        <f>I280/'Master Data'!$C$25</f>
        <v>0</v>
      </c>
      <c r="K280" s="404" t="s">
        <v>1329</v>
      </c>
      <c r="N280" s="399">
        <v>270</v>
      </c>
      <c r="O280" s="319" t="s">
        <v>1520</v>
      </c>
      <c r="P280" s="321" t="s">
        <v>1526</v>
      </c>
      <c r="Q280" s="321" t="s">
        <v>1554</v>
      </c>
      <c r="R280" s="320">
        <f>SUMIF('TB Grouping'!$Q:$Q,'Master TB'!P280,'TB Grouping'!$O:$O)</f>
        <v>0</v>
      </c>
      <c r="S280" s="320">
        <f>SUMIF('Additional &amp; Presentation Entry'!Q:Q,masterTBCY[[#This Row],[Note Line]],'Additional &amp; Presentation Entry'!S:S)</f>
        <v>0</v>
      </c>
      <c r="T280" s="320">
        <f>SUMIF('Additional &amp; Presentation Entry'!X:X,masterTBCY[[#This Row],[Note Line]],'Additional &amp; Presentation Entry'!Z:Z)</f>
        <v>0</v>
      </c>
      <c r="U280" s="320">
        <f t="shared" si="16"/>
        <v>0</v>
      </c>
      <c r="V280" s="320">
        <f>U280/'Master Data'!$C$25</f>
        <v>0</v>
      </c>
      <c r="W280" s="400" t="str">
        <f t="shared" si="18"/>
        <v>Balance Sheet</v>
      </c>
    </row>
    <row r="281" spans="2:23" x14ac:dyDescent="0.3">
      <c r="B281" s="678">
        <f t="shared" si="17"/>
        <v>271</v>
      </c>
      <c r="C281" s="319" t="s">
        <v>1520</v>
      </c>
      <c r="D281" s="321" t="s">
        <v>1527</v>
      </c>
      <c r="E281" s="321" t="s">
        <v>1555</v>
      </c>
      <c r="F281" s="320">
        <f>+SUMIFS('TB Grouping'!F:F,'TB Grouping'!H:H,masterTBCY[[#This Row],[Note Line]])</f>
        <v>0</v>
      </c>
      <c r="G281" s="2562">
        <f ca="1">SUMIF('Additional &amp; Presentation Entry'!E:E,masterTBCY[[#This Row],[Note Line]],'Additional &amp; Presentation Entry'!G:G)</f>
        <v>0</v>
      </c>
      <c r="H281" s="2562">
        <f>SUMIF('Additional &amp; Presentation Entry'!L:L,masterTBCY[[#This Row],[Note Line]],'Additional &amp; Presentation Entry'!N:N)</f>
        <v>0</v>
      </c>
      <c r="I281" s="320">
        <f>+masterTBCY[[#This Row],[Amount as per TB]]+masterTBCY[[#This Row],[Presentation Entry]]</f>
        <v>0</v>
      </c>
      <c r="J281" s="320">
        <f>I281/'Master Data'!$C$25</f>
        <v>0</v>
      </c>
      <c r="K281" s="404" t="s">
        <v>1329</v>
      </c>
      <c r="N281" s="399">
        <v>271</v>
      </c>
      <c r="O281" s="319" t="s">
        <v>1520</v>
      </c>
      <c r="P281" s="321" t="s">
        <v>1527</v>
      </c>
      <c r="Q281" s="321" t="s">
        <v>1555</v>
      </c>
      <c r="R281" s="1767">
        <f>SUMIF('TB Grouping'!$Q:$Q,'Master TB'!P281,'TB Grouping'!$O:$O)</f>
        <v>0</v>
      </c>
      <c r="S281" s="1767">
        <f>SUMIF('Additional &amp; Presentation Entry'!Q:Q,masterTBCY[[#This Row],[Note Line]],'Additional &amp; Presentation Entry'!S:S)</f>
        <v>0</v>
      </c>
      <c r="T281" s="1767">
        <f>SUMIF('Additional &amp; Presentation Entry'!X:X,masterTBCY[[#This Row],[Note Line]],'Additional &amp; Presentation Entry'!Z:Z)</f>
        <v>0</v>
      </c>
      <c r="U281" s="320">
        <f t="shared" ref="U281:U282" si="19">SUM(R281:T281)</f>
        <v>0</v>
      </c>
      <c r="V281" s="320">
        <f>U281/'Master Data'!$C$25</f>
        <v>0</v>
      </c>
      <c r="W281" s="400" t="str">
        <f t="shared" ref="W281:W282" si="20">K297</f>
        <v>Balance Sheet</v>
      </c>
    </row>
    <row r="282" spans="2:23" x14ac:dyDescent="0.3">
      <c r="B282" s="678">
        <f t="shared" si="17"/>
        <v>272</v>
      </c>
      <c r="C282" s="319" t="s">
        <v>1520</v>
      </c>
      <c r="D282" s="321" t="s">
        <v>1528</v>
      </c>
      <c r="E282" s="321" t="s">
        <v>1556</v>
      </c>
      <c r="F282" s="320">
        <f>+SUMIFS('TB Grouping'!F:F,'TB Grouping'!H:H,masterTBCY[[#This Row],[Note Line]])</f>
        <v>0</v>
      </c>
      <c r="G282" s="2562">
        <f ca="1">SUMIF('Additional &amp; Presentation Entry'!E:E,masterTBCY[[#This Row],[Note Line]],'Additional &amp; Presentation Entry'!G:G)</f>
        <v>0</v>
      </c>
      <c r="H282" s="2562">
        <f>SUMIF('Additional &amp; Presentation Entry'!L:L,masterTBCY[[#This Row],[Note Line]],'Additional &amp; Presentation Entry'!N:N)</f>
        <v>0</v>
      </c>
      <c r="I282" s="320">
        <f>+masterTBCY[[#This Row],[Amount as per TB]]+masterTBCY[[#This Row],[Presentation Entry]]</f>
        <v>0</v>
      </c>
      <c r="J282" s="320">
        <f>I282/'Master Data'!$C$25</f>
        <v>0</v>
      </c>
      <c r="K282" s="404" t="s">
        <v>1329</v>
      </c>
      <c r="N282" s="399">
        <v>272</v>
      </c>
      <c r="O282" s="396" t="s">
        <v>1520</v>
      </c>
      <c r="P282" s="397" t="s">
        <v>1528</v>
      </c>
      <c r="Q282" s="397" t="s">
        <v>1556</v>
      </c>
      <c r="R282" s="1767">
        <f>SUMIF('TB Grouping'!$Q:$Q,'Master TB'!P282,'TB Grouping'!$O:$O)</f>
        <v>0</v>
      </c>
      <c r="S282" s="1767">
        <f>SUMIF('Additional &amp; Presentation Entry'!Q:Q,masterTBCY[[#This Row],[Note Line]],'Additional &amp; Presentation Entry'!S:S)</f>
        <v>0</v>
      </c>
      <c r="T282" s="1767">
        <f>SUMIF('Additional &amp; Presentation Entry'!X:X,masterTBCY[[#This Row],[Note Line]],'Additional &amp; Presentation Entry'!Z:Z)</f>
        <v>0</v>
      </c>
      <c r="U282" s="320">
        <f t="shared" si="19"/>
        <v>0</v>
      </c>
      <c r="V282" s="320">
        <f>U282/'Master Data'!$C$25</f>
        <v>0</v>
      </c>
      <c r="W282" s="400" t="str">
        <f t="shared" si="20"/>
        <v>Balance Sheet</v>
      </c>
    </row>
    <row r="283" spans="2:23" x14ac:dyDescent="0.3">
      <c r="B283" s="678">
        <f t="shared" si="17"/>
        <v>273</v>
      </c>
      <c r="C283" s="319" t="s">
        <v>1520</v>
      </c>
      <c r="D283" s="321" t="s">
        <v>1529</v>
      </c>
      <c r="E283" s="321" t="s">
        <v>1558</v>
      </c>
      <c r="F283" s="320">
        <f>+SUMIFS('TB Grouping'!F:F,'TB Grouping'!H:H,masterTBCY[[#This Row],[Note Line]])</f>
        <v>0</v>
      </c>
      <c r="G283" s="2562">
        <f ca="1">SUMIF('Additional &amp; Presentation Entry'!E:E,masterTBCY[[#This Row],[Note Line]],'Additional &amp; Presentation Entry'!G:G)</f>
        <v>0</v>
      </c>
      <c r="H283" s="2562">
        <f>SUMIF('Additional &amp; Presentation Entry'!L:L,masterTBCY[[#This Row],[Note Line]],'Additional &amp; Presentation Entry'!N:N)</f>
        <v>0</v>
      </c>
      <c r="I283" s="320">
        <f>+masterTBCY[[#This Row],[Amount as per TB]]+masterTBCY[[#This Row],[Presentation Entry]]</f>
        <v>0</v>
      </c>
      <c r="J283" s="320">
        <f>I283/'Master Data'!$C$25</f>
        <v>0</v>
      </c>
      <c r="K283" s="404" t="s">
        <v>1329</v>
      </c>
      <c r="N283" s="399">
        <v>273</v>
      </c>
      <c r="O283" s="1768" t="s">
        <v>1520</v>
      </c>
      <c r="P283" s="1769" t="s">
        <v>1529</v>
      </c>
      <c r="Q283" s="1770" t="s">
        <v>1558</v>
      </c>
      <c r="R283" s="1767">
        <f>SUMIF('TB Grouping'!$Q:$Q,'Master TB'!P283,'TB Grouping'!$O:$O)</f>
        <v>0</v>
      </c>
      <c r="S283" s="1767">
        <f>SUMIF('Additional &amp; Presentation Entry'!Q:Q,masterTBCY[[#This Row],[Note Line]],'Additional &amp; Presentation Entry'!S:S)</f>
        <v>0</v>
      </c>
      <c r="T283" s="1767">
        <f>SUMIF('Additional &amp; Presentation Entry'!X:X,masterTBCY[[#This Row],[Note Line]],'Additional &amp; Presentation Entry'!Z:Z)</f>
        <v>0</v>
      </c>
      <c r="U283" s="320">
        <f t="shared" ref="U283:U298" si="21">SUM(R283:T283)</f>
        <v>0</v>
      </c>
      <c r="V283" s="320">
        <f>U283/'Master Data'!$C$25</f>
        <v>0</v>
      </c>
      <c r="W283" s="400" t="str">
        <f t="shared" ref="W283:W298" si="22">K283</f>
        <v>Balance Sheet</v>
      </c>
    </row>
    <row r="284" spans="2:23" x14ac:dyDescent="0.3">
      <c r="B284" s="678">
        <f t="shared" si="17"/>
        <v>274</v>
      </c>
      <c r="C284" s="319" t="s">
        <v>1520</v>
      </c>
      <c r="D284" s="321" t="s">
        <v>744</v>
      </c>
      <c r="E284" s="321" t="s">
        <v>1559</v>
      </c>
      <c r="F284" s="320">
        <f>+SUMIFS('TB Grouping'!F:F,'TB Grouping'!H:H,masterTBCY[[#This Row],[Note Line]])</f>
        <v>0</v>
      </c>
      <c r="G284" s="2562">
        <f ca="1">SUMIF('Additional &amp; Presentation Entry'!E:E,masterTBCY[[#This Row],[Note Line]],'Additional &amp; Presentation Entry'!G:G)</f>
        <v>0</v>
      </c>
      <c r="H284" s="2562">
        <f>SUMIF('Additional &amp; Presentation Entry'!L:L,masterTBCY[[#This Row],[Note Line]],'Additional &amp; Presentation Entry'!N:N)</f>
        <v>0</v>
      </c>
      <c r="I284" s="320">
        <f>+masterTBCY[[#This Row],[Amount as per TB]]+masterTBCY[[#This Row],[Presentation Entry]]</f>
        <v>0</v>
      </c>
      <c r="J284" s="320">
        <f>I284/'Master Data'!$C$25</f>
        <v>0</v>
      </c>
      <c r="K284" s="404" t="s">
        <v>1329</v>
      </c>
      <c r="N284" s="399">
        <v>274</v>
      </c>
      <c r="O284" s="1768" t="s">
        <v>1520</v>
      </c>
      <c r="P284" s="1769" t="s">
        <v>744</v>
      </c>
      <c r="Q284" s="1770" t="s">
        <v>1559</v>
      </c>
      <c r="R284" s="1767">
        <f>SUMIF('TB Grouping'!$Q:$Q,'Master TB'!P284,'TB Grouping'!$O:$O)</f>
        <v>0</v>
      </c>
      <c r="S284" s="1767">
        <f>SUMIF('Additional &amp; Presentation Entry'!Q:Q,masterTBCY[[#This Row],[Note Line]],'Additional &amp; Presentation Entry'!S:S)</f>
        <v>0</v>
      </c>
      <c r="T284" s="1767">
        <f>SUMIF('Additional &amp; Presentation Entry'!X:X,masterTBCY[[#This Row],[Note Line]],'Additional &amp; Presentation Entry'!Z:Z)</f>
        <v>0</v>
      </c>
      <c r="U284" s="320">
        <f t="shared" si="21"/>
        <v>0</v>
      </c>
      <c r="V284" s="320">
        <f>U284/'Master Data'!$C$25</f>
        <v>0</v>
      </c>
      <c r="W284" s="400" t="str">
        <f t="shared" si="22"/>
        <v>Balance Sheet</v>
      </c>
    </row>
    <row r="285" spans="2:23" x14ac:dyDescent="0.3">
      <c r="B285" s="678">
        <f t="shared" si="17"/>
        <v>275</v>
      </c>
      <c r="C285" s="319" t="s">
        <v>1520</v>
      </c>
      <c r="D285" s="321" t="s">
        <v>745</v>
      </c>
      <c r="E285" s="321" t="s">
        <v>1560</v>
      </c>
      <c r="F285" s="320">
        <f>+SUMIFS('TB Grouping'!F:F,'TB Grouping'!H:H,masterTBCY[[#This Row],[Note Line]])</f>
        <v>0</v>
      </c>
      <c r="G285" s="2562">
        <f ca="1">SUMIF('Additional &amp; Presentation Entry'!E:E,masterTBCY[[#This Row],[Note Line]],'Additional &amp; Presentation Entry'!G:G)</f>
        <v>0</v>
      </c>
      <c r="H285" s="2562">
        <f>SUMIF('Additional &amp; Presentation Entry'!L:L,masterTBCY[[#This Row],[Note Line]],'Additional &amp; Presentation Entry'!N:N)</f>
        <v>0</v>
      </c>
      <c r="I285" s="320">
        <f>+masterTBCY[[#This Row],[Amount as per TB]]+masterTBCY[[#This Row],[Presentation Entry]]</f>
        <v>0</v>
      </c>
      <c r="J285" s="320">
        <f>I285/'Master Data'!$C$25</f>
        <v>0</v>
      </c>
      <c r="K285" s="404" t="s">
        <v>1329</v>
      </c>
      <c r="N285" s="399">
        <v>275</v>
      </c>
      <c r="O285" s="1768" t="s">
        <v>1520</v>
      </c>
      <c r="P285" s="1769" t="s">
        <v>745</v>
      </c>
      <c r="Q285" s="1770" t="s">
        <v>1560</v>
      </c>
      <c r="R285" s="1767">
        <f>SUMIF('TB Grouping'!$Q:$Q,'Master TB'!P285,'TB Grouping'!$O:$O)</f>
        <v>0</v>
      </c>
      <c r="S285" s="1767">
        <f>SUMIF('Additional &amp; Presentation Entry'!Q:Q,masterTBCY[[#This Row],[Note Line]],'Additional &amp; Presentation Entry'!S:S)</f>
        <v>0</v>
      </c>
      <c r="T285" s="1767">
        <f>SUMIF('Additional &amp; Presentation Entry'!X:X,masterTBCY[[#This Row],[Note Line]],'Additional &amp; Presentation Entry'!Z:Z)</f>
        <v>0</v>
      </c>
      <c r="U285" s="320">
        <f t="shared" si="21"/>
        <v>0</v>
      </c>
      <c r="V285" s="320">
        <f>U285/'Master Data'!$C$25</f>
        <v>0</v>
      </c>
      <c r="W285" s="400" t="str">
        <f t="shared" si="22"/>
        <v>Balance Sheet</v>
      </c>
    </row>
    <row r="286" spans="2:23" x14ac:dyDescent="0.3">
      <c r="B286" s="678">
        <f t="shared" si="17"/>
        <v>276</v>
      </c>
      <c r="C286" s="319" t="s">
        <v>1520</v>
      </c>
      <c r="D286" s="321" t="s">
        <v>208</v>
      </c>
      <c r="E286" s="321" t="s">
        <v>1670</v>
      </c>
      <c r="F286" s="320">
        <f>+SUMIFS('TB Grouping'!F:F,'TB Grouping'!H:H,masterTBCY[[#This Row],[Note Line]])</f>
        <v>0</v>
      </c>
      <c r="G286" s="2562">
        <f ca="1">SUMIF('Additional &amp; Presentation Entry'!E:E,masterTBCY[[#This Row],[Note Line]],'Additional &amp; Presentation Entry'!G:G)</f>
        <v>0</v>
      </c>
      <c r="H286" s="2562">
        <f>SUMIF('Additional &amp; Presentation Entry'!L:L,masterTBCY[[#This Row],[Note Line]],'Additional &amp; Presentation Entry'!N:N)</f>
        <v>0</v>
      </c>
      <c r="I286" s="320">
        <f>+masterTBCY[[#This Row],[Amount as per TB]]+masterTBCY[[#This Row],[Presentation Entry]]</f>
        <v>0</v>
      </c>
      <c r="J286" s="320">
        <f>I286/'Master Data'!$C$25</f>
        <v>0</v>
      </c>
      <c r="K286" s="404" t="s">
        <v>1329</v>
      </c>
      <c r="N286" s="399">
        <v>276</v>
      </c>
      <c r="O286" s="1768" t="s">
        <v>1520</v>
      </c>
      <c r="P286" s="1769" t="s">
        <v>208</v>
      </c>
      <c r="Q286" s="1770" t="s">
        <v>1670</v>
      </c>
      <c r="R286" s="1767">
        <f>SUMIF('TB Grouping'!$Q:$Q,'Master TB'!P286,'TB Grouping'!$O:$O)</f>
        <v>0</v>
      </c>
      <c r="S286" s="1767">
        <f>SUMIF('Additional &amp; Presentation Entry'!Q:Q,masterTBCY[[#This Row],[Note Line]],'Additional &amp; Presentation Entry'!S:S)</f>
        <v>0</v>
      </c>
      <c r="T286" s="1767">
        <f>SUMIF('Additional &amp; Presentation Entry'!X:X,masterTBCY[[#This Row],[Note Line]],'Additional &amp; Presentation Entry'!Z:Z)</f>
        <v>0</v>
      </c>
      <c r="U286" s="320">
        <f t="shared" si="21"/>
        <v>0</v>
      </c>
      <c r="V286" s="320">
        <f>U286/'Master Data'!$C$25</f>
        <v>0</v>
      </c>
      <c r="W286" s="400" t="str">
        <f t="shared" si="22"/>
        <v>Balance Sheet</v>
      </c>
    </row>
    <row r="287" spans="2:23" x14ac:dyDescent="0.3">
      <c r="B287" s="678">
        <f t="shared" si="17"/>
        <v>277</v>
      </c>
      <c r="C287" s="319" t="s">
        <v>747</v>
      </c>
      <c r="D287" s="321" t="s">
        <v>746</v>
      </c>
      <c r="E287" s="321" t="s">
        <v>1530</v>
      </c>
      <c r="F287" s="320">
        <f>+SUMIFS('TB Grouping'!F:F,'TB Grouping'!H:H,masterTBCY[[#This Row],[Note Line]])</f>
        <v>0</v>
      </c>
      <c r="G287" s="2562">
        <f ca="1">SUMIF('Additional &amp; Presentation Entry'!E:E,masterTBCY[[#This Row],[Note Line]],'Additional &amp; Presentation Entry'!G:G)</f>
        <v>-605978.1</v>
      </c>
      <c r="H287" s="2562">
        <f>SUMIF('Additional &amp; Presentation Entry'!L:L,masterTBCY[[#This Row],[Note Line]],'Additional &amp; Presentation Entry'!N:N)</f>
        <v>0</v>
      </c>
      <c r="I287" s="320">
        <f>+masterTBCY[[#This Row],[Amount as per TB]]+masterTBCY[[#This Row],[Presentation Entry]]</f>
        <v>0</v>
      </c>
      <c r="J287" s="320">
        <f>I287/'Master Data'!$C$25</f>
        <v>0</v>
      </c>
      <c r="K287" s="404" t="s">
        <v>1329</v>
      </c>
      <c r="N287" s="399">
        <v>277</v>
      </c>
      <c r="O287" s="1768" t="s">
        <v>747</v>
      </c>
      <c r="P287" s="1769" t="s">
        <v>746</v>
      </c>
      <c r="Q287" s="1770" t="s">
        <v>1530</v>
      </c>
      <c r="R287" s="1767">
        <f>SUMIF('TB Grouping'!$Q:$Q,'Master TB'!P287,'TB Grouping'!$O:$O)</f>
        <v>0</v>
      </c>
      <c r="S287" s="1767">
        <f>SUMIF('Additional &amp; Presentation Entry'!Q:Q,masterTBCY[[#This Row],[Note Line]],'Additional &amp; Presentation Entry'!S:S)</f>
        <v>0</v>
      </c>
      <c r="T287" s="1767">
        <f>SUMIF('Additional &amp; Presentation Entry'!X:X,masterTBCY[[#This Row],[Note Line]],'Additional &amp; Presentation Entry'!Z:Z)</f>
        <v>0</v>
      </c>
      <c r="U287" s="320">
        <f t="shared" si="21"/>
        <v>0</v>
      </c>
      <c r="V287" s="320">
        <f>U287/'Master Data'!$C$25</f>
        <v>0</v>
      </c>
      <c r="W287" s="400" t="str">
        <f t="shared" si="22"/>
        <v>Balance Sheet</v>
      </c>
    </row>
    <row r="288" spans="2:23" x14ac:dyDescent="0.3">
      <c r="B288" s="678">
        <f t="shared" si="17"/>
        <v>278</v>
      </c>
      <c r="C288" s="319" t="s">
        <v>747</v>
      </c>
      <c r="D288" s="321" t="s">
        <v>1531</v>
      </c>
      <c r="E288" s="321" t="s">
        <v>1532</v>
      </c>
      <c r="F288" s="320">
        <f>+SUMIFS('TB Grouping'!F:F,'TB Grouping'!H:H,masterTBCY[[#This Row],[Note Line]])</f>
        <v>0</v>
      </c>
      <c r="G288" s="2562">
        <f ca="1">SUMIF('Additional &amp; Presentation Entry'!E:E,masterTBCY[[#This Row],[Note Line]],'Additional &amp; Presentation Entry'!G:G)</f>
        <v>0</v>
      </c>
      <c r="H288" s="2562">
        <f>SUMIF('Additional &amp; Presentation Entry'!L:L,masterTBCY[[#This Row],[Note Line]],'Additional &amp; Presentation Entry'!N:N)</f>
        <v>0</v>
      </c>
      <c r="I288" s="320">
        <f>+masterTBCY[[#This Row],[Amount as per TB]]+masterTBCY[[#This Row],[Presentation Entry]]</f>
        <v>0</v>
      </c>
      <c r="J288" s="320">
        <f>I288/'Master Data'!$C$25</f>
        <v>0</v>
      </c>
      <c r="K288" s="404" t="s">
        <v>1329</v>
      </c>
      <c r="N288" s="399">
        <v>278</v>
      </c>
      <c r="O288" s="1768" t="s">
        <v>747</v>
      </c>
      <c r="P288" s="1769" t="s">
        <v>1531</v>
      </c>
      <c r="Q288" s="1770" t="s">
        <v>1532</v>
      </c>
      <c r="R288" s="1767">
        <f>SUMIF('TB Grouping'!$Q:$Q,'Master TB'!P288,'TB Grouping'!$O:$O)</f>
        <v>0</v>
      </c>
      <c r="S288" s="1767">
        <f>SUMIF('Additional &amp; Presentation Entry'!Q:Q,masterTBCY[[#This Row],[Note Line]],'Additional &amp; Presentation Entry'!S:S)</f>
        <v>0</v>
      </c>
      <c r="T288" s="1767">
        <f>SUMIF('Additional &amp; Presentation Entry'!X:X,masterTBCY[[#This Row],[Note Line]],'Additional &amp; Presentation Entry'!Z:Z)</f>
        <v>0</v>
      </c>
      <c r="U288" s="320">
        <f t="shared" si="21"/>
        <v>0</v>
      </c>
      <c r="V288" s="320">
        <f>U288/'Master Data'!$C$25</f>
        <v>0</v>
      </c>
      <c r="W288" s="400" t="str">
        <f t="shared" si="22"/>
        <v>Balance Sheet</v>
      </c>
    </row>
    <row r="289" spans="2:23" x14ac:dyDescent="0.3">
      <c r="B289" s="678">
        <f t="shared" si="17"/>
        <v>279</v>
      </c>
      <c r="C289" s="319" t="s">
        <v>747</v>
      </c>
      <c r="D289" s="321" t="s">
        <v>1533</v>
      </c>
      <c r="E289" s="321" t="s">
        <v>1534</v>
      </c>
      <c r="F289" s="320">
        <f>+SUMIFS('TB Grouping'!F:F,'TB Grouping'!H:H,masterTBCY[[#This Row],[Note Line]])</f>
        <v>0</v>
      </c>
      <c r="G289" s="2562">
        <f ca="1">SUMIF('Additional &amp; Presentation Entry'!E:E,masterTBCY[[#This Row],[Note Line]],'Additional &amp; Presentation Entry'!G:G)</f>
        <v>0</v>
      </c>
      <c r="H289" s="2562">
        <f>SUMIF('Additional &amp; Presentation Entry'!L:L,masterTBCY[[#This Row],[Note Line]],'Additional &amp; Presentation Entry'!N:N)</f>
        <v>0</v>
      </c>
      <c r="I289" s="320">
        <f>+masterTBCY[[#This Row],[Amount as per TB]]+masterTBCY[[#This Row],[Presentation Entry]]</f>
        <v>0</v>
      </c>
      <c r="J289" s="320">
        <f>I289/'Master Data'!$C$25</f>
        <v>0</v>
      </c>
      <c r="K289" s="404" t="s">
        <v>1329</v>
      </c>
      <c r="N289" s="399">
        <v>279</v>
      </c>
      <c r="O289" s="1768" t="s">
        <v>747</v>
      </c>
      <c r="P289" s="1769" t="s">
        <v>1533</v>
      </c>
      <c r="Q289" s="1770" t="s">
        <v>1534</v>
      </c>
      <c r="R289" s="1767">
        <f>SUMIF('TB Grouping'!$Q:$Q,'Master TB'!P289,'TB Grouping'!$O:$O)</f>
        <v>0</v>
      </c>
      <c r="S289" s="1767">
        <f>SUMIF('Additional &amp; Presentation Entry'!Q:Q,masterTBCY[[#This Row],[Note Line]],'Additional &amp; Presentation Entry'!S:S)</f>
        <v>0</v>
      </c>
      <c r="T289" s="1767">
        <f>SUMIF('Additional &amp; Presentation Entry'!X:X,masterTBCY[[#This Row],[Note Line]],'Additional &amp; Presentation Entry'!Z:Z)</f>
        <v>0</v>
      </c>
      <c r="U289" s="320">
        <f t="shared" si="21"/>
        <v>0</v>
      </c>
      <c r="V289" s="320">
        <f>U289/'Master Data'!$C$25</f>
        <v>0</v>
      </c>
      <c r="W289" s="400" t="str">
        <f t="shared" si="22"/>
        <v>Balance Sheet</v>
      </c>
    </row>
    <row r="290" spans="2:23" x14ac:dyDescent="0.3">
      <c r="B290" s="678">
        <f t="shared" si="17"/>
        <v>280</v>
      </c>
      <c r="C290" s="319" t="s">
        <v>747</v>
      </c>
      <c r="D290" s="321" t="s">
        <v>1535</v>
      </c>
      <c r="E290" s="321" t="s">
        <v>1536</v>
      </c>
      <c r="F290" s="320">
        <f>+SUMIFS('TB Grouping'!F:F,'TB Grouping'!H:H,masterTBCY[[#This Row],[Note Line]])</f>
        <v>0</v>
      </c>
      <c r="G290" s="2562">
        <f ca="1">SUMIF('Additional &amp; Presentation Entry'!E:E,masterTBCY[[#This Row],[Note Line]],'Additional &amp; Presentation Entry'!G:G)</f>
        <v>0</v>
      </c>
      <c r="H290" s="2562">
        <f>SUMIF('Additional &amp; Presentation Entry'!L:L,masterTBCY[[#This Row],[Note Line]],'Additional &amp; Presentation Entry'!N:N)</f>
        <v>0</v>
      </c>
      <c r="I290" s="320">
        <f>+masterTBCY[[#This Row],[Amount as per TB]]+masterTBCY[[#This Row],[Presentation Entry]]</f>
        <v>0</v>
      </c>
      <c r="J290" s="320">
        <f>I290/'Master Data'!$C$25</f>
        <v>0</v>
      </c>
      <c r="K290" s="404" t="s">
        <v>1329</v>
      </c>
      <c r="N290" s="399">
        <v>280</v>
      </c>
      <c r="O290" s="1768" t="s">
        <v>747</v>
      </c>
      <c r="P290" s="1769" t="s">
        <v>1535</v>
      </c>
      <c r="Q290" s="1770" t="s">
        <v>1536</v>
      </c>
      <c r="R290" s="1767">
        <f>SUMIF('TB Grouping'!$Q:$Q,'Master TB'!P290,'TB Grouping'!$O:$O)</f>
        <v>0</v>
      </c>
      <c r="S290" s="1767">
        <f>SUMIF('Additional &amp; Presentation Entry'!Q:Q,masterTBCY[[#This Row],[Note Line]],'Additional &amp; Presentation Entry'!S:S)</f>
        <v>0</v>
      </c>
      <c r="T290" s="1767">
        <f>SUMIF('Additional &amp; Presentation Entry'!X:X,masterTBCY[[#This Row],[Note Line]],'Additional &amp; Presentation Entry'!Z:Z)</f>
        <v>0</v>
      </c>
      <c r="U290" s="320">
        <f t="shared" si="21"/>
        <v>0</v>
      </c>
      <c r="V290" s="320">
        <f>U290/'Master Data'!$C$25</f>
        <v>0</v>
      </c>
      <c r="W290" s="400" t="str">
        <f t="shared" si="22"/>
        <v>Balance Sheet</v>
      </c>
    </row>
    <row r="291" spans="2:23" x14ac:dyDescent="0.3">
      <c r="B291" s="678">
        <f t="shared" si="17"/>
        <v>281</v>
      </c>
      <c r="C291" s="319" t="s">
        <v>747</v>
      </c>
      <c r="D291" s="321" t="s">
        <v>1537</v>
      </c>
      <c r="E291" s="321" t="s">
        <v>1538</v>
      </c>
      <c r="F291" s="320">
        <f>+SUMIFS('TB Grouping'!F:F,'TB Grouping'!H:H,masterTBCY[[#This Row],[Note Line]])</f>
        <v>0</v>
      </c>
      <c r="G291" s="2562">
        <f ca="1">SUMIF('Additional &amp; Presentation Entry'!E:E,masterTBCY[[#This Row],[Note Line]],'Additional &amp; Presentation Entry'!G:G)</f>
        <v>0</v>
      </c>
      <c r="H291" s="2562">
        <f>SUMIF('Additional &amp; Presentation Entry'!L:L,masterTBCY[[#This Row],[Note Line]],'Additional &amp; Presentation Entry'!N:N)</f>
        <v>0</v>
      </c>
      <c r="I291" s="320">
        <f>+masterTBCY[[#This Row],[Amount as per TB]]+masterTBCY[[#This Row],[Presentation Entry]]</f>
        <v>0</v>
      </c>
      <c r="J291" s="320">
        <f>I291/'Master Data'!$C$25</f>
        <v>0</v>
      </c>
      <c r="K291" s="404" t="s">
        <v>1329</v>
      </c>
      <c r="N291" s="399">
        <v>281</v>
      </c>
      <c r="O291" s="1768" t="s">
        <v>747</v>
      </c>
      <c r="P291" s="1769" t="s">
        <v>1537</v>
      </c>
      <c r="Q291" s="1770" t="s">
        <v>1538</v>
      </c>
      <c r="R291" s="1767">
        <f>SUMIF('TB Grouping'!$Q:$Q,'Master TB'!P291,'TB Grouping'!$O:$O)</f>
        <v>0</v>
      </c>
      <c r="S291" s="1767">
        <f>SUMIF('Additional &amp; Presentation Entry'!Q:Q,masterTBCY[[#This Row],[Note Line]],'Additional &amp; Presentation Entry'!S:S)</f>
        <v>0</v>
      </c>
      <c r="T291" s="1767">
        <f>SUMIF('Additional &amp; Presentation Entry'!X:X,masterTBCY[[#This Row],[Note Line]],'Additional &amp; Presentation Entry'!Z:Z)</f>
        <v>0</v>
      </c>
      <c r="U291" s="320">
        <f t="shared" si="21"/>
        <v>0</v>
      </c>
      <c r="V291" s="320">
        <f>U291/'Master Data'!$C$25</f>
        <v>0</v>
      </c>
      <c r="W291" s="400" t="str">
        <f t="shared" si="22"/>
        <v>Balance Sheet</v>
      </c>
    </row>
    <row r="292" spans="2:23" x14ac:dyDescent="0.3">
      <c r="B292" s="678">
        <f t="shared" si="17"/>
        <v>282</v>
      </c>
      <c r="C292" s="319" t="s">
        <v>747</v>
      </c>
      <c r="D292" s="321" t="s">
        <v>1539</v>
      </c>
      <c r="E292" s="321" t="s">
        <v>1540</v>
      </c>
      <c r="F292" s="320">
        <f>+SUMIFS('TB Grouping'!F:F,'TB Grouping'!H:H,masterTBCY[[#This Row],[Note Line]])</f>
        <v>0</v>
      </c>
      <c r="G292" s="2562">
        <f ca="1">SUMIF('Additional &amp; Presentation Entry'!E:E,masterTBCY[[#This Row],[Note Line]],'Additional &amp; Presentation Entry'!G:G)</f>
        <v>0</v>
      </c>
      <c r="H292" s="2562">
        <f>SUMIF('Additional &amp; Presentation Entry'!L:L,masterTBCY[[#This Row],[Note Line]],'Additional &amp; Presentation Entry'!N:N)</f>
        <v>0</v>
      </c>
      <c r="I292" s="320">
        <f>+masterTBCY[[#This Row],[Amount as per TB]]+masterTBCY[[#This Row],[Presentation Entry]]</f>
        <v>0</v>
      </c>
      <c r="J292" s="320">
        <f>I292/'Master Data'!$C$25</f>
        <v>0</v>
      </c>
      <c r="K292" s="404" t="s">
        <v>1329</v>
      </c>
      <c r="N292" s="399">
        <v>282</v>
      </c>
      <c r="O292" s="1768" t="s">
        <v>747</v>
      </c>
      <c r="P292" s="1769" t="s">
        <v>1539</v>
      </c>
      <c r="Q292" s="1770" t="s">
        <v>1540</v>
      </c>
      <c r="R292" s="1767">
        <f>SUMIF('TB Grouping'!$Q:$Q,'Master TB'!P292,'TB Grouping'!$O:$O)</f>
        <v>0</v>
      </c>
      <c r="S292" s="1767">
        <f>SUMIF('Additional &amp; Presentation Entry'!Q:Q,masterTBCY[[#This Row],[Note Line]],'Additional &amp; Presentation Entry'!S:S)</f>
        <v>0</v>
      </c>
      <c r="T292" s="1767">
        <f>SUMIF('Additional &amp; Presentation Entry'!X:X,masterTBCY[[#This Row],[Note Line]],'Additional &amp; Presentation Entry'!Z:Z)</f>
        <v>0</v>
      </c>
      <c r="U292" s="320">
        <f t="shared" si="21"/>
        <v>0</v>
      </c>
      <c r="V292" s="320">
        <f>U292/'Master Data'!$C$25</f>
        <v>0</v>
      </c>
      <c r="W292" s="400" t="str">
        <f t="shared" si="22"/>
        <v>Balance Sheet</v>
      </c>
    </row>
    <row r="293" spans="2:23" x14ac:dyDescent="0.3">
      <c r="B293" s="678">
        <f t="shared" si="17"/>
        <v>283</v>
      </c>
      <c r="C293" s="319" t="s">
        <v>747</v>
      </c>
      <c r="D293" s="321" t="s">
        <v>1541</v>
      </c>
      <c r="E293" s="321" t="s">
        <v>1542</v>
      </c>
      <c r="F293" s="320">
        <f>+SUMIFS('TB Grouping'!F:F,'TB Grouping'!H:H,masterTBCY[[#This Row],[Note Line]])</f>
        <v>764293</v>
      </c>
      <c r="G293" s="2562">
        <f ca="1">SUMIF('Additional &amp; Presentation Entry'!E:E,masterTBCY[[#This Row],[Note Line]],'Additional &amp; Presentation Entry'!G:G)</f>
        <v>-719447</v>
      </c>
      <c r="H293" s="2562">
        <f>SUMIF('Additional &amp; Presentation Entry'!L:L,masterTBCY[[#This Row],[Note Line]],'Additional &amp; Presentation Entry'!N:N)</f>
        <v>0</v>
      </c>
      <c r="I293" s="320">
        <f>+masterTBCY[[#This Row],[Amount as per TB]]+masterTBCY[[#This Row],[Presentation Entry]]</f>
        <v>764293</v>
      </c>
      <c r="J293" s="320">
        <f>I293/'Master Data'!$C$25</f>
        <v>7642.93</v>
      </c>
      <c r="K293" s="404" t="s">
        <v>1329</v>
      </c>
      <c r="N293" s="399">
        <v>283</v>
      </c>
      <c r="O293" s="1768" t="s">
        <v>747</v>
      </c>
      <c r="P293" s="1769" t="s">
        <v>1541</v>
      </c>
      <c r="Q293" s="1770" t="s">
        <v>1542</v>
      </c>
      <c r="R293" s="1767">
        <f>SUMIF('TB Grouping'!$Q:$Q,'Master TB'!P293,'TB Grouping'!$O:$O)</f>
        <v>1483740</v>
      </c>
      <c r="S293" s="1767">
        <f>SUMIF('Additional &amp; Presentation Entry'!Q:Q,masterTBCY[[#This Row],[Note Line]],'Additional &amp; Presentation Entry'!S:S)</f>
        <v>0</v>
      </c>
      <c r="T293" s="1767">
        <f>SUMIF('Additional &amp; Presentation Entry'!X:X,masterTBCY[[#This Row],[Note Line]],'Additional &amp; Presentation Entry'!Z:Z)</f>
        <v>0</v>
      </c>
      <c r="U293" s="320">
        <f t="shared" si="21"/>
        <v>1483740</v>
      </c>
      <c r="V293" s="320">
        <f>U293/'Master Data'!$C$25</f>
        <v>14837.4</v>
      </c>
      <c r="W293" s="400" t="str">
        <f t="shared" si="22"/>
        <v>Balance Sheet</v>
      </c>
    </row>
    <row r="294" spans="2:23" x14ac:dyDescent="0.3">
      <c r="B294" s="678">
        <f t="shared" si="17"/>
        <v>284</v>
      </c>
      <c r="C294" s="319" t="s">
        <v>747</v>
      </c>
      <c r="D294" s="321" t="s">
        <v>1543</v>
      </c>
      <c r="E294" s="321" t="s">
        <v>1544</v>
      </c>
      <c r="F294" s="320">
        <f>+SUMIFS('TB Grouping'!F:F,'TB Grouping'!H:H,masterTBCY[[#This Row],[Note Line]])</f>
        <v>0</v>
      </c>
      <c r="G294" s="2562">
        <f ca="1">SUMIF('Additional &amp; Presentation Entry'!E:E,masterTBCY[[#This Row],[Note Line]],'Additional &amp; Presentation Entry'!G:G)</f>
        <v>0</v>
      </c>
      <c r="H294" s="2562">
        <f>SUMIF('Additional &amp; Presentation Entry'!L:L,masterTBCY[[#This Row],[Note Line]],'Additional &amp; Presentation Entry'!N:N)</f>
        <v>0</v>
      </c>
      <c r="I294" s="320">
        <f>+masterTBCY[[#This Row],[Amount as per TB]]+masterTBCY[[#This Row],[Presentation Entry]]</f>
        <v>0</v>
      </c>
      <c r="J294" s="320">
        <f>I294/'Master Data'!$C$25</f>
        <v>0</v>
      </c>
      <c r="K294" s="404" t="s">
        <v>1329</v>
      </c>
      <c r="N294" s="399">
        <v>284</v>
      </c>
      <c r="O294" s="1768" t="s">
        <v>747</v>
      </c>
      <c r="P294" s="1769" t="s">
        <v>1543</v>
      </c>
      <c r="Q294" s="1770" t="s">
        <v>1544</v>
      </c>
      <c r="R294" s="1767">
        <f>SUMIF('TB Grouping'!$Q:$Q,'Master TB'!P294,'TB Grouping'!$O:$O)</f>
        <v>0</v>
      </c>
      <c r="S294" s="1767">
        <f>SUMIF('Additional &amp; Presentation Entry'!Q:Q,masterTBCY[[#This Row],[Note Line]],'Additional &amp; Presentation Entry'!S:S)</f>
        <v>0</v>
      </c>
      <c r="T294" s="1767">
        <f>SUMIF('Additional &amp; Presentation Entry'!X:X,masterTBCY[[#This Row],[Note Line]],'Additional &amp; Presentation Entry'!Z:Z)</f>
        <v>0</v>
      </c>
      <c r="U294" s="320">
        <f t="shared" si="21"/>
        <v>0</v>
      </c>
      <c r="V294" s="320">
        <f>U294/'Master Data'!$C$25</f>
        <v>0</v>
      </c>
      <c r="W294" s="400" t="str">
        <f t="shared" si="22"/>
        <v>Balance Sheet</v>
      </c>
    </row>
    <row r="295" spans="2:23" x14ac:dyDescent="0.3">
      <c r="B295" s="678">
        <f t="shared" si="17"/>
        <v>285</v>
      </c>
      <c r="C295" s="319" t="s">
        <v>747</v>
      </c>
      <c r="D295" s="321" t="s">
        <v>1545</v>
      </c>
      <c r="E295" s="321" t="s">
        <v>1546</v>
      </c>
      <c r="F295" s="320">
        <f>+SUMIFS('TB Grouping'!F:F,'TB Grouping'!H:H,masterTBCY[[#This Row],[Note Line]])</f>
        <v>0</v>
      </c>
      <c r="G295" s="2562">
        <f ca="1">SUMIF('Additional &amp; Presentation Entry'!E:E,masterTBCY[[#This Row],[Note Line]],'Additional &amp; Presentation Entry'!G:G)</f>
        <v>0</v>
      </c>
      <c r="H295" s="2562">
        <f>SUMIF('Additional &amp; Presentation Entry'!L:L,masterTBCY[[#This Row],[Note Line]],'Additional &amp; Presentation Entry'!N:N)</f>
        <v>0</v>
      </c>
      <c r="I295" s="320">
        <f>+masterTBCY[[#This Row],[Amount as per TB]]+masterTBCY[[#This Row],[Presentation Entry]]</f>
        <v>0</v>
      </c>
      <c r="J295" s="320">
        <f>I295/'Master Data'!$C$25</f>
        <v>0</v>
      </c>
      <c r="K295" s="404" t="s">
        <v>1329</v>
      </c>
      <c r="N295" s="399">
        <v>285</v>
      </c>
      <c r="O295" s="1768" t="s">
        <v>747</v>
      </c>
      <c r="P295" s="1769" t="s">
        <v>1545</v>
      </c>
      <c r="Q295" s="1770" t="s">
        <v>1546</v>
      </c>
      <c r="R295" s="1767">
        <f>SUMIF('TB Grouping'!$Q:$Q,'Master TB'!P295,'TB Grouping'!$O:$O)</f>
        <v>0</v>
      </c>
      <c r="S295" s="1767">
        <f>SUMIF('Additional &amp; Presentation Entry'!Q:Q,masterTBCY[[#This Row],[Note Line]],'Additional &amp; Presentation Entry'!S:S)</f>
        <v>0</v>
      </c>
      <c r="T295" s="1767">
        <f>SUMIF('Additional &amp; Presentation Entry'!X:X,masterTBCY[[#This Row],[Note Line]],'Additional &amp; Presentation Entry'!Z:Z)</f>
        <v>0</v>
      </c>
      <c r="U295" s="320">
        <f t="shared" si="21"/>
        <v>0</v>
      </c>
      <c r="V295" s="320">
        <f>U295/'Master Data'!$C$25</f>
        <v>0</v>
      </c>
      <c r="W295" s="400" t="str">
        <f t="shared" si="22"/>
        <v>Balance Sheet</v>
      </c>
    </row>
    <row r="296" spans="2:23" x14ac:dyDescent="0.3">
      <c r="B296" s="678">
        <f t="shared" si="17"/>
        <v>286</v>
      </c>
      <c r="C296" s="319" t="s">
        <v>747</v>
      </c>
      <c r="D296" s="321" t="s">
        <v>1547</v>
      </c>
      <c r="E296" s="321" t="s">
        <v>1548</v>
      </c>
      <c r="F296" s="320">
        <f>+SUMIFS('TB Grouping'!F:F,'TB Grouping'!H:H,masterTBCY[[#This Row],[Note Line]])</f>
        <v>0</v>
      </c>
      <c r="G296" s="2562">
        <f ca="1">SUMIF('Additional &amp; Presentation Entry'!E:E,masterTBCY[[#This Row],[Note Line]],'Additional &amp; Presentation Entry'!G:G)</f>
        <v>0</v>
      </c>
      <c r="H296" s="2562">
        <f>SUMIF('Additional &amp; Presentation Entry'!L:L,masterTBCY[[#This Row],[Note Line]],'Additional &amp; Presentation Entry'!N:N)</f>
        <v>0</v>
      </c>
      <c r="I296" s="320">
        <f>+masterTBCY[[#This Row],[Amount as per TB]]+masterTBCY[[#This Row],[Presentation Entry]]</f>
        <v>0</v>
      </c>
      <c r="J296" s="320">
        <f>I296/'Master Data'!$C$25</f>
        <v>0</v>
      </c>
      <c r="K296" s="404" t="s">
        <v>1329</v>
      </c>
      <c r="N296" s="399">
        <v>286</v>
      </c>
      <c r="O296" s="1768" t="s">
        <v>747</v>
      </c>
      <c r="P296" s="1769" t="s">
        <v>1547</v>
      </c>
      <c r="Q296" s="1770" t="s">
        <v>1548</v>
      </c>
      <c r="R296" s="1767">
        <f>SUMIF('TB Grouping'!$Q:$Q,'Master TB'!P296,'TB Grouping'!$O:$O)</f>
        <v>0</v>
      </c>
      <c r="S296" s="1767">
        <f>SUMIF('Additional &amp; Presentation Entry'!Q:Q,masterTBCY[[#This Row],[Note Line]],'Additional &amp; Presentation Entry'!S:S)</f>
        <v>0</v>
      </c>
      <c r="T296" s="1767">
        <f>SUMIF('Additional &amp; Presentation Entry'!X:X,masterTBCY[[#This Row],[Note Line]],'Additional &amp; Presentation Entry'!Z:Z)</f>
        <v>0</v>
      </c>
      <c r="U296" s="320">
        <f t="shared" si="21"/>
        <v>0</v>
      </c>
      <c r="V296" s="320">
        <f>U296/'Master Data'!$C$25</f>
        <v>0</v>
      </c>
      <c r="W296" s="400" t="str">
        <f t="shared" si="22"/>
        <v>Balance Sheet</v>
      </c>
    </row>
    <row r="297" spans="2:23" x14ac:dyDescent="0.3">
      <c r="B297" s="678">
        <f t="shared" si="17"/>
        <v>287</v>
      </c>
      <c r="C297" s="319" t="s">
        <v>747</v>
      </c>
      <c r="D297" s="321" t="s">
        <v>1549</v>
      </c>
      <c r="E297" s="321" t="s">
        <v>1550</v>
      </c>
      <c r="F297" s="320">
        <f>+SUMIFS('TB Grouping'!F:F,'TB Grouping'!H:H,masterTBCY[[#This Row],[Note Line]])</f>
        <v>0</v>
      </c>
      <c r="G297" s="2562">
        <f ca="1">SUMIF('Additional &amp; Presentation Entry'!E:E,masterTBCY[[#This Row],[Note Line]],'Additional &amp; Presentation Entry'!G:G)</f>
        <v>0</v>
      </c>
      <c r="H297" s="2562">
        <f>SUMIF('Additional &amp; Presentation Entry'!L:L,masterTBCY[[#This Row],[Note Line]],'Additional &amp; Presentation Entry'!N:N)</f>
        <v>0</v>
      </c>
      <c r="I297" s="320">
        <f>+masterTBCY[[#This Row],[Amount as per TB]]+masterTBCY[[#This Row],[Presentation Entry]]</f>
        <v>0</v>
      </c>
      <c r="J297" s="320">
        <f>I297/'Master Data'!$C$25</f>
        <v>0</v>
      </c>
      <c r="K297" s="404" t="s">
        <v>1329</v>
      </c>
      <c r="N297" s="399">
        <v>287</v>
      </c>
      <c r="O297" s="1768" t="s">
        <v>747</v>
      </c>
      <c r="P297" s="1769" t="s">
        <v>1549</v>
      </c>
      <c r="Q297" s="1770" t="s">
        <v>1550</v>
      </c>
      <c r="R297" s="1767">
        <f>SUMIF('TB Grouping'!$Q:$Q,'Master TB'!P297,'TB Grouping'!$O:$O)</f>
        <v>0</v>
      </c>
      <c r="S297" s="1767">
        <f>SUMIF('Additional &amp; Presentation Entry'!Q:Q,masterTBCY[[#This Row],[Note Line]],'Additional &amp; Presentation Entry'!S:S)</f>
        <v>0</v>
      </c>
      <c r="T297" s="1767">
        <f>SUMIF('Additional &amp; Presentation Entry'!X:X,masterTBCY[[#This Row],[Note Line]],'Additional &amp; Presentation Entry'!Z:Z)</f>
        <v>0</v>
      </c>
      <c r="U297" s="320">
        <f t="shared" si="21"/>
        <v>0</v>
      </c>
      <c r="V297" s="320">
        <f>U297/'Master Data'!$C$25</f>
        <v>0</v>
      </c>
      <c r="W297" s="400" t="str">
        <f t="shared" si="22"/>
        <v>Balance Sheet</v>
      </c>
    </row>
    <row r="298" spans="2:23" x14ac:dyDescent="0.3">
      <c r="B298" s="2317">
        <f t="shared" si="17"/>
        <v>288</v>
      </c>
      <c r="C298" s="396" t="s">
        <v>747</v>
      </c>
      <c r="D298" s="397" t="s">
        <v>1551</v>
      </c>
      <c r="E298" s="397" t="s">
        <v>1552</v>
      </c>
      <c r="F298" s="320">
        <f>+SUMIFS('TB Grouping'!F:F,'TB Grouping'!H:H,masterTBCY[[#This Row],[Note Line]])</f>
        <v>0</v>
      </c>
      <c r="G298" s="2563">
        <f ca="1">SUMIF('Additional &amp; Presentation Entry'!E:E,masterTBCY[[#This Row],[Note Line]],'Additional &amp; Presentation Entry'!G:G)</f>
        <v>184683</v>
      </c>
      <c r="H298" s="2563">
        <f>SUMIF('Additional &amp; Presentation Entry'!L:L,masterTBCY[[#This Row],[Note Line]],'Additional &amp; Presentation Entry'!N:N)</f>
        <v>0</v>
      </c>
      <c r="I298" s="2318">
        <f>+masterTBCY[[#This Row],[Amount as per TB]]+masterTBCY[[#This Row],[Presentation Entry]]</f>
        <v>0</v>
      </c>
      <c r="J298" s="2318">
        <f>I298/'Master Data'!$C$25</f>
        <v>0</v>
      </c>
      <c r="K298" s="404" t="s">
        <v>1329</v>
      </c>
      <c r="N298" s="399">
        <v>288</v>
      </c>
      <c r="O298" s="1768" t="s">
        <v>747</v>
      </c>
      <c r="P298" s="1769" t="s">
        <v>1551</v>
      </c>
      <c r="Q298" s="1770" t="s">
        <v>1552</v>
      </c>
      <c r="R298" s="1767">
        <f>SUMIF('TB Grouping'!$Q:$Q,'Master TB'!P298,'TB Grouping'!$O:$O)</f>
        <v>0</v>
      </c>
      <c r="S298" s="1767">
        <f>SUMIF('Additional &amp; Presentation Entry'!Q:Q,masterTBCY[[#This Row],[Note Line]],'Additional &amp; Presentation Entry'!S:S)</f>
        <v>0</v>
      </c>
      <c r="T298" s="1767">
        <f>SUMIF('Additional &amp; Presentation Entry'!X:X,masterTBCY[[#This Row],[Note Line]],'Additional &amp; Presentation Entry'!Z:Z)</f>
        <v>0</v>
      </c>
      <c r="U298" s="320">
        <f t="shared" si="21"/>
        <v>0</v>
      </c>
      <c r="V298" s="320">
        <f>U298/'Master Data'!$C$25</f>
        <v>0</v>
      </c>
      <c r="W298" s="400" t="str">
        <f t="shared" si="22"/>
        <v>Balance Sheet</v>
      </c>
    </row>
    <row r="299" spans="2:23" x14ac:dyDescent="0.3">
      <c r="B299" s="2317">
        <f t="shared" si="17"/>
        <v>289</v>
      </c>
      <c r="C299" s="396" t="s">
        <v>763</v>
      </c>
      <c r="D299" s="397" t="s">
        <v>3503</v>
      </c>
      <c r="E299" s="397" t="s">
        <v>3504</v>
      </c>
      <c r="F299" s="320">
        <f>+SUMIFS('TB Grouping'!F:F,'TB Grouping'!H:H,masterTBCY[[#This Row],[Note Line]])</f>
        <v>114168049.8</v>
      </c>
      <c r="G299" s="2563">
        <f ca="1">SUMIF('Additional &amp; Presentation Entry'!E:E,masterTBCY[[#This Row],[Note Line]],'Additional &amp; Presentation Entry'!G:G)</f>
        <v>-16494332.910000002</v>
      </c>
      <c r="H299" s="2563">
        <f>SUMIF('Additional &amp; Presentation Entry'!L:L,masterTBCY[[#This Row],[Note Line]],'Additional &amp; Presentation Entry'!N:N)</f>
        <v>0</v>
      </c>
      <c r="I299" s="2318">
        <f>+masterTBCY[[#This Row],[Amount as per TB]]+masterTBCY[[#This Row],[Presentation Entry]]</f>
        <v>114168049.8</v>
      </c>
      <c r="J299" s="2318">
        <f>I299/'Master Data'!$C$25</f>
        <v>1141680.4979999999</v>
      </c>
      <c r="K299" s="404" t="s">
        <v>998</v>
      </c>
      <c r="N299" s="2352">
        <v>289</v>
      </c>
      <c r="O299" s="2320" t="s">
        <v>763</v>
      </c>
      <c r="P299" s="2321" t="s">
        <v>3503</v>
      </c>
      <c r="Q299" s="2322" t="s">
        <v>3504</v>
      </c>
      <c r="R299" s="2353">
        <f>SUMIF('TB Grouping'!$Q:$Q,'Master TB'!P299,'TB Grouping'!$O:$O)</f>
        <v>120343593.80000001</v>
      </c>
      <c r="S299" s="2353">
        <f>SUMIF('Additional &amp; Presentation Entry'!Q:Q,masterTBCY[[#This Row],[Note Line]],'Additional &amp; Presentation Entry'!S:S)</f>
        <v>0</v>
      </c>
      <c r="T299" s="2353">
        <f>SUMIF('Additional &amp; Presentation Entry'!X:X,masterTBCY[[#This Row],[Note Line]],'Additional &amp; Presentation Entry'!Z:Z)</f>
        <v>0</v>
      </c>
      <c r="U299" s="2318">
        <f>SUM(R299:T299)</f>
        <v>120343593.80000001</v>
      </c>
      <c r="V299" s="2318">
        <f>U299/'Master Data'!$C$25</f>
        <v>1203435.9380000001</v>
      </c>
      <c r="W299" s="403" t="s">
        <v>998</v>
      </c>
    </row>
    <row r="300" spans="2:23" x14ac:dyDescent="0.3">
      <c r="B300" s="2317">
        <f t="shared" si="17"/>
        <v>290</v>
      </c>
      <c r="C300" s="396" t="s">
        <v>752</v>
      </c>
      <c r="D300" s="397" t="s">
        <v>3500</v>
      </c>
      <c r="E300" s="397" t="s">
        <v>3501</v>
      </c>
      <c r="F300" s="320">
        <f>+SUMIFS('TB Grouping'!F:F,'TB Grouping'!H:H,masterTBCY[[#This Row],[Note Line]])</f>
        <v>-48166.99</v>
      </c>
      <c r="G300" s="2372">
        <f ca="1">SUMIF('Additional &amp; Presentation Entry'!E:E,masterTBCY[[#This Row],[Note Line]],'Additional &amp; Presentation Entry'!G:G)</f>
        <v>6919991.1799999997</v>
      </c>
      <c r="H300" s="2372">
        <f>SUMIF('Additional &amp; Presentation Entry'!L:L,masterTBCY[[#This Row],[Note Line]],'Additional &amp; Presentation Entry'!N:N)</f>
        <v>0</v>
      </c>
      <c r="I300" s="2318">
        <f>+masterTBCY[[#This Row],[Amount as per TB]]+masterTBCY[[#This Row],[Presentation Entry]]</f>
        <v>-48166.99</v>
      </c>
      <c r="J300" s="2319">
        <f>I300/'Master Data'!$C$25</f>
        <v>-481.66989999999998</v>
      </c>
      <c r="K300" s="404" t="s">
        <v>998</v>
      </c>
      <c r="N300" s="536">
        <v>289</v>
      </c>
      <c r="O300" s="2320" t="s">
        <v>752</v>
      </c>
      <c r="P300" s="2321" t="s">
        <v>3500</v>
      </c>
      <c r="Q300" s="2322" t="s">
        <v>3501</v>
      </c>
      <c r="R300" s="2323">
        <f>SUMIF('TB Grouping'!$Q:$Q,'Master TB'!P300,'TB Grouping'!$O:$O)</f>
        <v>-5754298.4000000004</v>
      </c>
      <c r="S300" s="2323">
        <f>SUMIF('Additional &amp; Presentation Entry'!Q:Q,masterTBCY[[#This Row],[Note Line]],'Additional &amp; Presentation Entry'!S:S)</f>
        <v>0</v>
      </c>
      <c r="T300" s="2323">
        <f>SUMIF('Additional &amp; Presentation Entry'!X:X,masterTBCY[[#This Row],[Note Line]],'Additional &amp; Presentation Entry'!Z:Z)</f>
        <v>0</v>
      </c>
      <c r="U300" s="2318">
        <f>SUM(R300:T300)</f>
        <v>-5754298.4000000004</v>
      </c>
      <c r="V300" s="2318">
        <f>U300/'Master Data'!$C$25</f>
        <v>-57542.984000000004</v>
      </c>
      <c r="W300" s="403" t="str">
        <f>K300</f>
        <v>Profit and Loss A/C</v>
      </c>
    </row>
    <row r="301" spans="2:23" x14ac:dyDescent="0.3">
      <c r="B301" s="678">
        <f t="shared" si="17"/>
        <v>291</v>
      </c>
      <c r="C301" s="319" t="s">
        <v>763</v>
      </c>
      <c r="D301" s="321" t="s">
        <v>3507</v>
      </c>
      <c r="E301" s="321" t="s">
        <v>3508</v>
      </c>
      <c r="F301" s="320">
        <f>+SUMIFS('TB Grouping'!F:F,'TB Grouping'!H:H,masterTBCY[[#This Row],[Note Line]])</f>
        <v>0</v>
      </c>
      <c r="G301" s="1780">
        <f ca="1">SUMIF('Additional &amp; Presentation Entry'!E:E,masterTBCY[[#This Row],[Note Line]],'Additional &amp; Presentation Entry'!G:G)</f>
        <v>-2059.0171270718201</v>
      </c>
      <c r="H301" s="1780">
        <f>SUMIF('Additional &amp; Presentation Entry'!L:L,masterTBCY[[#This Row],[Note Line]],'Additional &amp; Presentation Entry'!N:N)</f>
        <v>0</v>
      </c>
      <c r="I301" s="320">
        <f>+masterTBCY[[#This Row],[Amount as per TB]]+masterTBCY[[#This Row],[Presentation Entry]]</f>
        <v>0</v>
      </c>
      <c r="J301" s="2351">
        <f>I301/'Master Data'!$C$25</f>
        <v>0</v>
      </c>
      <c r="K301" s="404" t="s">
        <v>998</v>
      </c>
      <c r="N301" s="2350">
        <v>291</v>
      </c>
      <c r="O301" s="1768" t="s">
        <v>763</v>
      </c>
      <c r="P301" s="1769" t="s">
        <v>3507</v>
      </c>
      <c r="Q301" s="1770" t="s">
        <v>3508</v>
      </c>
      <c r="R301" s="303">
        <f>SUMIF('TB Grouping'!$Q:$Q,'Master TB'!P301,'TB Grouping'!$O:$O)</f>
        <v>0</v>
      </c>
      <c r="S301" s="303">
        <f>SUMIF('Additional &amp; Presentation Entry'!Q:Q,masterTBCY[[#This Row],[Note Line]],'Additional &amp; Presentation Entry'!S:S)</f>
        <v>0</v>
      </c>
      <c r="T301" s="303">
        <f>SUMIF('Additional &amp; Presentation Entry'!X:X,masterTBCY[[#This Row],[Note Line]],'Additional &amp; Presentation Entry'!Z:Z)</f>
        <v>0</v>
      </c>
      <c r="U301" s="320">
        <f>SUM(R301:T301)</f>
        <v>0</v>
      </c>
      <c r="V301" s="320">
        <f>U301/'Master Data'!$C$25</f>
        <v>0</v>
      </c>
      <c r="W301" s="400" t="str">
        <f>K301</f>
        <v>Profit and Loss A/C</v>
      </c>
    </row>
    <row r="302" spans="2:23" x14ac:dyDescent="0.3">
      <c r="B302" s="678">
        <f t="shared" si="17"/>
        <v>292</v>
      </c>
      <c r="C302" s="319" t="s">
        <v>763</v>
      </c>
      <c r="D302" s="321" t="s">
        <v>2517</v>
      </c>
      <c r="E302" s="321" t="s">
        <v>3509</v>
      </c>
      <c r="F302" s="320">
        <f>+SUMIFS('TB Grouping'!F:F,'TB Grouping'!H:H,masterTBCY[[#This Row],[Note Line]])</f>
        <v>5566887.8600000003</v>
      </c>
      <c r="G302" s="1780">
        <f ca="1">SUMIF('Additional &amp; Presentation Entry'!E:E,masterTBCY[[#This Row],[Note Line]],'Additional &amp; Presentation Entry'!G:G)</f>
        <v>0</v>
      </c>
      <c r="H302" s="1780">
        <f>SUMIF('Additional &amp; Presentation Entry'!L:L,masterTBCY[[#This Row],[Note Line]],'Additional &amp; Presentation Entry'!N:N)</f>
        <v>0</v>
      </c>
      <c r="I302" s="320">
        <f>+masterTBCY[[#This Row],[Amount as per TB]]+masterTBCY[[#This Row],[Presentation Entry]]</f>
        <v>5566887.8600000003</v>
      </c>
      <c r="J302" s="2351">
        <f>I302/'Master Data'!$C$25</f>
        <v>55668.878600000004</v>
      </c>
      <c r="K302" s="392" t="s">
        <v>998</v>
      </c>
      <c r="N302" s="536">
        <f>+N301+1</f>
        <v>292</v>
      </c>
      <c r="O302" s="2320" t="s">
        <v>763</v>
      </c>
      <c r="P302" s="2321" t="s">
        <v>2517</v>
      </c>
      <c r="Q302" s="2322" t="s">
        <v>3509</v>
      </c>
      <c r="R302" s="2323">
        <f>SUMIF('TB Grouping'!$Q:$Q,'Master TB'!P302,'TB Grouping'!$O:$O)</f>
        <v>15573977</v>
      </c>
      <c r="S302" s="2323">
        <f>SUMIF('Additional &amp; Presentation Entry'!Q:Q,masterTBCY[[#This Row],[Note Line]],'Additional &amp; Presentation Entry'!S:S)</f>
        <v>0</v>
      </c>
      <c r="T302" s="2323">
        <f>SUMIF('Additional &amp; Presentation Entry'!X:X,masterTBCY[[#This Row],[Note Line]],'Additional &amp; Presentation Entry'!Z:Z)</f>
        <v>0</v>
      </c>
      <c r="U302" s="2318">
        <f>SUM(R302:T302)</f>
        <v>15573977</v>
      </c>
      <c r="V302" s="2318">
        <f>U302/'Master Data'!$C$25</f>
        <v>155739.76999999999</v>
      </c>
      <c r="W302" s="400" t="s">
        <v>998</v>
      </c>
    </row>
    <row r="303" spans="2:23" x14ac:dyDescent="0.3">
      <c r="B303" s="678">
        <f t="shared" si="17"/>
        <v>293</v>
      </c>
      <c r="C303" s="319" t="s">
        <v>763</v>
      </c>
      <c r="D303" s="321" t="s">
        <v>2754</v>
      </c>
      <c r="E303" s="321" t="s">
        <v>3510</v>
      </c>
      <c r="F303" s="320">
        <f>+SUMIFS('TB Grouping'!F:F,'TB Grouping'!H:H,masterTBCY[[#This Row],[Note Line]])</f>
        <v>19496.349999999999</v>
      </c>
      <c r="G303" s="1780">
        <f ca="1">SUMIF('Additional &amp; Presentation Entry'!E:E,masterTBCY[[#This Row],[Note Line]],'Additional &amp; Presentation Entry'!G:G)</f>
        <v>11511.35</v>
      </c>
      <c r="H303" s="1780">
        <f>SUMIF('Additional &amp; Presentation Entry'!L:L,masterTBCY[[#This Row],[Note Line]],'Additional &amp; Presentation Entry'!N:N)</f>
        <v>33100</v>
      </c>
      <c r="I303" s="320">
        <f>+masterTBCY[[#This Row],[Amount as per TB]]+masterTBCY[[#This Row],[Presentation Entry]]</f>
        <v>52596.35</v>
      </c>
      <c r="J303" s="2351">
        <f>I303/'Master Data'!$C$25</f>
        <v>525.96349999999995</v>
      </c>
      <c r="K303" s="392" t="s">
        <v>998</v>
      </c>
      <c r="N303" s="536">
        <f t="shared" ref="N303:N307" si="23">+N302+1</f>
        <v>293</v>
      </c>
      <c r="O303" s="1768" t="s">
        <v>763</v>
      </c>
      <c r="P303" s="1769" t="s">
        <v>2754</v>
      </c>
      <c r="Q303" s="1770" t="s">
        <v>3510</v>
      </c>
      <c r="R303" s="303">
        <f>SUMIF('TB Grouping'!$Q:$Q,'Master TB'!P303,'TB Grouping'!$O:$O)</f>
        <v>852478.85</v>
      </c>
      <c r="S303" s="303">
        <f>SUMIF('Additional &amp; Presentation Entry'!Q:Q,masterTBCY[[#This Row],[Note Line]],'Additional &amp; Presentation Entry'!S:S)</f>
        <v>0</v>
      </c>
      <c r="T303" s="303">
        <f>SUMIF('Additional &amp; Presentation Entry'!X:X,masterTBCY[[#This Row],[Note Line]],'Additional &amp; Presentation Entry'!Z:Z)</f>
        <v>0</v>
      </c>
      <c r="U303" s="320">
        <f t="shared" ref="U303:U304" si="24">SUM(R303:T303)</f>
        <v>852478.85</v>
      </c>
      <c r="V303" s="320">
        <f>U303/'Master Data'!$C$25</f>
        <v>8524.7885000000006</v>
      </c>
      <c r="W303" s="400" t="s">
        <v>998</v>
      </c>
    </row>
    <row r="304" spans="2:23" x14ac:dyDescent="0.3">
      <c r="B304" s="678">
        <f t="shared" si="17"/>
        <v>294</v>
      </c>
      <c r="C304" s="319" t="s">
        <v>763</v>
      </c>
      <c r="D304" s="321" t="s">
        <v>2753</v>
      </c>
      <c r="E304" s="321" t="s">
        <v>3511</v>
      </c>
      <c r="F304" s="320">
        <f>+SUMIFS('TB Grouping'!F:F,'TB Grouping'!H:H,masterTBCY[[#This Row],[Note Line]])</f>
        <v>0</v>
      </c>
      <c r="G304" s="1780">
        <f ca="1">SUMIF('Additional &amp; Presentation Entry'!E:E,masterTBCY[[#This Row],[Note Line]],'Additional &amp; Presentation Entry'!G:G)</f>
        <v>0</v>
      </c>
      <c r="H304" s="1780">
        <f>SUMIF('Additional &amp; Presentation Entry'!L:L,masterTBCY[[#This Row],[Note Line]],'Additional &amp; Presentation Entry'!N:N)</f>
        <v>0</v>
      </c>
      <c r="I304" s="320">
        <f>+masterTBCY[[#This Row],[Amount as per TB]]+masterTBCY[[#This Row],[Presentation Entry]]</f>
        <v>0</v>
      </c>
      <c r="J304" s="2351">
        <f>I304/'Master Data'!$C$25</f>
        <v>0</v>
      </c>
      <c r="K304" s="392" t="s">
        <v>998</v>
      </c>
      <c r="N304" s="536">
        <f t="shared" si="23"/>
        <v>294</v>
      </c>
      <c r="O304" s="2320" t="s">
        <v>763</v>
      </c>
      <c r="P304" s="2321" t="s">
        <v>2753</v>
      </c>
      <c r="Q304" s="2322" t="s">
        <v>3511</v>
      </c>
      <c r="R304" s="2323">
        <f>SUMIF('TB Grouping'!$Q:$Q,'Master TB'!P304,'TB Grouping'!$O:$O)</f>
        <v>0</v>
      </c>
      <c r="S304" s="2323">
        <f>SUMIF('Additional &amp; Presentation Entry'!Q:Q,masterTBCY[[#This Row],[Note Line]],'Additional &amp; Presentation Entry'!S:S)</f>
        <v>0</v>
      </c>
      <c r="T304" s="2323">
        <f>SUMIF('Additional &amp; Presentation Entry'!X:X,masterTBCY[[#This Row],[Note Line]],'Additional &amp; Presentation Entry'!Z:Z)</f>
        <v>0</v>
      </c>
      <c r="U304" s="2318">
        <f t="shared" si="24"/>
        <v>0</v>
      </c>
      <c r="V304" s="2318">
        <f>U304/'Master Data'!$C$25</f>
        <v>0</v>
      </c>
      <c r="W304" s="403" t="s">
        <v>998</v>
      </c>
    </row>
    <row r="305" spans="2:23" x14ac:dyDescent="0.3">
      <c r="B305" s="678">
        <f t="shared" si="17"/>
        <v>295</v>
      </c>
      <c r="C305" s="319" t="s">
        <v>763</v>
      </c>
      <c r="D305" s="397" t="s">
        <v>3512</v>
      </c>
      <c r="E305" s="397" t="s">
        <v>3513</v>
      </c>
      <c r="F305" s="320">
        <f>+SUMIFS('TB Grouping'!F:F,'TB Grouping'!H:H,masterTBCY[[#This Row],[Note Line]])</f>
        <v>49703</v>
      </c>
      <c r="G305" s="2372">
        <f ca="1">SUMIF('Additional &amp; Presentation Entry'!E:E,masterTBCY[[#This Row],[Note Line]],'Additional &amp; Presentation Entry'!G:G)</f>
        <v>0</v>
      </c>
      <c r="H305" s="2372">
        <f>SUMIF('Additional &amp; Presentation Entry'!L:L,masterTBCY[[#This Row],[Note Line]],'Additional &amp; Presentation Entry'!N:N)</f>
        <v>0</v>
      </c>
      <c r="I305" s="2372">
        <f>+masterTBCY[[#This Row],[Amount as per TB]]+masterTBCY[[#This Row],[Presentation Entry]]</f>
        <v>49703</v>
      </c>
      <c r="J305" s="2319">
        <f>I305/'Master Data'!$C$25</f>
        <v>497.03</v>
      </c>
      <c r="K305" s="404" t="s">
        <v>998</v>
      </c>
      <c r="N305" s="536">
        <f t="shared" si="23"/>
        <v>295</v>
      </c>
      <c r="O305" s="2320" t="s">
        <v>763</v>
      </c>
      <c r="P305" s="2321" t="s">
        <v>3512</v>
      </c>
      <c r="Q305" s="2322" t="s">
        <v>3513</v>
      </c>
      <c r="R305" s="2323">
        <f>SUMIF('TB Grouping'!$Q:$Q,'Master TB'!P305,'TB Grouping'!$O:$O)</f>
        <v>41071</v>
      </c>
      <c r="S305" s="2323">
        <f>SUMIF('Additional &amp; Presentation Entry'!Q:Q,masterTBCY[[#This Row],[Note Line]],'Additional &amp; Presentation Entry'!S:S)</f>
        <v>0</v>
      </c>
      <c r="T305" s="2323">
        <f>SUMIF('Additional &amp; Presentation Entry'!X:X,masterTBCY[[#This Row],[Note Line]],'Additional &amp; Presentation Entry'!Z:Z)</f>
        <v>0</v>
      </c>
      <c r="U305" s="2318">
        <f t="shared" ref="U305:U313" si="25">SUM(R305:T305)</f>
        <v>41071</v>
      </c>
      <c r="V305" s="2318">
        <f>U305/'Master Data'!$C$25</f>
        <v>410.71</v>
      </c>
      <c r="W305" s="403" t="s">
        <v>998</v>
      </c>
    </row>
    <row r="306" spans="2:23" x14ac:dyDescent="0.3">
      <c r="B306" s="678">
        <f t="shared" si="17"/>
        <v>296</v>
      </c>
      <c r="C306" s="319" t="s">
        <v>763</v>
      </c>
      <c r="D306" s="321" t="s">
        <v>2181</v>
      </c>
      <c r="E306" s="321" t="s">
        <v>3514</v>
      </c>
      <c r="F306" s="320">
        <f>+SUMIFS('TB Grouping'!F:F,'TB Grouping'!H:H,masterTBCY[[#This Row],[Note Line]])</f>
        <v>0</v>
      </c>
      <c r="G306" s="1780">
        <f ca="1">SUMIF('Additional &amp; Presentation Entry'!E:E,masterTBCY[[#This Row],[Note Line]],'Additional &amp; Presentation Entry'!G:G)</f>
        <v>0</v>
      </c>
      <c r="H306" s="1780">
        <f>SUMIF('Additional &amp; Presentation Entry'!L:L,masterTBCY[[#This Row],[Note Line]],'Additional &amp; Presentation Entry'!N:N)</f>
        <v>0</v>
      </c>
      <c r="I306" s="1780">
        <f>+masterTBCY[[#This Row],[Amount as per TB]]+masterTBCY[[#This Row],[Presentation Entry]]</f>
        <v>0</v>
      </c>
      <c r="J306" s="2351">
        <f>I306/'Master Data'!$C$25</f>
        <v>0</v>
      </c>
      <c r="K306" s="392" t="s">
        <v>998</v>
      </c>
      <c r="N306" s="536">
        <f t="shared" si="23"/>
        <v>296</v>
      </c>
      <c r="O306" s="2320" t="s">
        <v>763</v>
      </c>
      <c r="P306" s="2321" t="s">
        <v>2181</v>
      </c>
      <c r="Q306" s="2322" t="s">
        <v>3514</v>
      </c>
      <c r="R306" s="2323">
        <f>SUMIF('TB Grouping'!$Q:$Q,'Master TB'!P306,'TB Grouping'!$O:$O)</f>
        <v>0</v>
      </c>
      <c r="S306" s="2323">
        <f>SUMIF('Additional &amp; Presentation Entry'!Q:Q,masterTBCY[[#This Row],[Note Line]],'Additional &amp; Presentation Entry'!S:S)</f>
        <v>0</v>
      </c>
      <c r="T306" s="2323">
        <f>SUMIF('Additional &amp; Presentation Entry'!X:X,masterTBCY[[#This Row],[Note Line]],'Additional &amp; Presentation Entry'!Z:Z)</f>
        <v>0</v>
      </c>
      <c r="U306" s="2318">
        <f t="shared" si="25"/>
        <v>0</v>
      </c>
      <c r="V306" s="2318">
        <f>U306/'Master Data'!$C$25</f>
        <v>0</v>
      </c>
      <c r="W306" s="403" t="s">
        <v>998</v>
      </c>
    </row>
    <row r="307" spans="2:23" x14ac:dyDescent="0.3">
      <c r="B307" s="678">
        <f t="shared" si="17"/>
        <v>297</v>
      </c>
      <c r="C307" s="319" t="s">
        <v>763</v>
      </c>
      <c r="D307" s="321" t="s">
        <v>2172</v>
      </c>
      <c r="E307" s="321" t="s">
        <v>3515</v>
      </c>
      <c r="F307" s="320">
        <f>+SUMIFS('TB Grouping'!F:F,'TB Grouping'!H:H,masterTBCY[[#This Row],[Note Line]])</f>
        <v>146885.31</v>
      </c>
      <c r="G307" s="1780">
        <f ca="1">SUMIF('Additional &amp; Presentation Entry'!E:E,masterTBCY[[#This Row],[Note Line]],'Additional &amp; Presentation Entry'!G:G)</f>
        <v>-20492</v>
      </c>
      <c r="H307" s="1780">
        <f>SUMIF('Additional &amp; Presentation Entry'!L:L,masterTBCY[[#This Row],[Note Line]],'Additional &amp; Presentation Entry'!N:N)</f>
        <v>9243.1299999999992</v>
      </c>
      <c r="I307" s="1780">
        <f>+masterTBCY[[#This Row],[Amount as per TB]]+masterTBCY[[#This Row],[Presentation Entry]]</f>
        <v>156128.44</v>
      </c>
      <c r="J307" s="2351">
        <f>I307/'Master Data'!$C$25</f>
        <v>1561.2844</v>
      </c>
      <c r="K307" s="392" t="s">
        <v>998</v>
      </c>
      <c r="N307" s="536">
        <f t="shared" si="23"/>
        <v>297</v>
      </c>
      <c r="O307" s="2320" t="s">
        <v>763</v>
      </c>
      <c r="P307" s="2321" t="s">
        <v>2172</v>
      </c>
      <c r="Q307" s="2322" t="s">
        <v>3515</v>
      </c>
      <c r="R307" s="2323">
        <f>SUMIF('TB Grouping'!$Q:$Q,'Master TB'!P307,'TB Grouping'!$O:$O)</f>
        <v>177580.5</v>
      </c>
      <c r="S307" s="2323">
        <f>SUMIF('Additional &amp; Presentation Entry'!Q:Q,masterTBCY[[#This Row],[Note Line]],'Additional &amp; Presentation Entry'!S:S)</f>
        <v>0</v>
      </c>
      <c r="T307" s="2323">
        <f>SUMIF('Additional &amp; Presentation Entry'!X:X,masterTBCY[[#This Row],[Note Line]],'Additional &amp; Presentation Entry'!Z:Z)</f>
        <v>0</v>
      </c>
      <c r="U307" s="2318">
        <f t="shared" si="25"/>
        <v>177580.5</v>
      </c>
      <c r="V307" s="2318">
        <f>U307/'Master Data'!$C$25</f>
        <v>1775.8050000000001</v>
      </c>
      <c r="W307" s="403" t="s">
        <v>998</v>
      </c>
    </row>
    <row r="308" spans="2:23" x14ac:dyDescent="0.3">
      <c r="B308" s="678">
        <f t="shared" si="17"/>
        <v>298</v>
      </c>
      <c r="C308" s="319" t="s">
        <v>763</v>
      </c>
      <c r="D308" s="397" t="s">
        <v>2569</v>
      </c>
      <c r="E308" s="397" t="s">
        <v>3516</v>
      </c>
      <c r="F308" s="320">
        <f>+SUMIFS('TB Grouping'!F:F,'TB Grouping'!H:H,masterTBCY[[#This Row],[Note Line]])</f>
        <v>497231.02</v>
      </c>
      <c r="G308" s="2372">
        <f ca="1">SUMIF('Additional &amp; Presentation Entry'!E:E,masterTBCY[[#This Row],[Note Line]],'Additional &amp; Presentation Entry'!G:G)</f>
        <v>-150</v>
      </c>
      <c r="H308" s="2372">
        <f>SUMIF('Additional &amp; Presentation Entry'!L:L,masterTBCY[[#This Row],[Note Line]],'Additional &amp; Presentation Entry'!N:N)</f>
        <v>0</v>
      </c>
      <c r="I308" s="2372">
        <f>+masterTBCY[[#This Row],[Amount as per TB]]+masterTBCY[[#This Row],[Presentation Entry]]</f>
        <v>497231.02</v>
      </c>
      <c r="J308" s="2319">
        <f>I308/'Master Data'!$C$25</f>
        <v>4972.3101999999999</v>
      </c>
      <c r="K308" s="404" t="s">
        <v>998</v>
      </c>
      <c r="N308" s="536">
        <f t="shared" ref="N308:N311" si="26">+N307+1</f>
        <v>298</v>
      </c>
      <c r="O308" s="2320" t="s">
        <v>763</v>
      </c>
      <c r="P308" s="2321" t="s">
        <v>2569</v>
      </c>
      <c r="Q308" s="2322" t="s">
        <v>3516</v>
      </c>
      <c r="R308" s="2323">
        <f>SUMIF('TB Grouping'!$Q:$Q,'Master TB'!P308,'TB Grouping'!$O:$O)</f>
        <v>586304.61</v>
      </c>
      <c r="S308" s="2323">
        <f>SUMIF('Additional &amp; Presentation Entry'!Q:Q,masterTBCY[[#This Row],[Note Line]],'Additional &amp; Presentation Entry'!S:S)</f>
        <v>0</v>
      </c>
      <c r="T308" s="2323">
        <f>SUMIF('Additional &amp; Presentation Entry'!X:X,masterTBCY[[#This Row],[Note Line]],'Additional &amp; Presentation Entry'!Z:Z)</f>
        <v>0</v>
      </c>
      <c r="U308" s="2318">
        <f t="shared" si="25"/>
        <v>586304.61</v>
      </c>
      <c r="V308" s="2318">
        <f>U308/'Master Data'!$C$25</f>
        <v>5863.0460999999996</v>
      </c>
      <c r="W308" s="403" t="s">
        <v>998</v>
      </c>
    </row>
    <row r="309" spans="2:23" x14ac:dyDescent="0.3">
      <c r="B309" s="678">
        <f t="shared" si="17"/>
        <v>299</v>
      </c>
      <c r="C309" s="319" t="s">
        <v>763</v>
      </c>
      <c r="D309" s="321" t="s">
        <v>3517</v>
      </c>
      <c r="E309" s="321" t="s">
        <v>3518</v>
      </c>
      <c r="F309" s="320">
        <f>+SUMIFS('TB Grouping'!F:F,'TB Grouping'!H:H,masterTBCY[[#This Row],[Note Line]])</f>
        <v>356810.55</v>
      </c>
      <c r="G309" s="1780">
        <f ca="1">SUMIF('Additional &amp; Presentation Entry'!E:E,masterTBCY[[#This Row],[Note Line]],'Additional &amp; Presentation Entry'!G:G)</f>
        <v>345922.64</v>
      </c>
      <c r="H309" s="1780">
        <f>SUMIF('Additional &amp; Presentation Entry'!L:L,masterTBCY[[#This Row],[Note Line]],'Additional &amp; Presentation Entry'!N:N)</f>
        <v>0</v>
      </c>
      <c r="I309" s="1780">
        <f>+masterTBCY[[#This Row],[Amount as per TB]]+masterTBCY[[#This Row],[Presentation Entry]]</f>
        <v>356810.55</v>
      </c>
      <c r="J309" s="2351">
        <f>I309/'Master Data'!$C$25</f>
        <v>3568.1054999999997</v>
      </c>
      <c r="K309" s="392" t="s">
        <v>998</v>
      </c>
      <c r="N309" s="536">
        <f t="shared" si="26"/>
        <v>299</v>
      </c>
      <c r="O309" s="2320" t="s">
        <v>763</v>
      </c>
      <c r="P309" s="2321" t="s">
        <v>3517</v>
      </c>
      <c r="Q309" s="2322" t="s">
        <v>3518</v>
      </c>
      <c r="R309" s="2495">
        <f>SUMIF('TB Grouping'!$Q:$Q,'Master TB'!P309,'TB Grouping'!$O:$O)</f>
        <v>143130.65</v>
      </c>
      <c r="S309" s="2323">
        <f>SUMIF('Additional &amp; Presentation Entry'!Q:Q,masterTBCY[[#This Row],[Note Line]],'Additional &amp; Presentation Entry'!S:S)</f>
        <v>0</v>
      </c>
      <c r="T309" s="2323">
        <f>SUMIF('Additional &amp; Presentation Entry'!X:X,masterTBCY[[#This Row],[Note Line]],'Additional &amp; Presentation Entry'!Z:Z)</f>
        <v>0</v>
      </c>
      <c r="U309" s="2318">
        <f t="shared" si="25"/>
        <v>143130.65</v>
      </c>
      <c r="V309" s="2318">
        <f>U309/'Master Data'!$C$25</f>
        <v>1431.3064999999999</v>
      </c>
      <c r="W309" s="403" t="s">
        <v>998</v>
      </c>
    </row>
    <row r="310" spans="2:23" x14ac:dyDescent="0.3">
      <c r="B310" s="678">
        <f t="shared" si="17"/>
        <v>300</v>
      </c>
      <c r="C310" s="319" t="s">
        <v>763</v>
      </c>
      <c r="D310" s="397" t="s">
        <v>3519</v>
      </c>
      <c r="E310" s="397" t="s">
        <v>3520</v>
      </c>
      <c r="F310" s="320">
        <f>+SUMIFS('TB Grouping'!F:F,'TB Grouping'!H:H,masterTBCY[[#This Row],[Note Line]])</f>
        <v>0</v>
      </c>
      <c r="G310" s="2372">
        <f ca="1">SUMIF('Additional &amp; Presentation Entry'!E:E,masterTBCY[[#This Row],[Note Line]],'Additional &amp; Presentation Entry'!G:G)</f>
        <v>0</v>
      </c>
      <c r="H310" s="2372">
        <f>SUMIF('Additional &amp; Presentation Entry'!L:L,masterTBCY[[#This Row],[Note Line]],'Additional &amp; Presentation Entry'!N:N)</f>
        <v>0</v>
      </c>
      <c r="I310" s="2372">
        <f>+masterTBCY[[#This Row],[Amount as per TB]]+masterTBCY[[#This Row],[Presentation Entry]]</f>
        <v>0</v>
      </c>
      <c r="J310" s="2319">
        <f>I310/'Master Data'!$C$25</f>
        <v>0</v>
      </c>
      <c r="K310" s="404" t="s">
        <v>998</v>
      </c>
      <c r="N310" s="536">
        <f t="shared" si="26"/>
        <v>300</v>
      </c>
      <c r="O310" s="2320" t="s">
        <v>763</v>
      </c>
      <c r="P310" s="2321" t="s">
        <v>3519</v>
      </c>
      <c r="Q310" s="2322" t="s">
        <v>3520</v>
      </c>
      <c r="R310" s="2323">
        <f>SUMIF('TB Grouping'!$Q:$Q,'Master TB'!P310,'TB Grouping'!$O:$O)</f>
        <v>0</v>
      </c>
      <c r="S310" s="2323">
        <f>SUMIF('Additional &amp; Presentation Entry'!Q:Q,masterTBCY[[#This Row],[Note Line]],'Additional &amp; Presentation Entry'!S:S)</f>
        <v>0</v>
      </c>
      <c r="T310" s="2323">
        <f>SUMIF('Additional &amp; Presentation Entry'!X:X,masterTBCY[[#This Row],[Note Line]],'Additional &amp; Presentation Entry'!Z:Z)</f>
        <v>0</v>
      </c>
      <c r="U310" s="2318">
        <f t="shared" si="25"/>
        <v>0</v>
      </c>
      <c r="V310" s="2318">
        <f>U310/'Master Data'!$C$25</f>
        <v>0</v>
      </c>
      <c r="W310" s="403" t="s">
        <v>998</v>
      </c>
    </row>
    <row r="311" spans="2:23" x14ac:dyDescent="0.3">
      <c r="B311" s="678">
        <f t="shared" si="17"/>
        <v>301</v>
      </c>
      <c r="C311" s="319" t="s">
        <v>763</v>
      </c>
      <c r="D311" s="397" t="s">
        <v>3521</v>
      </c>
      <c r="E311" s="397" t="s">
        <v>3522</v>
      </c>
      <c r="F311" s="320">
        <f>+SUMIFS('TB Grouping'!F:F,'TB Grouping'!H:H,masterTBCY[[#This Row],[Note Line]])</f>
        <v>0</v>
      </c>
      <c r="G311" s="2372">
        <f ca="1">SUMIF('Additional &amp; Presentation Entry'!E:E,masterTBCY[[#This Row],[Note Line]],'Additional &amp; Presentation Entry'!G:G)</f>
        <v>0</v>
      </c>
      <c r="H311" s="2372">
        <f>SUMIF('Additional &amp; Presentation Entry'!L:L,masterTBCY[[#This Row],[Note Line]],'Additional &amp; Presentation Entry'!N:N)</f>
        <v>0</v>
      </c>
      <c r="I311" s="2372">
        <f>+masterTBCY[[#This Row],[Amount as per TB]]+masterTBCY[[#This Row],[Presentation Entry]]</f>
        <v>0</v>
      </c>
      <c r="J311" s="2319">
        <f>I311/'Master Data'!$C$25</f>
        <v>0</v>
      </c>
      <c r="K311" s="404" t="s">
        <v>998</v>
      </c>
      <c r="N311" s="536">
        <f t="shared" si="26"/>
        <v>301</v>
      </c>
      <c r="O311" s="2320" t="s">
        <v>763</v>
      </c>
      <c r="P311" s="2321" t="s">
        <v>3521</v>
      </c>
      <c r="Q311" s="2322" t="s">
        <v>3522</v>
      </c>
      <c r="R311" s="2323">
        <f>SUMIF('TB Grouping'!$Q:$Q,'Master TB'!P311,'TB Grouping'!$O:$O)</f>
        <v>0</v>
      </c>
      <c r="S311" s="2323">
        <f>SUMIF('Additional &amp; Presentation Entry'!Q:Q,masterTBCY[[#This Row],[Note Line]],'Additional &amp; Presentation Entry'!S:S)</f>
        <v>0</v>
      </c>
      <c r="T311" s="2323">
        <f>SUMIF('Additional &amp; Presentation Entry'!X:X,masterTBCY[[#This Row],[Note Line]],'Additional &amp; Presentation Entry'!Z:Z)</f>
        <v>0</v>
      </c>
      <c r="U311" s="2318">
        <f t="shared" si="25"/>
        <v>0</v>
      </c>
      <c r="V311" s="2318">
        <f>U311/'Master Data'!$C$25</f>
        <v>0</v>
      </c>
      <c r="W311" s="403" t="s">
        <v>998</v>
      </c>
    </row>
    <row r="312" spans="2:23" x14ac:dyDescent="0.3">
      <c r="B312" s="678">
        <f t="shared" si="17"/>
        <v>302</v>
      </c>
      <c r="C312" s="319" t="s">
        <v>763</v>
      </c>
      <c r="D312" s="321" t="s">
        <v>2737</v>
      </c>
      <c r="E312" s="321" t="s">
        <v>3524</v>
      </c>
      <c r="F312" s="320">
        <f>+SUMIFS('TB Grouping'!F:F,'TB Grouping'!H:H,masterTBCY[[#This Row],[Note Line]])</f>
        <v>4280286.79</v>
      </c>
      <c r="G312" s="1780">
        <f ca="1">SUMIF('Additional &amp; Presentation Entry'!E:E,masterTBCY[[#This Row],[Note Line]],'Additional &amp; Presentation Entry'!G:G)</f>
        <v>150</v>
      </c>
      <c r="H312" s="1780">
        <f>SUMIF('Additional &amp; Presentation Entry'!L:L,masterTBCY[[#This Row],[Note Line]],'Additional &amp; Presentation Entry'!N:N)</f>
        <v>-4280286.79</v>
      </c>
      <c r="I312" s="1780">
        <f>+masterTBCY[[#This Row],[Amount as per TB]]+masterTBCY[[#This Row],[Presentation Entry]]</f>
        <v>0</v>
      </c>
      <c r="J312" s="2351">
        <f>I312/'Master Data'!$C$25</f>
        <v>0</v>
      </c>
      <c r="K312" s="392" t="s">
        <v>998</v>
      </c>
      <c r="N312" s="536">
        <v>302</v>
      </c>
      <c r="O312" s="2320" t="s">
        <v>763</v>
      </c>
      <c r="P312" s="2321" t="s">
        <v>2737</v>
      </c>
      <c r="Q312" s="2322" t="s">
        <v>3524</v>
      </c>
      <c r="R312" s="2323">
        <f>SUMIF('TB Grouping'!$Q:$Q,'Master TB'!P312,'TB Grouping'!$O:$O)</f>
        <v>0</v>
      </c>
      <c r="S312" s="2323">
        <f>SUMIF('Additional &amp; Presentation Entry'!Q:Q,masterTBCY[[#This Row],[Note Line]],'Additional &amp; Presentation Entry'!S:S)</f>
        <v>0</v>
      </c>
      <c r="T312" s="2323">
        <f>SUMIF('Additional &amp; Presentation Entry'!X:X,masterTBCY[[#This Row],[Note Line]],'Additional &amp; Presentation Entry'!Z:Z)</f>
        <v>0</v>
      </c>
      <c r="U312" s="2318">
        <f t="shared" si="25"/>
        <v>0</v>
      </c>
      <c r="V312" s="2318">
        <f>U312/'Master Data'!$C$25</f>
        <v>0</v>
      </c>
      <c r="W312" s="403" t="s">
        <v>998</v>
      </c>
    </row>
    <row r="313" spans="2:23" x14ac:dyDescent="0.3">
      <c r="B313" s="678">
        <f t="shared" si="17"/>
        <v>303</v>
      </c>
      <c r="C313" s="319" t="s">
        <v>763</v>
      </c>
      <c r="D313" s="321" t="s">
        <v>3523</v>
      </c>
      <c r="E313" s="321" t="s">
        <v>3525</v>
      </c>
      <c r="F313" s="320">
        <f>+SUMIFS('TB Grouping'!F:F,'TB Grouping'!H:H,masterTBCY[[#This Row],[Note Line]])</f>
        <v>0</v>
      </c>
      <c r="G313" s="1780">
        <f ca="1">SUMIF('Additional &amp; Presentation Entry'!E:E,masterTBCY[[#This Row],[Note Line]],'Additional &amp; Presentation Entry'!G:G)</f>
        <v>0</v>
      </c>
      <c r="H313" s="1780">
        <f>SUMIF('Additional &amp; Presentation Entry'!L:L,masterTBCY[[#This Row],[Note Line]],'Additional &amp; Presentation Entry'!N:N)</f>
        <v>239355</v>
      </c>
      <c r="I313" s="1780">
        <f>+masterTBCY[[#This Row],[Amount as per TB]]+masterTBCY[[#This Row],[Presentation Entry]]</f>
        <v>239355</v>
      </c>
      <c r="J313" s="2351">
        <f>I313/'Master Data'!$C$25</f>
        <v>2393.5500000000002</v>
      </c>
      <c r="K313" s="392" t="s">
        <v>998</v>
      </c>
      <c r="N313" s="536">
        <f>+N312+1</f>
        <v>303</v>
      </c>
      <c r="O313" s="2320" t="s">
        <v>763</v>
      </c>
      <c r="P313" s="2321" t="s">
        <v>3523</v>
      </c>
      <c r="Q313" s="2322" t="s">
        <v>3525</v>
      </c>
      <c r="R313" s="2323">
        <f>SUMIF('TB Grouping'!$Q:$Q,'Master TB'!P313,'TB Grouping'!$O:$O)</f>
        <v>232304</v>
      </c>
      <c r="S313" s="2323">
        <f>SUMIF('Additional &amp; Presentation Entry'!Q:Q,masterTBCY[[#This Row],[Note Line]],'Additional &amp; Presentation Entry'!S:S)</f>
        <v>0</v>
      </c>
      <c r="T313" s="2323">
        <f>SUMIF('Additional &amp; Presentation Entry'!X:X,masterTBCY[[#This Row],[Note Line]],'Additional &amp; Presentation Entry'!Z:Z)</f>
        <v>0</v>
      </c>
      <c r="U313" s="2318">
        <f t="shared" si="25"/>
        <v>232304</v>
      </c>
      <c r="V313" s="2318">
        <f>U313/'Master Data'!$C$25</f>
        <v>2323.04</v>
      </c>
      <c r="W313" s="403" t="s">
        <v>998</v>
      </c>
    </row>
    <row r="314" spans="2:23" x14ac:dyDescent="0.3">
      <c r="B314" s="678">
        <f t="shared" si="17"/>
        <v>304</v>
      </c>
      <c r="C314" s="396" t="s">
        <v>959</v>
      </c>
      <c r="D314" s="397" t="s">
        <v>3093</v>
      </c>
      <c r="E314" s="397" t="s">
        <v>3527</v>
      </c>
      <c r="F314" s="320">
        <f>+SUMIFS('TB Grouping'!F:F,'TB Grouping'!H:H,masterTBCY[[#This Row],[Note Line]])</f>
        <v>0</v>
      </c>
      <c r="G314" s="2372">
        <f ca="1">SUMIF('Additional &amp; Presentation Entry'!E:E,masterTBCY[[#This Row],[Note Line]],'Additional &amp; Presentation Entry'!G:G)</f>
        <v>0</v>
      </c>
      <c r="H314" s="2372">
        <f>SUMIF('Additional &amp; Presentation Entry'!L:L,masterTBCY[[#This Row],[Note Line]],'Additional &amp; Presentation Entry'!N:N)</f>
        <v>0</v>
      </c>
      <c r="I314" s="2372">
        <f>+masterTBCY[[#This Row],[Amount as per TB]]+masterTBCY[[#This Row],[Presentation Entry]]</f>
        <v>0</v>
      </c>
      <c r="J314" s="2319">
        <f>I314/'Master Data'!$C$25</f>
        <v>0</v>
      </c>
      <c r="K314" s="392" t="s">
        <v>998</v>
      </c>
      <c r="N314" s="536">
        <f>+N313+1</f>
        <v>304</v>
      </c>
      <c r="O314" s="2320" t="s">
        <v>508</v>
      </c>
      <c r="P314" s="2321" t="s">
        <v>3093</v>
      </c>
      <c r="Q314" s="2322" t="s">
        <v>3527</v>
      </c>
      <c r="R314" s="2323">
        <f>SUMIF('TB Grouping'!$Q:$Q,'Master TB'!P314,'TB Grouping'!$O:$O)</f>
        <v>0</v>
      </c>
      <c r="S314" s="2323">
        <f>SUMIF('Additional &amp; Presentation Entry'!Q:Q,masterTBCY[[#This Row],[Note Line]],'Additional &amp; Presentation Entry'!S:S)</f>
        <v>0</v>
      </c>
      <c r="T314" s="2323">
        <f>SUMIF('Additional &amp; Presentation Entry'!X:X,masterTBCY[[#This Row],[Note Line]],'Additional &amp; Presentation Entry'!Z:Z)</f>
        <v>0</v>
      </c>
      <c r="U314" s="2318">
        <f>SUM(R314:T314)</f>
        <v>0</v>
      </c>
      <c r="V314" s="2318">
        <f>U314/'Master Data'!$C$25</f>
        <v>0</v>
      </c>
      <c r="W314" s="403" t="s">
        <v>1329</v>
      </c>
    </row>
    <row r="315" spans="2:23" x14ac:dyDescent="0.3">
      <c r="B315" s="2317">
        <v>305</v>
      </c>
      <c r="C315" s="396" t="s">
        <v>747</v>
      </c>
      <c r="D315" s="397" t="s">
        <v>3612</v>
      </c>
      <c r="E315" s="397" t="s">
        <v>3613</v>
      </c>
      <c r="F315" s="320">
        <f>+SUMIFS('TB Grouping'!F:F,'TB Grouping'!H:H,masterTBCY[[#This Row],[Note Line]])</f>
        <v>0</v>
      </c>
      <c r="G315" s="2372">
        <f ca="1">SUMIF('Additional &amp; Presentation Entry'!E:E,masterTBCY[[#This Row],[Note Line]],'Additional &amp; Presentation Entry'!G:G)</f>
        <v>16551710.470000001</v>
      </c>
      <c r="H315" s="2372">
        <f>SUMIF('Additional &amp; Presentation Entry'!L:L,masterTBCY[[#This Row],[Note Line]],'Additional &amp; Presentation Entry'!N:N)</f>
        <v>0</v>
      </c>
      <c r="I315" s="2372">
        <f>+masterTBCY[[#This Row],[Amount as per TB]]+masterTBCY[[#This Row],[Presentation Entry]]</f>
        <v>0</v>
      </c>
      <c r="J315" s="2372">
        <f>I315/'Master Data'!$C$25</f>
        <v>0</v>
      </c>
      <c r="K315" s="392" t="s">
        <v>998</v>
      </c>
      <c r="N315" s="536">
        <v>305</v>
      </c>
      <c r="O315" s="2320" t="s">
        <v>752</v>
      </c>
      <c r="P315" s="2321" t="s">
        <v>3058</v>
      </c>
      <c r="Q315" s="2322" t="s">
        <v>3718</v>
      </c>
      <c r="R315" s="2323">
        <f>SUMIF('TB Grouping'!$Q:$Q,'Master TB'!P315,'TB Grouping'!$O:$O)</f>
        <v>-3066311</v>
      </c>
      <c r="S315" s="2323">
        <f>SUMIF('Additional &amp; Presentation Entry'!Q:Q,masterTBCY[[#This Row],[Note Line]],'Additional &amp; Presentation Entry'!S:S)</f>
        <v>0</v>
      </c>
      <c r="T315" s="2323">
        <f>SUMIF('Additional &amp; Presentation Entry'!X:X,masterTBCY[[#This Row],[Note Line]],'Additional &amp; Presentation Entry'!Z:Z)</f>
        <v>0</v>
      </c>
      <c r="U315" s="2318">
        <f>SUM(R315:T315)</f>
        <v>-3066311</v>
      </c>
      <c r="V315" s="2318">
        <f>U315/'Master Data'!$C$25</f>
        <v>-30663.11</v>
      </c>
      <c r="W315" s="403" t="str">
        <f>K315</f>
        <v>Profit and Loss A/C</v>
      </c>
    </row>
    <row r="316" spans="2:23" x14ac:dyDescent="0.3">
      <c r="B316" s="2317">
        <v>306</v>
      </c>
      <c r="C316" s="396" t="s">
        <v>508</v>
      </c>
      <c r="D316" s="397" t="s">
        <v>3618</v>
      </c>
      <c r="E316" s="397" t="s">
        <v>3619</v>
      </c>
      <c r="F316" s="320">
        <f>+SUMIFS('TB Grouping'!F:F,'TB Grouping'!H:H,masterTBCY[[#This Row],[Note Line]])</f>
        <v>-2673863.65</v>
      </c>
      <c r="G316" s="2372">
        <f ca="1">SUMIF('Additional &amp; Presentation Entry'!E:E,masterTBCY[[#This Row],[Note Line]],'Additional &amp; Presentation Entry'!G:G)</f>
        <v>-2916207.332045557</v>
      </c>
      <c r="H316" s="2372">
        <f>SUMIF('Additional &amp; Presentation Entry'!L:L,masterTBCY[[#This Row],[Note Line]],'Additional &amp; Presentation Entry'!N:N)</f>
        <v>0</v>
      </c>
      <c r="I316" s="2319">
        <f>+masterTBCY[[#This Row],[Amount as per TB]]+masterTBCY[[#This Row],[Presentation Entry]]</f>
        <v>-2673863.65</v>
      </c>
      <c r="J316" s="2319">
        <f>I316/'Master Data'!$C$25</f>
        <v>-26738.636500000001</v>
      </c>
      <c r="K316" s="404" t="s">
        <v>1329</v>
      </c>
    </row>
    <row r="317" spans="2:23" x14ac:dyDescent="0.3">
      <c r="B317" s="678">
        <v>307</v>
      </c>
      <c r="C317" s="319" t="s">
        <v>508</v>
      </c>
      <c r="D317" s="321" t="s">
        <v>3767</v>
      </c>
      <c r="E317" s="321" t="s">
        <v>3768</v>
      </c>
      <c r="F317" s="320">
        <f>+SUMIFS('TB Grouping'!F:F,'TB Grouping'!H:H,masterTBCY[[#This Row],[Note Line]])</f>
        <v>0</v>
      </c>
      <c r="G317" s="1780">
        <f ca="1">SUMIF('Additional &amp; Presentation Entry'!E:E,masterTBCY[[#This Row],[Note Line]],'Additional &amp; Presentation Entry'!G:G)</f>
        <v>0</v>
      </c>
      <c r="H317" s="1780">
        <f>SUMIF('Additional &amp; Presentation Entry'!L:L,masterTBCY[[#This Row],[Note Line]],'Additional &amp; Presentation Entry'!N:N)</f>
        <v>0</v>
      </c>
      <c r="I317" s="2351">
        <f>+masterTBCY[[#This Row],[Amount as per TB]]+masterTBCY[[#This Row],[Presentation Entry]]</f>
        <v>0</v>
      </c>
      <c r="J317" s="2351">
        <f>I317/'Master Data'!$C$25</f>
        <v>0</v>
      </c>
      <c r="K317" s="392" t="s">
        <v>1329</v>
      </c>
    </row>
    <row r="318" spans="2:23" x14ac:dyDescent="0.3">
      <c r="B318" s="2557" t="s">
        <v>3769</v>
      </c>
      <c r="C318" s="396" t="s">
        <v>752</v>
      </c>
      <c r="D318" s="397" t="s">
        <v>3058</v>
      </c>
      <c r="E318" s="397" t="s">
        <v>3718</v>
      </c>
      <c r="F318" s="2558">
        <f>+SUMIF('TB Grouping'!H:H,masterTBCY[[#Totals],[Note Line]],'TB Grouping'!F:F)</f>
        <v>-19306.740000000002</v>
      </c>
      <c r="G318" s="2580" t="s">
        <v>3719</v>
      </c>
      <c r="H318" s="2558" t="s">
        <v>3720</v>
      </c>
      <c r="I318" s="2558">
        <f>SUM(F318:H318)</f>
        <v>-19306.740000000002</v>
      </c>
      <c r="J318" s="2558">
        <f>I318/'Master Data'!$C$25</f>
        <v>-193.06740000000002</v>
      </c>
      <c r="K318" s="392" t="s">
        <v>998</v>
      </c>
      <c r="R318" s="533"/>
      <c r="S318" s="533"/>
      <c r="T318" s="533"/>
    </row>
  </sheetData>
  <conditionalFormatting sqref="E132:E245 E11:E122 E254:E316 E318:E1048576">
    <cfRule type="duplicateValues" dxfId="126" priority="6"/>
  </conditionalFormatting>
  <conditionalFormatting sqref="E11:E245 E254:E316 E318:E1048576">
    <cfRule type="duplicateValues" dxfId="125" priority="5"/>
  </conditionalFormatting>
  <conditionalFormatting sqref="D11:D245 D254:D299">
    <cfRule type="duplicateValues" dxfId="124" priority="311"/>
  </conditionalFormatting>
  <conditionalFormatting sqref="Q132:Q229 Q11:Q122 Q238:Q299">
    <cfRule type="duplicateValues" dxfId="123" priority="2"/>
  </conditionalFormatting>
  <conditionalFormatting sqref="Q11:Q229 Q238:Q299">
    <cfRule type="duplicateValues" dxfId="122" priority="1"/>
  </conditionalFormatting>
  <conditionalFormatting sqref="P11:P229 P238:P299">
    <cfRule type="duplicateValues" dxfId="121" priority="3"/>
  </conditionalFormatting>
  <pageMargins left="0.25" right="0.25" top="0.75" bottom="0.75" header="0.3" footer="0.3"/>
  <pageSetup scale="15" orientation="portrait" r:id="rId1"/>
  <drawing r:id="rId2"/>
  <tableParts count="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31"/>
  <sheetViews>
    <sheetView topLeftCell="A4" workbookViewId="0">
      <selection activeCell="C8" sqref="C8"/>
    </sheetView>
  </sheetViews>
  <sheetFormatPr defaultColWidth="9.140625" defaultRowHeight="16.5" x14ac:dyDescent="0.3"/>
  <cols>
    <col min="1" max="1" width="15.28515625" style="1" bestFit="1" customWidth="1"/>
    <col min="2" max="2" width="34.85546875" style="1" bestFit="1" customWidth="1"/>
    <col min="3" max="3" width="34.28515625" style="1" bestFit="1" customWidth="1"/>
    <col min="4" max="4" width="30" style="1" bestFit="1" customWidth="1"/>
    <col min="5" max="5" width="14.5703125" style="1" bestFit="1" customWidth="1"/>
    <col min="6" max="6" width="13.7109375" style="1" bestFit="1" customWidth="1"/>
    <col min="7" max="16384" width="9.140625" style="1"/>
  </cols>
  <sheetData>
    <row r="2" spans="2:6" x14ac:dyDescent="0.3">
      <c r="B2" s="1" t="s">
        <v>3854</v>
      </c>
    </row>
    <row r="4" spans="2:6" x14ac:dyDescent="0.3">
      <c r="B4" s="1" t="s">
        <v>3855</v>
      </c>
      <c r="E4" s="2671">
        <v>1284760.2430380497</v>
      </c>
      <c r="F4" s="1">
        <v>958742.69529999793</v>
      </c>
    </row>
    <row r="5" spans="2:6" x14ac:dyDescent="0.3">
      <c r="B5" s="1" t="s">
        <v>3856</v>
      </c>
      <c r="C5" s="179">
        <f>+'Profit and Loss'!F48</f>
        <v>326016.54773805174</v>
      </c>
      <c r="E5" s="2672">
        <f>+(E4+F4)/2</f>
        <v>1121751.4691690239</v>
      </c>
    </row>
    <row r="6" spans="2:6" x14ac:dyDescent="0.3">
      <c r="B6" s="1" t="s">
        <v>1950</v>
      </c>
      <c r="C6" s="179">
        <f>+'Profit and Loss'!F46</f>
        <v>97671.586061947994</v>
      </c>
    </row>
    <row r="7" spans="2:6" x14ac:dyDescent="0.3">
      <c r="C7" s="1917">
        <f>+C5+C6</f>
        <v>423688.13379999972</v>
      </c>
    </row>
    <row r="8" spans="2:6" x14ac:dyDescent="0.3">
      <c r="C8" s="179">
        <v>1121751.4691690239</v>
      </c>
    </row>
    <row r="9" spans="2:6" x14ac:dyDescent="0.3">
      <c r="C9" s="1917">
        <f>+C7/C8</f>
        <v>0.37770232127608561</v>
      </c>
    </row>
    <row r="11" spans="2:6" x14ac:dyDescent="0.3">
      <c r="B11" s="1" t="s">
        <v>3857</v>
      </c>
      <c r="E11" s="1" t="s">
        <v>3880</v>
      </c>
    </row>
    <row r="15" spans="2:6" x14ac:dyDescent="0.3">
      <c r="B15" s="1" t="s">
        <v>941</v>
      </c>
      <c r="C15" s="1" t="s">
        <v>1013</v>
      </c>
      <c r="D15" s="1" t="s">
        <v>953</v>
      </c>
    </row>
    <row r="16" spans="2:6" x14ac:dyDescent="0.3">
      <c r="B16" s="1" t="s">
        <v>927</v>
      </c>
      <c r="C16" s="1" t="s">
        <v>1924</v>
      </c>
      <c r="D16" s="1" t="s">
        <v>1925</v>
      </c>
    </row>
    <row r="17" spans="1:4" x14ac:dyDescent="0.3">
      <c r="B17" s="1" t="s">
        <v>928</v>
      </c>
      <c r="C17" s="1" t="s">
        <v>1926</v>
      </c>
      <c r="D17" s="1" t="s">
        <v>1927</v>
      </c>
    </row>
    <row r="18" spans="1:4" x14ac:dyDescent="0.3">
      <c r="B18" s="1" t="s">
        <v>929</v>
      </c>
      <c r="C18" s="1" t="s">
        <v>655</v>
      </c>
      <c r="D18" s="1" t="s">
        <v>1928</v>
      </c>
    </row>
    <row r="19" spans="1:4" x14ac:dyDescent="0.3">
      <c r="B19" s="1" t="s">
        <v>930</v>
      </c>
      <c r="C19" s="1" t="s">
        <v>1929</v>
      </c>
      <c r="D19" s="1" t="s">
        <v>1930</v>
      </c>
    </row>
    <row r="20" spans="1:4" x14ac:dyDescent="0.3">
      <c r="B20" s="1" t="s">
        <v>931</v>
      </c>
      <c r="C20" s="1" t="s">
        <v>748</v>
      </c>
      <c r="D20" s="1" t="s">
        <v>1931</v>
      </c>
    </row>
    <row r="21" spans="1:4" x14ac:dyDescent="0.3">
      <c r="B21" s="1" t="s">
        <v>932</v>
      </c>
      <c r="C21" s="1" t="s">
        <v>1932</v>
      </c>
      <c r="D21" s="1" t="s">
        <v>1933</v>
      </c>
    </row>
    <row r="22" spans="1:4" x14ac:dyDescent="0.3">
      <c r="B22" s="1" t="s">
        <v>933</v>
      </c>
      <c r="C22" s="1" t="s">
        <v>748</v>
      </c>
      <c r="D22" s="1" t="s">
        <v>1934</v>
      </c>
    </row>
    <row r="23" spans="1:4" x14ac:dyDescent="0.3">
      <c r="B23" s="1" t="s">
        <v>934</v>
      </c>
      <c r="C23" s="1" t="s">
        <v>655</v>
      </c>
      <c r="D23" s="1" t="s">
        <v>748</v>
      </c>
    </row>
    <row r="24" spans="1:4" x14ac:dyDescent="0.3">
      <c r="B24" s="1" t="s">
        <v>935</v>
      </c>
      <c r="C24" s="1" t="s">
        <v>1935</v>
      </c>
      <c r="D24" s="1" t="s">
        <v>1936</v>
      </c>
    </row>
    <row r="25" spans="1:4" x14ac:dyDescent="0.3">
      <c r="B25" s="1" t="s">
        <v>936</v>
      </c>
      <c r="C25" s="1" t="s">
        <v>1937</v>
      </c>
      <c r="D25" s="1" t="s">
        <v>1938</v>
      </c>
    </row>
    <row r="28" spans="1:4" x14ac:dyDescent="0.3">
      <c r="B28" s="1" t="s">
        <v>3348</v>
      </c>
      <c r="C28" s="1" t="s">
        <v>3858</v>
      </c>
    </row>
    <row r="29" spans="1:4" x14ac:dyDescent="0.3">
      <c r="A29" s="1" t="s">
        <v>1013</v>
      </c>
      <c r="B29" s="1">
        <v>1370654.0538999999</v>
      </c>
      <c r="C29" s="1203">
        <v>123140900</v>
      </c>
    </row>
    <row r="31" spans="1:4" x14ac:dyDescent="0.3">
      <c r="A31" s="1" t="s">
        <v>655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1:U53"/>
  <sheetViews>
    <sheetView showGridLines="0" workbookViewId="0">
      <pane xSplit="3" ySplit="7" topLeftCell="D15" activePane="bottomRight" state="frozen"/>
      <selection pane="topRight" activeCell="D1" sqref="D1"/>
      <selection pane="bottomLeft" activeCell="A8" sqref="A8"/>
      <selection pane="bottomRight" activeCell="D5" sqref="D5"/>
    </sheetView>
  </sheetViews>
  <sheetFormatPr defaultColWidth="9.140625" defaultRowHeight="15" x14ac:dyDescent="0.3"/>
  <cols>
    <col min="1" max="1" width="3.7109375" style="1833" customWidth="1"/>
    <col min="2" max="2" width="17" style="1832" bestFit="1" customWidth="1"/>
    <col min="3" max="3" width="17.7109375" style="1833" bestFit="1" customWidth="1"/>
    <col min="4" max="4" width="47.140625" style="1833" bestFit="1" customWidth="1"/>
    <col min="5" max="5" width="17.85546875" style="1833" customWidth="1"/>
    <col min="6" max="6" width="12.85546875" style="1833" customWidth="1"/>
    <col min="7" max="7" width="28.140625" style="1833" customWidth="1"/>
    <col min="8" max="8" width="13.28515625" style="1833" customWidth="1"/>
    <col min="9" max="10" width="18.85546875" style="1833" customWidth="1"/>
    <col min="11" max="11" width="34.7109375" style="1834" bestFit="1" customWidth="1"/>
    <col min="12" max="12" width="11.7109375" style="1833" bestFit="1" customWidth="1"/>
    <col min="13" max="13" width="12.140625" style="1834" customWidth="1"/>
    <col min="14" max="14" width="12.42578125" style="1833" bestFit="1" customWidth="1"/>
    <col min="15" max="15" width="34.85546875" style="1833" bestFit="1" customWidth="1"/>
    <col min="16" max="16" width="23.7109375" style="1834" hidden="1" customWidth="1"/>
    <col min="17" max="17" width="12.5703125" style="1833" hidden="1" customWidth="1"/>
    <col min="18" max="18" width="12.7109375" style="1834" hidden="1" customWidth="1"/>
    <col min="19" max="19" width="16.7109375" style="1833" hidden="1" customWidth="1"/>
    <col min="20" max="20" width="40.140625" style="1835" hidden="1" customWidth="1"/>
    <col min="21" max="21" width="0" style="1833" hidden="1" customWidth="1"/>
    <col min="22" max="16384" width="9.140625" style="1833"/>
  </cols>
  <sheetData>
    <row r="1" spans="2:21" x14ac:dyDescent="0.3">
      <c r="N1" s="1834"/>
    </row>
    <row r="2" spans="2:21" x14ac:dyDescent="0.3">
      <c r="B2" s="1836" t="s">
        <v>3169</v>
      </c>
      <c r="N2" s="1834"/>
    </row>
    <row r="3" spans="2:21" x14ac:dyDescent="0.3">
      <c r="B3" s="1836" t="s">
        <v>3185</v>
      </c>
      <c r="N3" s="1834"/>
    </row>
    <row r="4" spans="2:21" x14ac:dyDescent="0.3">
      <c r="B4" s="1836"/>
      <c r="K4" s="1837">
        <f>+K6-K5</f>
        <v>44.730000000010477</v>
      </c>
      <c r="L4" s="1838">
        <f>+L6-L5</f>
        <v>0</v>
      </c>
      <c r="M4" s="1837">
        <f>+M5-M6</f>
        <v>1823.6399999999994</v>
      </c>
      <c r="N4" s="1837">
        <f>+N5-N6</f>
        <v>0</v>
      </c>
      <c r="O4" s="1839">
        <f>+K4+M4</f>
        <v>1868.3700000000099</v>
      </c>
    </row>
    <row r="5" spans="2:21" x14ac:dyDescent="0.3">
      <c r="B5" s="1836" t="s">
        <v>3215</v>
      </c>
      <c r="H5" s="1840">
        <v>45383</v>
      </c>
      <c r="I5" s="1841"/>
      <c r="J5" s="1841" t="s">
        <v>3216</v>
      </c>
      <c r="K5" s="1842">
        <v>81683.09</v>
      </c>
      <c r="L5" s="1842">
        <v>259248.1</v>
      </c>
      <c r="M5" s="1842">
        <v>91954.64</v>
      </c>
      <c r="N5" s="1842">
        <v>0</v>
      </c>
      <c r="O5" s="1842">
        <v>248976.55</v>
      </c>
      <c r="P5" s="1843" t="s">
        <v>3217</v>
      </c>
      <c r="Q5" s="1832"/>
      <c r="R5" s="1843"/>
      <c r="S5" s="1832"/>
    </row>
    <row r="6" spans="2:21" x14ac:dyDescent="0.3">
      <c r="H6" s="1840">
        <v>45747</v>
      </c>
      <c r="I6" s="1840"/>
      <c r="J6" s="1840"/>
      <c r="K6" s="1844">
        <f t="shared" ref="K6:S6" si="0">+SUBTOTAL(9,K8:K50)</f>
        <v>81727.820000000007</v>
      </c>
      <c r="L6" s="1844">
        <f t="shared" si="0"/>
        <v>259248.1</v>
      </c>
      <c r="M6" s="1844">
        <f t="shared" si="0"/>
        <v>90131</v>
      </c>
      <c r="N6" s="1844">
        <f t="shared" si="0"/>
        <v>0</v>
      </c>
      <c r="O6" s="1844">
        <f t="shared" si="0"/>
        <v>250844.92</v>
      </c>
      <c r="P6" s="1844">
        <f t="shared" si="0"/>
        <v>278342.21999999997</v>
      </c>
      <c r="Q6" s="1844">
        <f t="shared" si="0"/>
        <v>-27497.300000000003</v>
      </c>
      <c r="R6" s="1844">
        <f t="shared" si="0"/>
        <v>91954.68</v>
      </c>
      <c r="S6" s="1844">
        <f t="shared" si="0"/>
        <v>-1823.68</v>
      </c>
    </row>
    <row r="7" spans="2:21" ht="75" x14ac:dyDescent="0.3">
      <c r="B7" s="1845" t="s">
        <v>3218</v>
      </c>
      <c r="C7" s="1845" t="s">
        <v>3219</v>
      </c>
      <c r="D7" s="1845" t="s">
        <v>20</v>
      </c>
      <c r="E7" s="1845" t="s">
        <v>3220</v>
      </c>
      <c r="F7" s="1845" t="s">
        <v>3221</v>
      </c>
      <c r="G7" s="1845" t="s">
        <v>3222</v>
      </c>
      <c r="H7" s="1845" t="s">
        <v>3223</v>
      </c>
      <c r="I7" s="1845" t="s">
        <v>3224</v>
      </c>
      <c r="J7" s="1846" t="s">
        <v>3225</v>
      </c>
      <c r="K7" s="1847" t="s">
        <v>3226</v>
      </c>
      <c r="L7" s="1845" t="s">
        <v>182</v>
      </c>
      <c r="M7" s="1848" t="s">
        <v>3227</v>
      </c>
      <c r="N7" s="1849" t="s">
        <v>3228</v>
      </c>
      <c r="O7" s="1846" t="s">
        <v>3229</v>
      </c>
      <c r="P7" s="1847" t="s">
        <v>3230</v>
      </c>
      <c r="Q7" s="1846" t="s">
        <v>3231</v>
      </c>
      <c r="R7" s="1847" t="s">
        <v>3232</v>
      </c>
      <c r="S7" s="1846" t="s">
        <v>3233</v>
      </c>
      <c r="T7" s="1846" t="s">
        <v>3234</v>
      </c>
      <c r="U7" s="1850"/>
    </row>
    <row r="8" spans="2:21" x14ac:dyDescent="0.3">
      <c r="B8" s="1851" t="s">
        <v>3235</v>
      </c>
      <c r="C8" s="1852" t="s">
        <v>2129</v>
      </c>
      <c r="D8" s="1853" t="s">
        <v>3236</v>
      </c>
      <c r="E8" s="1854">
        <v>42275</v>
      </c>
      <c r="F8" s="1853">
        <v>3</v>
      </c>
      <c r="G8" s="1854">
        <f>+DATE(YEAR(E8)+F8,MONTH(E8),DAY(E8))</f>
        <v>43371</v>
      </c>
      <c r="H8" s="1855">
        <f>+IF(AND(E8&lt;$H$5,G8&gt;$H$6),$H$6-$H$5+1,IF(AND(E8&lt;$H$5,G8&lt;$H$6,G8&gt;$H$5),G8-$H$5+1,IF(AND(E8&gt;=$H$5,G8&gt;$H$6),$H$6-E8+1,0)))</f>
        <v>0</v>
      </c>
      <c r="I8" s="1856">
        <v>0.63160000000000005</v>
      </c>
      <c r="J8" s="1855">
        <v>13650</v>
      </c>
      <c r="K8" s="1855">
        <v>683</v>
      </c>
      <c r="L8" s="1855">
        <v>0</v>
      </c>
      <c r="M8" s="1855">
        <f>+(ROUND((K8+L8)*I8/365*H8,0))</f>
        <v>0</v>
      </c>
      <c r="N8" s="1855">
        <v>0</v>
      </c>
      <c r="O8" s="1855">
        <f t="shared" ref="O8:O50" si="1">+K8+L8-M8-N8</f>
        <v>683</v>
      </c>
      <c r="P8" s="1855">
        <v>683</v>
      </c>
      <c r="Q8" s="1857">
        <f>+O8-P8</f>
        <v>0</v>
      </c>
      <c r="R8" s="1855">
        <v>0</v>
      </c>
      <c r="S8" s="1857">
        <f>+M8-R8</f>
        <v>0</v>
      </c>
      <c r="T8" s="1858"/>
      <c r="U8" s="1859"/>
    </row>
    <row r="9" spans="2:21" x14ac:dyDescent="0.3">
      <c r="B9" s="1851"/>
      <c r="C9" s="1860">
        <f>+SUM(K8:K27)</f>
        <v>58994.569999999992</v>
      </c>
      <c r="D9" s="1861" t="s">
        <v>3237</v>
      </c>
      <c r="E9" s="1854">
        <v>42830</v>
      </c>
      <c r="F9" s="1853">
        <v>3</v>
      </c>
      <c r="G9" s="1854">
        <f t="shared" ref="G9:G50" si="2">+DATE(YEAR(E9)+F9,MONTH(E9),DAY(E9))</f>
        <v>43926</v>
      </c>
      <c r="H9" s="1855">
        <f t="shared" ref="H9:H50" si="3">+IF(AND(E9&lt;$H$5,G9&gt;$H$6),$H$6-$H$5+1,IF(AND(E9&lt;$H$5,G9&lt;$H$6,G9&gt;$H$5),G9-$H$5+1,IF(AND(E9&gt;=$H$5,G9&gt;$H$6),$H$6-E9+1,0)))</f>
        <v>0</v>
      </c>
      <c r="I9" s="1856">
        <v>0.63160000000000005</v>
      </c>
      <c r="J9" s="1855">
        <v>71449</v>
      </c>
      <c r="K9" s="1855">
        <v>3572</v>
      </c>
      <c r="L9" s="1855">
        <v>0</v>
      </c>
      <c r="M9" s="1855">
        <f t="shared" ref="M9:M50" si="4">+(ROUND((K9+L9)*I9/365*H9,0))</f>
        <v>0</v>
      </c>
      <c r="N9" s="1855">
        <v>0</v>
      </c>
      <c r="O9" s="1855">
        <f t="shared" si="1"/>
        <v>3572</v>
      </c>
      <c r="P9" s="1855">
        <v>3572</v>
      </c>
      <c r="Q9" s="1857">
        <f t="shared" ref="Q9:Q50" si="5">+O9-P9</f>
        <v>0</v>
      </c>
      <c r="R9" s="1855">
        <v>0</v>
      </c>
      <c r="S9" s="1857">
        <f t="shared" ref="S9:S50" si="6">+M9-R9</f>
        <v>0</v>
      </c>
      <c r="T9" s="1858"/>
      <c r="U9" s="1862"/>
    </row>
    <row r="10" spans="2:21" x14ac:dyDescent="0.3">
      <c r="B10" s="1851"/>
      <c r="C10" s="1862"/>
      <c r="D10" s="1853" t="s">
        <v>3238</v>
      </c>
      <c r="E10" s="1854">
        <v>43405</v>
      </c>
      <c r="F10" s="1853">
        <v>3</v>
      </c>
      <c r="G10" s="1854">
        <f t="shared" si="2"/>
        <v>44501</v>
      </c>
      <c r="H10" s="1855">
        <f t="shared" si="3"/>
        <v>0</v>
      </c>
      <c r="I10" s="1856">
        <v>0.63160000000000005</v>
      </c>
      <c r="J10" s="1855">
        <v>300000</v>
      </c>
      <c r="K10" s="1855">
        <v>15000</v>
      </c>
      <c r="L10" s="1855">
        <v>0</v>
      </c>
      <c r="M10" s="1855">
        <f t="shared" si="4"/>
        <v>0</v>
      </c>
      <c r="N10" s="1855">
        <v>0</v>
      </c>
      <c r="O10" s="1855">
        <f t="shared" si="1"/>
        <v>15000</v>
      </c>
      <c r="P10" s="1855">
        <v>15000</v>
      </c>
      <c r="Q10" s="1857">
        <f t="shared" si="5"/>
        <v>0</v>
      </c>
      <c r="R10" s="1855">
        <v>0</v>
      </c>
      <c r="S10" s="1857">
        <f t="shared" si="6"/>
        <v>0</v>
      </c>
      <c r="T10" s="1858"/>
      <c r="U10" s="1862"/>
    </row>
    <row r="11" spans="2:21" ht="27.75" x14ac:dyDescent="0.3">
      <c r="B11" s="1851"/>
      <c r="C11" s="1862"/>
      <c r="D11" s="1853" t="s">
        <v>3239</v>
      </c>
      <c r="E11" s="1854">
        <v>43570</v>
      </c>
      <c r="F11" s="1853">
        <v>3</v>
      </c>
      <c r="G11" s="1854">
        <f t="shared" si="2"/>
        <v>44666</v>
      </c>
      <c r="H11" s="1855">
        <f t="shared" si="3"/>
        <v>0</v>
      </c>
      <c r="I11" s="1856">
        <v>0.63160000000000005</v>
      </c>
      <c r="J11" s="1855">
        <v>0</v>
      </c>
      <c r="K11" s="1855">
        <v>0</v>
      </c>
      <c r="L11" s="1855">
        <v>0</v>
      </c>
      <c r="M11" s="1855">
        <f t="shared" si="4"/>
        <v>0</v>
      </c>
      <c r="N11" s="1855">
        <v>0</v>
      </c>
      <c r="O11" s="1855">
        <f t="shared" si="1"/>
        <v>0</v>
      </c>
      <c r="P11" s="1855">
        <v>2425</v>
      </c>
      <c r="Q11" s="1857">
        <f t="shared" si="5"/>
        <v>-2425</v>
      </c>
      <c r="R11" s="1855">
        <v>0</v>
      </c>
      <c r="S11" s="1857">
        <f t="shared" si="6"/>
        <v>0</v>
      </c>
      <c r="T11" s="1858" t="s">
        <v>3240</v>
      </c>
      <c r="U11" s="1853" t="s">
        <v>3241</v>
      </c>
    </row>
    <row r="12" spans="2:21" ht="27.75" x14ac:dyDescent="0.3">
      <c r="B12" s="1851"/>
      <c r="C12" s="1862"/>
      <c r="D12" s="1853" t="s">
        <v>3242</v>
      </c>
      <c r="E12" s="1854">
        <v>43355</v>
      </c>
      <c r="F12" s="1853">
        <v>3</v>
      </c>
      <c r="G12" s="1854">
        <f t="shared" si="2"/>
        <v>44451</v>
      </c>
      <c r="H12" s="1855">
        <f t="shared" si="3"/>
        <v>0</v>
      </c>
      <c r="I12" s="1856">
        <v>0.63160000000000005</v>
      </c>
      <c r="J12" s="1855">
        <v>0</v>
      </c>
      <c r="K12" s="1855">
        <v>0</v>
      </c>
      <c r="L12" s="1855">
        <v>0</v>
      </c>
      <c r="M12" s="1855">
        <f t="shared" si="4"/>
        <v>0</v>
      </c>
      <c r="N12" s="1855">
        <v>0</v>
      </c>
      <c r="O12" s="1855">
        <f t="shared" si="1"/>
        <v>0</v>
      </c>
      <c r="P12" s="1855">
        <v>1662.5</v>
      </c>
      <c r="Q12" s="1857">
        <f t="shared" si="5"/>
        <v>-1662.5</v>
      </c>
      <c r="R12" s="1855">
        <v>0</v>
      </c>
      <c r="S12" s="1857">
        <f t="shared" si="6"/>
        <v>0</v>
      </c>
      <c r="T12" s="1858" t="s">
        <v>3240</v>
      </c>
      <c r="U12" s="1853" t="s">
        <v>3241</v>
      </c>
    </row>
    <row r="13" spans="2:21" x14ac:dyDescent="0.3">
      <c r="B13" s="1851"/>
      <c r="C13" s="1862"/>
      <c r="D13" s="1853" t="s">
        <v>3243</v>
      </c>
      <c r="E13" s="1854">
        <v>43542</v>
      </c>
      <c r="F13" s="1853">
        <v>3</v>
      </c>
      <c r="G13" s="1854">
        <f t="shared" si="2"/>
        <v>44638</v>
      </c>
      <c r="H13" s="1855">
        <f t="shared" si="3"/>
        <v>0</v>
      </c>
      <c r="I13" s="1856">
        <v>0.63160000000000005</v>
      </c>
      <c r="J13" s="1855">
        <v>145725</v>
      </c>
      <c r="K13" s="1855">
        <v>7286.25</v>
      </c>
      <c r="L13" s="1855">
        <v>0</v>
      </c>
      <c r="M13" s="1855">
        <f t="shared" si="4"/>
        <v>0</v>
      </c>
      <c r="N13" s="1855">
        <v>0</v>
      </c>
      <c r="O13" s="1855">
        <f t="shared" si="1"/>
        <v>7286.25</v>
      </c>
      <c r="P13" s="1855">
        <v>7286.25</v>
      </c>
      <c r="Q13" s="1857">
        <f t="shared" si="5"/>
        <v>0</v>
      </c>
      <c r="R13" s="1855">
        <v>0</v>
      </c>
      <c r="S13" s="1857">
        <f t="shared" si="6"/>
        <v>0</v>
      </c>
      <c r="T13" s="1858"/>
      <c r="U13" s="1862"/>
    </row>
    <row r="14" spans="2:21" x14ac:dyDescent="0.3">
      <c r="B14" s="1851"/>
      <c r="C14" s="1862"/>
      <c r="D14" s="1853" t="s">
        <v>3244</v>
      </c>
      <c r="E14" s="1854">
        <v>43591</v>
      </c>
      <c r="F14" s="1853">
        <v>3</v>
      </c>
      <c r="G14" s="1854">
        <f t="shared" si="2"/>
        <v>44687</v>
      </c>
      <c r="H14" s="1855">
        <f t="shared" si="3"/>
        <v>0</v>
      </c>
      <c r="I14" s="1856">
        <v>0.63160000000000005</v>
      </c>
      <c r="J14" s="1855">
        <v>145000</v>
      </c>
      <c r="K14" s="1855">
        <v>7250</v>
      </c>
      <c r="L14" s="1855">
        <v>0</v>
      </c>
      <c r="M14" s="1855">
        <f t="shared" si="4"/>
        <v>0</v>
      </c>
      <c r="N14" s="1855">
        <v>0</v>
      </c>
      <c r="O14" s="1855">
        <f t="shared" si="1"/>
        <v>7250</v>
      </c>
      <c r="P14" s="1855">
        <v>7250</v>
      </c>
      <c r="Q14" s="1857">
        <f t="shared" si="5"/>
        <v>0</v>
      </c>
      <c r="R14" s="1855">
        <v>0</v>
      </c>
      <c r="S14" s="1857">
        <f t="shared" si="6"/>
        <v>0</v>
      </c>
      <c r="T14" s="1858"/>
      <c r="U14" s="1862"/>
    </row>
    <row r="15" spans="2:21" x14ac:dyDescent="0.3">
      <c r="B15" s="1851"/>
      <c r="C15" s="1862"/>
      <c r="D15" s="1853" t="s">
        <v>3245</v>
      </c>
      <c r="E15" s="1854">
        <v>43293</v>
      </c>
      <c r="F15" s="1853">
        <v>3</v>
      </c>
      <c r="G15" s="1854">
        <f t="shared" si="2"/>
        <v>44389</v>
      </c>
      <c r="H15" s="1855">
        <f t="shared" si="3"/>
        <v>0</v>
      </c>
      <c r="I15" s="1856">
        <v>0.63160000000000005</v>
      </c>
      <c r="J15" s="1855">
        <v>5579</v>
      </c>
      <c r="K15" s="1855">
        <v>278.95</v>
      </c>
      <c r="L15" s="1855">
        <v>0</v>
      </c>
      <c r="M15" s="1855">
        <f t="shared" si="4"/>
        <v>0</v>
      </c>
      <c r="N15" s="1855">
        <v>0</v>
      </c>
      <c r="O15" s="1855">
        <f t="shared" si="1"/>
        <v>278.95</v>
      </c>
      <c r="P15" s="1855">
        <v>278.95</v>
      </c>
      <c r="Q15" s="1857">
        <f t="shared" si="5"/>
        <v>0</v>
      </c>
      <c r="R15" s="1855">
        <v>0</v>
      </c>
      <c r="S15" s="1857">
        <f t="shared" si="6"/>
        <v>0</v>
      </c>
      <c r="T15" s="1858"/>
      <c r="U15" s="1862"/>
    </row>
    <row r="16" spans="2:21" x14ac:dyDescent="0.3">
      <c r="B16" s="1851"/>
      <c r="C16" s="1862"/>
      <c r="D16" s="1853" t="s">
        <v>3246</v>
      </c>
      <c r="E16" s="1854">
        <v>43398</v>
      </c>
      <c r="F16" s="1853">
        <v>3</v>
      </c>
      <c r="G16" s="1854">
        <f t="shared" si="2"/>
        <v>44494</v>
      </c>
      <c r="H16" s="1855">
        <f t="shared" si="3"/>
        <v>0</v>
      </c>
      <c r="I16" s="1856">
        <v>0.63160000000000005</v>
      </c>
      <c r="J16" s="1855">
        <v>52349</v>
      </c>
      <c r="K16" s="1855">
        <v>2617.4499999999998</v>
      </c>
      <c r="L16" s="1855">
        <v>0</v>
      </c>
      <c r="M16" s="1855">
        <f t="shared" si="4"/>
        <v>0</v>
      </c>
      <c r="N16" s="1855">
        <v>0</v>
      </c>
      <c r="O16" s="1855">
        <f t="shared" si="1"/>
        <v>2617.4499999999998</v>
      </c>
      <c r="P16" s="1855">
        <v>2617.4499999999998</v>
      </c>
      <c r="Q16" s="1857">
        <f t="shared" si="5"/>
        <v>0</v>
      </c>
      <c r="R16" s="1855">
        <v>0</v>
      </c>
      <c r="S16" s="1857">
        <f t="shared" si="6"/>
        <v>0</v>
      </c>
      <c r="T16" s="1858"/>
      <c r="U16" s="1862"/>
    </row>
    <row r="17" spans="2:21" x14ac:dyDescent="0.3">
      <c r="B17" s="1851"/>
      <c r="C17" s="1862"/>
      <c r="D17" s="1853" t="s">
        <v>3246</v>
      </c>
      <c r="E17" s="1854">
        <v>43490</v>
      </c>
      <c r="F17" s="1853">
        <v>3</v>
      </c>
      <c r="G17" s="1854">
        <f t="shared" si="2"/>
        <v>44586</v>
      </c>
      <c r="H17" s="1855">
        <f t="shared" si="3"/>
        <v>0</v>
      </c>
      <c r="I17" s="1856">
        <v>0.63160000000000005</v>
      </c>
      <c r="J17" s="1855">
        <v>31298.42</v>
      </c>
      <c r="K17" s="1855">
        <v>1564.92</v>
      </c>
      <c r="L17" s="1855">
        <v>0</v>
      </c>
      <c r="M17" s="1855">
        <f t="shared" si="4"/>
        <v>0</v>
      </c>
      <c r="N17" s="1855">
        <v>0</v>
      </c>
      <c r="O17" s="1855">
        <f t="shared" si="1"/>
        <v>1564.92</v>
      </c>
      <c r="P17" s="1855">
        <v>1564.92</v>
      </c>
      <c r="Q17" s="1857">
        <f t="shared" si="5"/>
        <v>0</v>
      </c>
      <c r="R17" s="1855">
        <v>0</v>
      </c>
      <c r="S17" s="1857">
        <f t="shared" si="6"/>
        <v>0</v>
      </c>
      <c r="T17" s="1858"/>
      <c r="U17" s="1862"/>
    </row>
    <row r="18" spans="2:21" x14ac:dyDescent="0.3">
      <c r="B18" s="1851"/>
      <c r="C18" s="1862"/>
      <c r="D18" s="1853" t="s">
        <v>3247</v>
      </c>
      <c r="E18" s="1854">
        <v>43561</v>
      </c>
      <c r="F18" s="1853">
        <v>3</v>
      </c>
      <c r="G18" s="1854">
        <f t="shared" si="2"/>
        <v>44657</v>
      </c>
      <c r="H18" s="1855">
        <f t="shared" si="3"/>
        <v>0</v>
      </c>
      <c r="I18" s="1856">
        <v>0.63160000000000005</v>
      </c>
      <c r="J18" s="1855">
        <v>20890</v>
      </c>
      <c r="K18" s="1855">
        <v>1044.5</v>
      </c>
      <c r="L18" s="1855">
        <v>0</v>
      </c>
      <c r="M18" s="1855">
        <f t="shared" si="4"/>
        <v>0</v>
      </c>
      <c r="N18" s="1855">
        <v>0</v>
      </c>
      <c r="O18" s="1855">
        <f t="shared" si="1"/>
        <v>1044.5</v>
      </c>
      <c r="P18" s="1855">
        <v>1044.5</v>
      </c>
      <c r="Q18" s="1857">
        <f t="shared" si="5"/>
        <v>0</v>
      </c>
      <c r="R18" s="1855">
        <v>0</v>
      </c>
      <c r="S18" s="1857">
        <f t="shared" si="6"/>
        <v>0</v>
      </c>
      <c r="T18" s="1858"/>
      <c r="U18" s="1862"/>
    </row>
    <row r="19" spans="2:21" x14ac:dyDescent="0.3">
      <c r="B19" s="1851"/>
      <c r="C19" s="1862"/>
      <c r="D19" s="1853" t="s">
        <v>3248</v>
      </c>
      <c r="E19" s="1854">
        <v>43623</v>
      </c>
      <c r="F19" s="1853">
        <v>3</v>
      </c>
      <c r="G19" s="1854">
        <f t="shared" si="2"/>
        <v>44719</v>
      </c>
      <c r="H19" s="1855">
        <f t="shared" si="3"/>
        <v>0</v>
      </c>
      <c r="I19" s="1856">
        <v>0.63160000000000005</v>
      </c>
      <c r="J19" s="1855">
        <v>27150</v>
      </c>
      <c r="K19" s="1855">
        <v>1357.5</v>
      </c>
      <c r="L19" s="1855">
        <v>0</v>
      </c>
      <c r="M19" s="1855">
        <f t="shared" si="4"/>
        <v>0</v>
      </c>
      <c r="N19" s="1855">
        <v>0</v>
      </c>
      <c r="O19" s="1855">
        <f t="shared" si="1"/>
        <v>1357.5</v>
      </c>
      <c r="P19" s="1855">
        <v>1357.5</v>
      </c>
      <c r="Q19" s="1857">
        <f t="shared" si="5"/>
        <v>0</v>
      </c>
      <c r="R19" s="1855">
        <v>0</v>
      </c>
      <c r="S19" s="1857">
        <f t="shared" si="6"/>
        <v>0</v>
      </c>
      <c r="T19" s="1858"/>
      <c r="U19" s="1862"/>
    </row>
    <row r="20" spans="2:21" ht="27.75" x14ac:dyDescent="0.3">
      <c r="B20" s="1851"/>
      <c r="C20" s="1862"/>
      <c r="D20" s="1853" t="s">
        <v>3249</v>
      </c>
      <c r="E20" s="1854">
        <v>44183</v>
      </c>
      <c r="F20" s="1853">
        <v>3</v>
      </c>
      <c r="G20" s="1854">
        <f t="shared" si="2"/>
        <v>45278</v>
      </c>
      <c r="H20" s="1855">
        <f t="shared" si="3"/>
        <v>0</v>
      </c>
      <c r="I20" s="1856">
        <v>0.63160000000000005</v>
      </c>
      <c r="J20" s="1855">
        <v>0</v>
      </c>
      <c r="K20" s="1855">
        <v>0</v>
      </c>
      <c r="L20" s="1855">
        <v>0</v>
      </c>
      <c r="M20" s="1855">
        <f t="shared" si="4"/>
        <v>0</v>
      </c>
      <c r="N20" s="1855">
        <v>0</v>
      </c>
      <c r="O20" s="1855">
        <f t="shared" si="1"/>
        <v>0</v>
      </c>
      <c r="P20" s="1855">
        <v>7490</v>
      </c>
      <c r="Q20" s="1857">
        <f t="shared" si="5"/>
        <v>-7490</v>
      </c>
      <c r="R20" s="1855">
        <v>0</v>
      </c>
      <c r="S20" s="1857">
        <f t="shared" si="6"/>
        <v>0</v>
      </c>
      <c r="T20" s="1858" t="s">
        <v>3240</v>
      </c>
      <c r="U20" s="1853" t="s">
        <v>3241</v>
      </c>
    </row>
    <row r="21" spans="2:21" x14ac:dyDescent="0.3">
      <c r="B21" s="1851"/>
      <c r="C21" s="1862"/>
      <c r="D21" s="1853" t="s">
        <v>3250</v>
      </c>
      <c r="E21" s="1854">
        <v>44274</v>
      </c>
      <c r="F21" s="1853">
        <v>3</v>
      </c>
      <c r="G21" s="1854">
        <f t="shared" si="2"/>
        <v>45370</v>
      </c>
      <c r="H21" s="1855">
        <f t="shared" si="3"/>
        <v>0</v>
      </c>
      <c r="I21" s="1856">
        <v>0.63160000000000005</v>
      </c>
      <c r="J21" s="1855">
        <v>60000</v>
      </c>
      <c r="K21" s="1855">
        <v>3000</v>
      </c>
      <c r="L21" s="1855">
        <v>0</v>
      </c>
      <c r="M21" s="1855">
        <f t="shared" si="4"/>
        <v>0</v>
      </c>
      <c r="N21" s="1855">
        <v>0</v>
      </c>
      <c r="O21" s="1855">
        <f t="shared" si="1"/>
        <v>3000</v>
      </c>
      <c r="P21" s="1855">
        <v>3000</v>
      </c>
      <c r="Q21" s="1857">
        <f t="shared" si="5"/>
        <v>0</v>
      </c>
      <c r="R21" s="1855">
        <v>0</v>
      </c>
      <c r="S21" s="1857">
        <f t="shared" si="6"/>
        <v>0</v>
      </c>
      <c r="T21" s="1858"/>
      <c r="U21" s="1862"/>
    </row>
    <row r="22" spans="2:21" x14ac:dyDescent="0.3">
      <c r="B22" s="1851"/>
      <c r="C22" s="1862"/>
      <c r="D22" s="1853" t="s">
        <v>3250</v>
      </c>
      <c r="E22" s="1854">
        <v>44274</v>
      </c>
      <c r="F22" s="1853">
        <v>3</v>
      </c>
      <c r="G22" s="1854">
        <f t="shared" si="2"/>
        <v>45370</v>
      </c>
      <c r="H22" s="1855">
        <f t="shared" si="3"/>
        <v>0</v>
      </c>
      <c r="I22" s="1856">
        <v>0.63160000000000005</v>
      </c>
      <c r="J22" s="1855">
        <v>60000</v>
      </c>
      <c r="K22" s="1855">
        <v>3000</v>
      </c>
      <c r="L22" s="1855">
        <v>0</v>
      </c>
      <c r="M22" s="1855">
        <f t="shared" si="4"/>
        <v>0</v>
      </c>
      <c r="N22" s="1855">
        <v>0</v>
      </c>
      <c r="O22" s="1855">
        <f t="shared" si="1"/>
        <v>3000</v>
      </c>
      <c r="P22" s="1855">
        <v>3000</v>
      </c>
      <c r="Q22" s="1857">
        <f t="shared" si="5"/>
        <v>0</v>
      </c>
      <c r="R22" s="1855">
        <v>0</v>
      </c>
      <c r="S22" s="1857">
        <f t="shared" si="6"/>
        <v>0</v>
      </c>
      <c r="T22" s="1858"/>
      <c r="U22" s="1862"/>
    </row>
    <row r="23" spans="2:21" x14ac:dyDescent="0.3">
      <c r="B23" s="1851"/>
      <c r="C23" s="1862"/>
      <c r="D23" s="1853" t="s">
        <v>3251</v>
      </c>
      <c r="E23" s="1854">
        <v>44691</v>
      </c>
      <c r="F23" s="1853">
        <v>3</v>
      </c>
      <c r="G23" s="1854">
        <f t="shared" si="2"/>
        <v>45787</v>
      </c>
      <c r="H23" s="1855">
        <f t="shared" si="3"/>
        <v>365</v>
      </c>
      <c r="I23" s="1856">
        <v>0.63160000000000005</v>
      </c>
      <c r="J23" s="1855">
        <v>67284</v>
      </c>
      <c r="K23" s="1855">
        <v>10848</v>
      </c>
      <c r="L23" s="1855">
        <v>0</v>
      </c>
      <c r="M23" s="1855">
        <f t="shared" si="4"/>
        <v>6852</v>
      </c>
      <c r="N23" s="1855">
        <v>0</v>
      </c>
      <c r="O23" s="1855">
        <f t="shared" si="1"/>
        <v>3996</v>
      </c>
      <c r="P23" s="1855">
        <v>3996</v>
      </c>
      <c r="Q23" s="1857">
        <f t="shared" si="5"/>
        <v>0</v>
      </c>
      <c r="R23" s="1855">
        <v>6852</v>
      </c>
      <c r="S23" s="1857">
        <f t="shared" si="6"/>
        <v>0</v>
      </c>
      <c r="T23" s="1858"/>
      <c r="U23" s="1862"/>
    </row>
    <row r="24" spans="2:21" x14ac:dyDescent="0.3">
      <c r="B24" s="1851"/>
      <c r="C24" s="1862"/>
      <c r="D24" s="1853" t="s">
        <v>3252</v>
      </c>
      <c r="E24" s="1854">
        <v>45449</v>
      </c>
      <c r="F24" s="1853">
        <v>3</v>
      </c>
      <c r="G24" s="1854">
        <f t="shared" si="2"/>
        <v>46544</v>
      </c>
      <c r="H24" s="1855">
        <f t="shared" si="3"/>
        <v>299</v>
      </c>
      <c r="I24" s="1856">
        <v>0.63160000000000005</v>
      </c>
      <c r="J24" s="1855">
        <v>101250</v>
      </c>
      <c r="K24" s="1855">
        <v>0</v>
      </c>
      <c r="L24" s="1855">
        <v>101250</v>
      </c>
      <c r="M24" s="1855">
        <f t="shared" si="4"/>
        <v>52386</v>
      </c>
      <c r="N24" s="1855">
        <v>0</v>
      </c>
      <c r="O24" s="1855">
        <f t="shared" si="1"/>
        <v>48864</v>
      </c>
      <c r="P24" s="1855">
        <v>49039</v>
      </c>
      <c r="Q24" s="1857">
        <f t="shared" si="5"/>
        <v>-175</v>
      </c>
      <c r="R24" s="1855">
        <v>52211</v>
      </c>
      <c r="S24" s="1857">
        <f t="shared" si="6"/>
        <v>175</v>
      </c>
      <c r="T24" s="1863" t="s">
        <v>3241</v>
      </c>
      <c r="U24" s="1853" t="s">
        <v>3241</v>
      </c>
    </row>
    <row r="25" spans="2:21" x14ac:dyDescent="0.3">
      <c r="B25" s="1851"/>
      <c r="C25" s="1862"/>
      <c r="D25" s="1853" t="s">
        <v>3076</v>
      </c>
      <c r="E25" s="1864">
        <v>45611</v>
      </c>
      <c r="F25" s="1865">
        <v>3</v>
      </c>
      <c r="G25" s="1854">
        <f t="shared" si="2"/>
        <v>46706</v>
      </c>
      <c r="H25" s="1855">
        <f t="shared" si="3"/>
        <v>137</v>
      </c>
      <c r="I25" s="1856">
        <v>0.63160000000000005</v>
      </c>
      <c r="J25" s="1855">
        <v>108750</v>
      </c>
      <c r="K25" s="1855">
        <v>0</v>
      </c>
      <c r="L25" s="1855">
        <v>108750</v>
      </c>
      <c r="M25" s="1855">
        <f t="shared" si="4"/>
        <v>25781</v>
      </c>
      <c r="N25" s="1855">
        <v>0</v>
      </c>
      <c r="O25" s="1855">
        <f t="shared" si="1"/>
        <v>82969</v>
      </c>
      <c r="P25" s="1855">
        <v>83157</v>
      </c>
      <c r="Q25" s="1857">
        <f t="shared" si="5"/>
        <v>-188</v>
      </c>
      <c r="R25" s="1855">
        <v>25593</v>
      </c>
      <c r="S25" s="1857">
        <f t="shared" si="6"/>
        <v>188</v>
      </c>
      <c r="T25" s="1863" t="s">
        <v>3241</v>
      </c>
      <c r="U25" s="1853" t="s">
        <v>3241</v>
      </c>
    </row>
    <row r="26" spans="2:21" x14ac:dyDescent="0.3">
      <c r="B26" s="1851"/>
      <c r="C26" s="1862"/>
      <c r="D26" s="1853"/>
      <c r="E26" s="1864"/>
      <c r="F26" s="1865"/>
      <c r="G26" s="1854"/>
      <c r="H26" s="1855"/>
      <c r="I26" s="1856"/>
      <c r="J26" s="1855"/>
      <c r="K26" s="1855"/>
      <c r="L26" s="1855"/>
      <c r="M26" s="1855"/>
      <c r="N26" s="1855"/>
      <c r="O26" s="1855"/>
      <c r="P26" s="1855"/>
      <c r="Q26" s="1857"/>
      <c r="R26" s="1855"/>
      <c r="S26" s="1857"/>
      <c r="T26" s="1858"/>
      <c r="U26" s="1862"/>
    </row>
    <row r="27" spans="2:21" x14ac:dyDescent="0.3">
      <c r="B27" s="1851"/>
      <c r="C27" s="1862" t="s">
        <v>3253</v>
      </c>
      <c r="D27" s="1853" t="s">
        <v>3254</v>
      </c>
      <c r="E27" s="1854">
        <v>43696</v>
      </c>
      <c r="F27" s="1853">
        <v>10</v>
      </c>
      <c r="G27" s="1854">
        <f t="shared" si="2"/>
        <v>47349</v>
      </c>
      <c r="H27" s="1855">
        <f t="shared" si="3"/>
        <v>365</v>
      </c>
      <c r="I27" s="1856">
        <v>0.25890000000000002</v>
      </c>
      <c r="J27" s="1855">
        <v>7500</v>
      </c>
      <c r="K27" s="1855">
        <v>1492</v>
      </c>
      <c r="L27" s="1855">
        <v>0</v>
      </c>
      <c r="M27" s="1855">
        <f t="shared" si="4"/>
        <v>386</v>
      </c>
      <c r="N27" s="1855">
        <v>0</v>
      </c>
      <c r="O27" s="1855">
        <f t="shared" si="1"/>
        <v>1106</v>
      </c>
      <c r="P27" s="1855">
        <v>1106</v>
      </c>
      <c r="Q27" s="1857">
        <f t="shared" si="5"/>
        <v>0</v>
      </c>
      <c r="R27" s="1855">
        <v>386</v>
      </c>
      <c r="S27" s="1857">
        <f t="shared" si="6"/>
        <v>0</v>
      </c>
      <c r="T27" s="1858"/>
      <c r="U27" s="1862"/>
    </row>
    <row r="28" spans="2:21" x14ac:dyDescent="0.3">
      <c r="B28" s="1851"/>
      <c r="C28" s="1866"/>
      <c r="D28" s="1853"/>
      <c r="E28" s="1854"/>
      <c r="F28" s="1853"/>
      <c r="G28" s="1854"/>
      <c r="H28" s="1855"/>
      <c r="I28" s="1856"/>
      <c r="J28" s="1855"/>
      <c r="K28" s="1855"/>
      <c r="L28" s="1855"/>
      <c r="M28" s="1855"/>
      <c r="N28" s="1855"/>
      <c r="O28" s="1855"/>
      <c r="P28" s="1855"/>
      <c r="Q28" s="1857"/>
      <c r="R28" s="1855"/>
      <c r="S28" s="1857"/>
      <c r="T28" s="1858"/>
      <c r="U28" s="1862"/>
    </row>
    <row r="29" spans="2:21" x14ac:dyDescent="0.3">
      <c r="B29" s="1851"/>
      <c r="C29" s="1866"/>
      <c r="D29" s="1853"/>
      <c r="E29" s="1854"/>
      <c r="F29" s="1853"/>
      <c r="G29" s="1854"/>
      <c r="H29" s="1855"/>
      <c r="I29" s="1856"/>
      <c r="J29" s="1855"/>
      <c r="K29" s="1855"/>
      <c r="L29" s="1855"/>
      <c r="M29" s="1855"/>
      <c r="N29" s="1855"/>
      <c r="O29" s="1855"/>
      <c r="P29" s="1855"/>
      <c r="Q29" s="1857"/>
      <c r="R29" s="1855"/>
      <c r="S29" s="1857"/>
      <c r="T29" s="1858"/>
      <c r="U29" s="1862"/>
    </row>
    <row r="30" spans="2:21" ht="27.75" x14ac:dyDescent="0.3">
      <c r="B30" s="1851"/>
      <c r="C30" s="1862" t="s">
        <v>3255</v>
      </c>
      <c r="D30" s="1853" t="s">
        <v>3256</v>
      </c>
      <c r="E30" s="1854">
        <v>42422</v>
      </c>
      <c r="F30" s="1853">
        <v>5</v>
      </c>
      <c r="G30" s="1854">
        <f t="shared" si="2"/>
        <v>44249</v>
      </c>
      <c r="H30" s="1855">
        <f t="shared" si="3"/>
        <v>0</v>
      </c>
      <c r="I30" s="1856">
        <v>0.45069999999999999</v>
      </c>
      <c r="J30" s="1855">
        <v>0</v>
      </c>
      <c r="K30" s="1855">
        <v>0</v>
      </c>
      <c r="L30" s="1855">
        <v>0</v>
      </c>
      <c r="M30" s="1855">
        <f t="shared" si="4"/>
        <v>0</v>
      </c>
      <c r="N30" s="1855">
        <v>0</v>
      </c>
      <c r="O30" s="1855">
        <f t="shared" si="1"/>
        <v>0</v>
      </c>
      <c r="P30" s="1855">
        <v>725</v>
      </c>
      <c r="Q30" s="1857">
        <f t="shared" si="5"/>
        <v>-725</v>
      </c>
      <c r="R30" s="1855">
        <v>0</v>
      </c>
      <c r="S30" s="1857">
        <f t="shared" si="6"/>
        <v>0</v>
      </c>
      <c r="T30" s="1858" t="s">
        <v>3240</v>
      </c>
      <c r="U30" s="1853" t="s">
        <v>3241</v>
      </c>
    </row>
    <row r="31" spans="2:21" x14ac:dyDescent="0.3">
      <c r="B31" s="1851"/>
      <c r="C31" s="1866">
        <f>+SUM(K30:K31)</f>
        <v>0</v>
      </c>
      <c r="D31" s="1853"/>
      <c r="E31" s="1854"/>
      <c r="F31" s="1853"/>
      <c r="G31" s="1854"/>
      <c r="H31" s="1855"/>
      <c r="I31" s="1856"/>
      <c r="J31" s="1855"/>
      <c r="K31" s="1855"/>
      <c r="L31" s="1855"/>
      <c r="M31" s="1855"/>
      <c r="N31" s="1855"/>
      <c r="O31" s="1855"/>
      <c r="P31" s="1855"/>
      <c r="Q31" s="1857"/>
      <c r="R31" s="1855"/>
      <c r="S31" s="1857"/>
      <c r="T31" s="1858"/>
      <c r="U31" s="1862"/>
    </row>
    <row r="32" spans="2:21" x14ac:dyDescent="0.3">
      <c r="B32" s="1851"/>
      <c r="C32" s="1867"/>
      <c r="D32" s="1853"/>
      <c r="E32" s="1854"/>
      <c r="F32" s="1853"/>
      <c r="G32" s="1854"/>
      <c r="H32" s="1855"/>
      <c r="I32" s="1856"/>
      <c r="J32" s="1855"/>
      <c r="K32" s="1855"/>
      <c r="L32" s="1855"/>
      <c r="M32" s="1855"/>
      <c r="N32" s="1855"/>
      <c r="O32" s="1855"/>
      <c r="P32" s="1855"/>
      <c r="Q32" s="1857"/>
      <c r="R32" s="1855"/>
      <c r="S32" s="1857"/>
      <c r="T32" s="1858"/>
      <c r="U32" s="1862"/>
    </row>
    <row r="33" spans="2:21" x14ac:dyDescent="0.3">
      <c r="B33" s="1851"/>
      <c r="C33" s="1862" t="s">
        <v>3257</v>
      </c>
      <c r="D33" s="1868" t="s">
        <v>3258</v>
      </c>
      <c r="E33" s="1869">
        <v>43160</v>
      </c>
      <c r="F33" s="1868">
        <v>5</v>
      </c>
      <c r="G33" s="1869">
        <f t="shared" si="2"/>
        <v>44986</v>
      </c>
      <c r="H33" s="1855">
        <f t="shared" si="3"/>
        <v>0</v>
      </c>
      <c r="I33" s="1870">
        <v>0.45069999999999999</v>
      </c>
      <c r="J33" s="1855">
        <v>11500</v>
      </c>
      <c r="K33" s="1871">
        <v>575</v>
      </c>
      <c r="L33" s="1855">
        <v>0</v>
      </c>
      <c r="M33" s="1855">
        <f t="shared" si="4"/>
        <v>0</v>
      </c>
      <c r="N33" s="1855">
        <v>0</v>
      </c>
      <c r="O33" s="1855">
        <f t="shared" si="1"/>
        <v>575</v>
      </c>
      <c r="P33" s="1855">
        <v>575</v>
      </c>
      <c r="Q33" s="1857">
        <f t="shared" si="5"/>
        <v>0</v>
      </c>
      <c r="R33" s="1855">
        <v>0</v>
      </c>
      <c r="S33" s="1857">
        <f t="shared" si="6"/>
        <v>0</v>
      </c>
      <c r="T33" s="1858"/>
      <c r="U33" s="1862"/>
    </row>
    <row r="34" spans="2:21" ht="27.75" x14ac:dyDescent="0.3">
      <c r="B34" s="1851"/>
      <c r="C34" s="1866">
        <f>+SUM(K33:K42)</f>
        <v>11221.9</v>
      </c>
      <c r="D34" s="1853" t="s">
        <v>3259</v>
      </c>
      <c r="E34" s="1854">
        <v>43431</v>
      </c>
      <c r="F34" s="1853">
        <v>5</v>
      </c>
      <c r="G34" s="1854">
        <f t="shared" si="2"/>
        <v>45257</v>
      </c>
      <c r="H34" s="1855">
        <f t="shared" si="3"/>
        <v>0</v>
      </c>
      <c r="I34" s="1856">
        <v>0.45069999999999999</v>
      </c>
      <c r="J34" s="1855">
        <v>17500</v>
      </c>
      <c r="K34" s="1855">
        <v>875</v>
      </c>
      <c r="L34" s="1855">
        <v>0</v>
      </c>
      <c r="M34" s="1855">
        <f t="shared" si="4"/>
        <v>0</v>
      </c>
      <c r="N34" s="1855">
        <v>0</v>
      </c>
      <c r="O34" s="1855">
        <f t="shared" si="1"/>
        <v>875</v>
      </c>
      <c r="P34" s="1855">
        <v>616</v>
      </c>
      <c r="Q34" s="1857">
        <f t="shared" si="5"/>
        <v>259</v>
      </c>
      <c r="R34" s="1855">
        <v>259</v>
      </c>
      <c r="S34" s="1857">
        <f t="shared" si="6"/>
        <v>-259</v>
      </c>
      <c r="T34" s="1863" t="s">
        <v>3260</v>
      </c>
      <c r="U34" s="1853" t="s">
        <v>3241</v>
      </c>
    </row>
    <row r="35" spans="2:21" ht="27.75" x14ac:dyDescent="0.3">
      <c r="B35" s="1851"/>
      <c r="C35" s="1862"/>
      <c r="D35" s="1865" t="s">
        <v>3261</v>
      </c>
      <c r="E35" s="1864">
        <v>43555</v>
      </c>
      <c r="F35" s="1865">
        <v>5</v>
      </c>
      <c r="G35" s="1864">
        <f t="shared" si="2"/>
        <v>45382</v>
      </c>
      <c r="H35" s="1855">
        <f t="shared" si="3"/>
        <v>0</v>
      </c>
      <c r="I35" s="1872">
        <v>0.45069999999999999</v>
      </c>
      <c r="J35" s="1855">
        <v>24500</v>
      </c>
      <c r="K35" s="1873">
        <v>1225</v>
      </c>
      <c r="L35" s="1855">
        <v>0</v>
      </c>
      <c r="M35" s="1855">
        <f t="shared" si="4"/>
        <v>0</v>
      </c>
      <c r="N35" s="1855">
        <v>0</v>
      </c>
      <c r="O35" s="1855">
        <f t="shared" si="1"/>
        <v>1225</v>
      </c>
      <c r="P35" s="1855">
        <v>673</v>
      </c>
      <c r="Q35" s="1857">
        <f t="shared" si="5"/>
        <v>552</v>
      </c>
      <c r="R35" s="1855">
        <v>552</v>
      </c>
      <c r="S35" s="1857">
        <f t="shared" si="6"/>
        <v>-552</v>
      </c>
      <c r="T35" s="1863" t="s">
        <v>3260</v>
      </c>
      <c r="U35" s="1853" t="s">
        <v>3241</v>
      </c>
    </row>
    <row r="36" spans="2:21" ht="27.75" x14ac:dyDescent="0.3">
      <c r="B36" s="1851"/>
      <c r="C36" s="1862"/>
      <c r="D36" s="1868" t="s">
        <v>3262</v>
      </c>
      <c r="E36" s="1869">
        <v>43550</v>
      </c>
      <c r="F36" s="1868">
        <v>5</v>
      </c>
      <c r="G36" s="1869">
        <f t="shared" si="2"/>
        <v>45377</v>
      </c>
      <c r="H36" s="1855">
        <f t="shared" si="3"/>
        <v>0</v>
      </c>
      <c r="I36" s="1870">
        <v>0.45069999999999999</v>
      </c>
      <c r="J36" s="1855">
        <v>5999</v>
      </c>
      <c r="K36" s="1871">
        <v>300</v>
      </c>
      <c r="L36" s="1855">
        <v>0</v>
      </c>
      <c r="M36" s="1855">
        <f t="shared" si="4"/>
        <v>0</v>
      </c>
      <c r="N36" s="1855">
        <v>0</v>
      </c>
      <c r="O36" s="1855">
        <f t="shared" si="1"/>
        <v>300</v>
      </c>
      <c r="P36" s="1855">
        <v>61</v>
      </c>
      <c r="Q36" s="1857">
        <f t="shared" si="5"/>
        <v>239</v>
      </c>
      <c r="R36" s="1855">
        <v>239</v>
      </c>
      <c r="S36" s="1857">
        <f t="shared" si="6"/>
        <v>-239</v>
      </c>
      <c r="T36" s="1863" t="s">
        <v>3260</v>
      </c>
      <c r="U36" s="1853" t="s">
        <v>3241</v>
      </c>
    </row>
    <row r="37" spans="2:21" ht="27.75" x14ac:dyDescent="0.3">
      <c r="B37" s="1851"/>
      <c r="C37" s="1862"/>
      <c r="D37" s="1868" t="s">
        <v>3263</v>
      </c>
      <c r="E37" s="1869">
        <v>43622</v>
      </c>
      <c r="F37" s="1868">
        <v>5</v>
      </c>
      <c r="G37" s="1869">
        <f t="shared" si="2"/>
        <v>45449</v>
      </c>
      <c r="H37" s="1855">
        <f t="shared" si="3"/>
        <v>67</v>
      </c>
      <c r="I37" s="1870">
        <v>0.45069999999999999</v>
      </c>
      <c r="J37" s="1855">
        <v>5810</v>
      </c>
      <c r="K37" s="1871">
        <v>334</v>
      </c>
      <c r="L37" s="1855">
        <v>0</v>
      </c>
      <c r="M37" s="1855">
        <f t="shared" si="4"/>
        <v>28</v>
      </c>
      <c r="N37" s="1855">
        <v>0</v>
      </c>
      <c r="O37" s="1855">
        <f t="shared" si="1"/>
        <v>306</v>
      </c>
      <c r="P37" s="1855">
        <v>291</v>
      </c>
      <c r="Q37" s="1857">
        <f t="shared" si="5"/>
        <v>15</v>
      </c>
      <c r="R37" s="1855">
        <v>43</v>
      </c>
      <c r="S37" s="1857">
        <f t="shared" si="6"/>
        <v>-15</v>
      </c>
      <c r="T37" s="1863" t="s">
        <v>3264</v>
      </c>
      <c r="U37" s="1853" t="s">
        <v>3241</v>
      </c>
    </row>
    <row r="38" spans="2:21" ht="27.75" x14ac:dyDescent="0.3">
      <c r="B38" s="1851"/>
      <c r="C38" s="1862"/>
      <c r="D38" s="1868" t="s">
        <v>3265</v>
      </c>
      <c r="E38" s="1869">
        <v>43622</v>
      </c>
      <c r="F38" s="1868">
        <v>5</v>
      </c>
      <c r="G38" s="1869">
        <f t="shared" si="2"/>
        <v>45449</v>
      </c>
      <c r="H38" s="1855">
        <f t="shared" si="3"/>
        <v>67</v>
      </c>
      <c r="I38" s="1870">
        <v>0.45069999999999999</v>
      </c>
      <c r="J38" s="1855">
        <v>24800</v>
      </c>
      <c r="K38" s="1871">
        <v>1424</v>
      </c>
      <c r="L38" s="1855">
        <v>0</v>
      </c>
      <c r="M38" s="1855">
        <f t="shared" si="4"/>
        <v>118</v>
      </c>
      <c r="N38" s="1855">
        <v>0</v>
      </c>
      <c r="O38" s="1855">
        <f t="shared" si="1"/>
        <v>1306</v>
      </c>
      <c r="P38" s="1855">
        <v>1240</v>
      </c>
      <c r="Q38" s="1857">
        <f t="shared" si="5"/>
        <v>66</v>
      </c>
      <c r="R38" s="1855">
        <v>184</v>
      </c>
      <c r="S38" s="1857">
        <f t="shared" si="6"/>
        <v>-66</v>
      </c>
      <c r="T38" s="1863" t="s">
        <v>3264</v>
      </c>
      <c r="U38" s="1853" t="s">
        <v>3241</v>
      </c>
    </row>
    <row r="39" spans="2:21" ht="27.75" x14ac:dyDescent="0.3">
      <c r="B39" s="1851"/>
      <c r="C39" s="1862"/>
      <c r="D39" s="1868" t="s">
        <v>3266</v>
      </c>
      <c r="E39" s="1869">
        <v>43794</v>
      </c>
      <c r="F39" s="1868">
        <v>5</v>
      </c>
      <c r="G39" s="1869">
        <f t="shared" si="2"/>
        <v>45621</v>
      </c>
      <c r="H39" s="1855">
        <f t="shared" si="3"/>
        <v>239</v>
      </c>
      <c r="I39" s="1870">
        <v>0.45069999999999999</v>
      </c>
      <c r="J39" s="1855">
        <v>5083.8999999999996</v>
      </c>
      <c r="K39" s="1871">
        <v>390.90000000000009</v>
      </c>
      <c r="L39" s="1855">
        <v>0</v>
      </c>
      <c r="M39" s="1855">
        <f t="shared" si="4"/>
        <v>115</v>
      </c>
      <c r="N39" s="1855">
        <v>0</v>
      </c>
      <c r="O39" s="1855">
        <f t="shared" si="1"/>
        <v>275.90000000000009</v>
      </c>
      <c r="P39" s="1855">
        <v>254.22000000000008</v>
      </c>
      <c r="Q39" s="1857">
        <f t="shared" si="5"/>
        <v>21.680000000000007</v>
      </c>
      <c r="R39" s="1855">
        <v>136.68</v>
      </c>
      <c r="S39" s="1857">
        <f t="shared" si="6"/>
        <v>-21.680000000000007</v>
      </c>
      <c r="T39" s="1863" t="s">
        <v>3264</v>
      </c>
      <c r="U39" s="1853" t="s">
        <v>3241</v>
      </c>
    </row>
    <row r="40" spans="2:21" x14ac:dyDescent="0.3">
      <c r="B40" s="1851"/>
      <c r="C40" s="1862"/>
      <c r="D40" s="1868" t="s">
        <v>3267</v>
      </c>
      <c r="E40" s="1869">
        <v>44183</v>
      </c>
      <c r="F40" s="1868">
        <v>5</v>
      </c>
      <c r="G40" s="1869">
        <f t="shared" si="2"/>
        <v>46009</v>
      </c>
      <c r="H40" s="1855">
        <f t="shared" si="3"/>
        <v>365</v>
      </c>
      <c r="I40" s="1870">
        <v>0.45069999999999999</v>
      </c>
      <c r="J40" s="1855">
        <v>5505</v>
      </c>
      <c r="K40" s="1871">
        <v>795</v>
      </c>
      <c r="L40" s="1855">
        <v>0</v>
      </c>
      <c r="M40" s="1855">
        <f t="shared" si="4"/>
        <v>358</v>
      </c>
      <c r="N40" s="1855">
        <v>0</v>
      </c>
      <c r="O40" s="1855">
        <f t="shared" si="1"/>
        <v>437</v>
      </c>
      <c r="P40" s="1855">
        <v>437</v>
      </c>
      <c r="Q40" s="1857">
        <f t="shared" si="5"/>
        <v>0</v>
      </c>
      <c r="R40" s="1855">
        <v>358</v>
      </c>
      <c r="S40" s="1857">
        <f t="shared" si="6"/>
        <v>0</v>
      </c>
      <c r="T40" s="1858"/>
      <c r="U40" s="1862"/>
    </row>
    <row r="41" spans="2:21" x14ac:dyDescent="0.3">
      <c r="B41" s="1851"/>
      <c r="C41" s="1862"/>
      <c r="D41" s="1868" t="s">
        <v>2133</v>
      </c>
      <c r="E41" s="1869">
        <v>44886</v>
      </c>
      <c r="F41" s="1868">
        <v>5</v>
      </c>
      <c r="G41" s="1869">
        <f t="shared" si="2"/>
        <v>46712</v>
      </c>
      <c r="H41" s="1855">
        <f t="shared" si="3"/>
        <v>365</v>
      </c>
      <c r="I41" s="1870">
        <v>0.45069999999999999</v>
      </c>
      <c r="J41" s="1855">
        <v>11517</v>
      </c>
      <c r="K41" s="1871">
        <v>5303</v>
      </c>
      <c r="L41" s="1855">
        <v>0</v>
      </c>
      <c r="M41" s="1855">
        <f t="shared" si="4"/>
        <v>2390</v>
      </c>
      <c r="N41" s="1855">
        <v>0</v>
      </c>
      <c r="O41" s="1855">
        <f t="shared" si="1"/>
        <v>2913</v>
      </c>
      <c r="P41" s="1855">
        <v>2913</v>
      </c>
      <c r="Q41" s="1857">
        <f t="shared" si="5"/>
        <v>0</v>
      </c>
      <c r="R41" s="1855">
        <v>2390</v>
      </c>
      <c r="S41" s="1857">
        <f t="shared" si="6"/>
        <v>0</v>
      </c>
      <c r="T41" s="1858"/>
      <c r="U41" s="1862"/>
    </row>
    <row r="42" spans="2:21" x14ac:dyDescent="0.3">
      <c r="B42" s="1851"/>
      <c r="C42" s="1862"/>
      <c r="D42" s="1853" t="s">
        <v>3062</v>
      </c>
      <c r="E42" s="1854">
        <v>45737</v>
      </c>
      <c r="F42" s="1853">
        <v>5</v>
      </c>
      <c r="G42" s="1854">
        <f t="shared" si="2"/>
        <v>47563</v>
      </c>
      <c r="H42" s="1855">
        <f t="shared" si="3"/>
        <v>11</v>
      </c>
      <c r="I42" s="1856">
        <v>0.45069999999999999</v>
      </c>
      <c r="J42" s="1855">
        <v>49248.1</v>
      </c>
      <c r="K42" s="1855">
        <v>0</v>
      </c>
      <c r="L42" s="1855">
        <v>49248.1</v>
      </c>
      <c r="M42" s="1855">
        <f t="shared" si="4"/>
        <v>669</v>
      </c>
      <c r="N42" s="1855">
        <v>0</v>
      </c>
      <c r="O42" s="1855">
        <f t="shared" si="1"/>
        <v>48579.1</v>
      </c>
      <c r="P42" s="1855">
        <v>48640.1</v>
      </c>
      <c r="Q42" s="1857">
        <f t="shared" si="5"/>
        <v>-61</v>
      </c>
      <c r="R42" s="1855">
        <v>608</v>
      </c>
      <c r="S42" s="1857">
        <f t="shared" si="6"/>
        <v>61</v>
      </c>
      <c r="T42" s="1863"/>
      <c r="U42" s="1862"/>
    </row>
    <row r="43" spans="2:21" x14ac:dyDescent="0.3">
      <c r="B43" s="1851"/>
      <c r="C43" s="1862"/>
      <c r="D43" s="1853"/>
      <c r="E43" s="1854"/>
      <c r="F43" s="1853"/>
      <c r="G43" s="1854"/>
      <c r="H43" s="1855"/>
      <c r="I43" s="1856"/>
      <c r="J43" s="1855"/>
      <c r="K43" s="1855"/>
      <c r="L43" s="1855"/>
      <c r="M43" s="1855"/>
      <c r="N43" s="1855"/>
      <c r="O43" s="1855"/>
      <c r="P43" s="1855"/>
      <c r="Q43" s="1857"/>
      <c r="R43" s="1855"/>
      <c r="S43" s="1857"/>
      <c r="T43" s="1858"/>
      <c r="U43" s="1862"/>
    </row>
    <row r="44" spans="2:21" x14ac:dyDescent="0.3">
      <c r="B44" s="1851" t="s">
        <v>3268</v>
      </c>
      <c r="C44" s="1862" t="s">
        <v>3269</v>
      </c>
      <c r="D44" s="1853" t="s">
        <v>3270</v>
      </c>
      <c r="E44" s="1854">
        <v>42594</v>
      </c>
      <c r="F44" s="1853">
        <v>3</v>
      </c>
      <c r="G44" s="1854">
        <f t="shared" si="2"/>
        <v>43689</v>
      </c>
      <c r="H44" s="1855">
        <f t="shared" si="3"/>
        <v>0</v>
      </c>
      <c r="I44" s="1856">
        <v>0.63160000000000005</v>
      </c>
      <c r="J44" s="1855">
        <v>176887</v>
      </c>
      <c r="K44" s="1855">
        <v>8844.35</v>
      </c>
      <c r="L44" s="1855">
        <v>0</v>
      </c>
      <c r="M44" s="1855">
        <f t="shared" si="4"/>
        <v>0</v>
      </c>
      <c r="N44" s="1855">
        <v>0</v>
      </c>
      <c r="O44" s="1855">
        <f t="shared" si="1"/>
        <v>8844.35</v>
      </c>
      <c r="P44" s="1855">
        <v>8844.35</v>
      </c>
      <c r="Q44" s="1857">
        <f t="shared" si="5"/>
        <v>0</v>
      </c>
      <c r="R44" s="1855">
        <v>0</v>
      </c>
      <c r="S44" s="1857">
        <f t="shared" si="6"/>
        <v>0</v>
      </c>
      <c r="T44" s="1858"/>
      <c r="U44" s="1862"/>
    </row>
    <row r="45" spans="2:21" ht="27.75" x14ac:dyDescent="0.3">
      <c r="B45" s="1851"/>
      <c r="C45" s="1867">
        <f>+SUM(K44:K50)</f>
        <v>11511.35</v>
      </c>
      <c r="D45" s="1853" t="s">
        <v>3271</v>
      </c>
      <c r="E45" s="1854">
        <v>43396</v>
      </c>
      <c r="F45" s="1853">
        <v>3</v>
      </c>
      <c r="G45" s="1854">
        <f t="shared" si="2"/>
        <v>44492</v>
      </c>
      <c r="H45" s="1855">
        <f t="shared" si="3"/>
        <v>0</v>
      </c>
      <c r="I45" s="1856">
        <v>0.63160000000000005</v>
      </c>
      <c r="J45" s="1855">
        <v>0</v>
      </c>
      <c r="K45" s="1855">
        <v>0</v>
      </c>
      <c r="L45" s="1855">
        <v>0</v>
      </c>
      <c r="M45" s="1855">
        <f t="shared" si="4"/>
        <v>0</v>
      </c>
      <c r="N45" s="1855">
        <v>0</v>
      </c>
      <c r="O45" s="1855">
        <f t="shared" si="1"/>
        <v>0</v>
      </c>
      <c r="P45" s="1855">
        <v>5359.01</v>
      </c>
      <c r="Q45" s="1857">
        <f t="shared" si="5"/>
        <v>-5359.01</v>
      </c>
      <c r="R45" s="1855">
        <v>0</v>
      </c>
      <c r="S45" s="1857">
        <f t="shared" si="6"/>
        <v>0</v>
      </c>
      <c r="T45" s="1858" t="s">
        <v>3240</v>
      </c>
      <c r="U45" s="1853" t="s">
        <v>3241</v>
      </c>
    </row>
    <row r="46" spans="2:21" ht="27.75" x14ac:dyDescent="0.3">
      <c r="B46" s="1851"/>
      <c r="C46" s="1862"/>
      <c r="D46" s="1853" t="s">
        <v>3272</v>
      </c>
      <c r="E46" s="1854">
        <v>43735</v>
      </c>
      <c r="F46" s="1853">
        <v>3</v>
      </c>
      <c r="G46" s="1854">
        <f t="shared" si="2"/>
        <v>44831</v>
      </c>
      <c r="H46" s="1855">
        <f t="shared" si="3"/>
        <v>0</v>
      </c>
      <c r="I46" s="1856">
        <v>0.63160000000000005</v>
      </c>
      <c r="J46" s="1855">
        <v>0</v>
      </c>
      <c r="K46" s="1855">
        <v>0</v>
      </c>
      <c r="L46" s="1855">
        <v>0</v>
      </c>
      <c r="M46" s="1855">
        <f t="shared" si="4"/>
        <v>0</v>
      </c>
      <c r="N46" s="1855">
        <v>0</v>
      </c>
      <c r="O46" s="1855">
        <f t="shared" si="1"/>
        <v>0</v>
      </c>
      <c r="P46" s="1855">
        <v>5575.9800000000005</v>
      </c>
      <c r="Q46" s="1857">
        <f t="shared" si="5"/>
        <v>-5575.9800000000005</v>
      </c>
      <c r="R46" s="1855">
        <v>0</v>
      </c>
      <c r="S46" s="1857">
        <f t="shared" si="6"/>
        <v>0</v>
      </c>
      <c r="T46" s="1858" t="s">
        <v>3240</v>
      </c>
      <c r="U46" s="1853" t="s">
        <v>3241</v>
      </c>
    </row>
    <row r="47" spans="2:21" ht="27.75" x14ac:dyDescent="0.3">
      <c r="B47" s="1851"/>
      <c r="C47" s="1862"/>
      <c r="D47" s="1853" t="s">
        <v>3273</v>
      </c>
      <c r="E47" s="1854">
        <v>43826</v>
      </c>
      <c r="F47" s="1853">
        <v>3</v>
      </c>
      <c r="G47" s="1854">
        <f t="shared" si="2"/>
        <v>44922</v>
      </c>
      <c r="H47" s="1855">
        <f t="shared" si="3"/>
        <v>0</v>
      </c>
      <c r="I47" s="1856">
        <v>0.63160000000000005</v>
      </c>
      <c r="J47" s="1855">
        <v>0</v>
      </c>
      <c r="K47" s="1855">
        <v>0</v>
      </c>
      <c r="L47" s="1855">
        <v>0</v>
      </c>
      <c r="M47" s="1855">
        <f t="shared" si="4"/>
        <v>0</v>
      </c>
      <c r="N47" s="1855">
        <v>0</v>
      </c>
      <c r="O47" s="1855">
        <f t="shared" si="1"/>
        <v>0</v>
      </c>
      <c r="P47" s="1855">
        <v>333.5</v>
      </c>
      <c r="Q47" s="1857">
        <f t="shared" si="5"/>
        <v>-333.5</v>
      </c>
      <c r="R47" s="1855">
        <v>0</v>
      </c>
      <c r="S47" s="1857">
        <f t="shared" si="6"/>
        <v>0</v>
      </c>
      <c r="T47" s="1858" t="s">
        <v>3240</v>
      </c>
      <c r="U47" s="1853" t="s">
        <v>3241</v>
      </c>
    </row>
    <row r="48" spans="2:21" ht="27.75" x14ac:dyDescent="0.3">
      <c r="B48" s="1851"/>
      <c r="C48" s="1862"/>
      <c r="D48" s="1865" t="s">
        <v>3274</v>
      </c>
      <c r="E48" s="1864">
        <v>43435</v>
      </c>
      <c r="F48" s="1865">
        <v>6</v>
      </c>
      <c r="G48" s="1864">
        <f t="shared" si="2"/>
        <v>45627</v>
      </c>
      <c r="H48" s="1873">
        <f t="shared" si="3"/>
        <v>245</v>
      </c>
      <c r="I48" s="1872">
        <v>0.39300000000000002</v>
      </c>
      <c r="J48" s="1855">
        <v>0</v>
      </c>
      <c r="K48" s="1873">
        <v>0</v>
      </c>
      <c r="L48" s="1873">
        <v>0</v>
      </c>
      <c r="M48" s="1873">
        <f t="shared" si="4"/>
        <v>0</v>
      </c>
      <c r="N48" s="1873">
        <v>0</v>
      </c>
      <c r="O48" s="1873">
        <f t="shared" si="1"/>
        <v>0</v>
      </c>
      <c r="P48" s="1873">
        <v>2525</v>
      </c>
      <c r="Q48" s="1838">
        <f t="shared" si="5"/>
        <v>-2525</v>
      </c>
      <c r="R48" s="1873">
        <v>1095</v>
      </c>
      <c r="S48" s="1838">
        <f t="shared" si="6"/>
        <v>-1095</v>
      </c>
      <c r="T48" s="1874" t="s">
        <v>3240</v>
      </c>
      <c r="U48" s="1853" t="s">
        <v>3241</v>
      </c>
    </row>
    <row r="49" spans="2:21" ht="27.75" x14ac:dyDescent="0.3">
      <c r="B49" s="1851"/>
      <c r="C49" s="1862"/>
      <c r="D49" s="1853" t="s">
        <v>3275</v>
      </c>
      <c r="E49" s="1854">
        <v>43487</v>
      </c>
      <c r="F49" s="1853">
        <v>3</v>
      </c>
      <c r="G49" s="1854">
        <f t="shared" si="2"/>
        <v>44583</v>
      </c>
      <c r="H49" s="1855">
        <f t="shared" si="3"/>
        <v>0</v>
      </c>
      <c r="I49" s="1856">
        <v>0.63160000000000005</v>
      </c>
      <c r="J49" s="1855">
        <v>0</v>
      </c>
      <c r="K49" s="1855">
        <v>0</v>
      </c>
      <c r="L49" s="1855">
        <v>0</v>
      </c>
      <c r="M49" s="1855">
        <f t="shared" si="4"/>
        <v>0</v>
      </c>
      <c r="N49" s="1855">
        <v>0</v>
      </c>
      <c r="O49" s="1855">
        <f t="shared" si="1"/>
        <v>0</v>
      </c>
      <c r="P49" s="1855">
        <v>2129.9899999999998</v>
      </c>
      <c r="Q49" s="1857">
        <f t="shared" si="5"/>
        <v>-2129.9899999999998</v>
      </c>
      <c r="R49" s="1855">
        <v>0</v>
      </c>
      <c r="S49" s="1857">
        <f t="shared" si="6"/>
        <v>0</v>
      </c>
      <c r="T49" s="1858" t="s">
        <v>3240</v>
      </c>
      <c r="U49" s="1853" t="s">
        <v>3241</v>
      </c>
    </row>
    <row r="50" spans="2:21" x14ac:dyDescent="0.3">
      <c r="B50" s="1875"/>
      <c r="C50" s="1876"/>
      <c r="D50" s="1853" t="s">
        <v>3276</v>
      </c>
      <c r="E50" s="1854">
        <v>43589</v>
      </c>
      <c r="F50" s="1853">
        <v>6</v>
      </c>
      <c r="G50" s="1854">
        <f t="shared" si="2"/>
        <v>45781</v>
      </c>
      <c r="H50" s="1855">
        <f t="shared" si="3"/>
        <v>365</v>
      </c>
      <c r="I50" s="1856">
        <v>0.39300000000000002</v>
      </c>
      <c r="J50" s="1855">
        <v>30570</v>
      </c>
      <c r="K50" s="1855">
        <v>2667</v>
      </c>
      <c r="L50" s="1855">
        <v>0</v>
      </c>
      <c r="M50" s="1855">
        <f t="shared" si="4"/>
        <v>1048</v>
      </c>
      <c r="N50" s="1855">
        <v>0</v>
      </c>
      <c r="O50" s="1855">
        <f t="shared" si="1"/>
        <v>1619</v>
      </c>
      <c r="P50" s="1855">
        <v>1619</v>
      </c>
      <c r="Q50" s="1857">
        <f t="shared" si="5"/>
        <v>0</v>
      </c>
      <c r="R50" s="1855">
        <v>1048</v>
      </c>
      <c r="S50" s="1857">
        <f t="shared" si="6"/>
        <v>0</v>
      </c>
      <c r="T50" s="1858"/>
      <c r="U50" s="1876"/>
    </row>
    <row r="53" spans="2:21" ht="75" x14ac:dyDescent="0.3">
      <c r="C53" s="1832" t="s">
        <v>3277</v>
      </c>
      <c r="D53" s="1877" t="s">
        <v>3278</v>
      </c>
    </row>
  </sheetData>
  <autoFilter ref="B7:U5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nhiderow49">
    <tabColor theme="5" tint="0.39997558519241921"/>
    <pageSetUpPr fitToPage="1"/>
  </sheetPr>
  <dimension ref="C8:T84"/>
  <sheetViews>
    <sheetView showGridLines="0" view="pageBreakPreview" topLeftCell="A49" zoomScale="80" zoomScaleNormal="90" zoomScaleSheetLayoutView="80" workbookViewId="0">
      <selection activeCell="F51" sqref="F51"/>
    </sheetView>
  </sheetViews>
  <sheetFormatPr defaultColWidth="9.140625" defaultRowHeight="16.5" x14ac:dyDescent="0.25"/>
  <cols>
    <col min="1" max="2" width="3.7109375" style="41" customWidth="1"/>
    <col min="3" max="3" width="7.140625" style="41" bestFit="1" customWidth="1"/>
    <col min="4" max="4" width="65.85546875" style="41" customWidth="1"/>
    <col min="5" max="5" width="10.140625" style="41" customWidth="1"/>
    <col min="6" max="6" width="26" style="841" customWidth="1"/>
    <col min="7" max="7" width="25.42578125" style="1210" bestFit="1" customWidth="1"/>
    <col min="8" max="8" width="3.7109375" style="41" customWidth="1"/>
    <col min="9" max="9" width="13.42578125" style="41" customWidth="1"/>
    <col min="10" max="10" width="19" style="41" bestFit="1" customWidth="1"/>
    <col min="11" max="11" width="16.5703125" style="41" bestFit="1" customWidth="1"/>
    <col min="12" max="12" width="10.7109375" style="41" customWidth="1"/>
    <col min="13" max="13" width="12.28515625" style="41" customWidth="1"/>
    <col min="14" max="14" width="13.7109375" style="41" customWidth="1"/>
    <col min="15" max="17" width="9.140625" style="41" customWidth="1"/>
    <col min="18" max="18" width="23.140625" customWidth="1"/>
    <col min="19" max="19" width="17.140625" customWidth="1"/>
    <col min="20" max="20" width="18.140625" style="41" bestFit="1" customWidth="1"/>
    <col min="21" max="21" width="12.7109375" style="41" bestFit="1" customWidth="1"/>
    <col min="22" max="22" width="13.7109375" style="41" bestFit="1" customWidth="1"/>
    <col min="23" max="16384" width="9.140625" style="41"/>
  </cols>
  <sheetData>
    <row r="8" spans="3:11" x14ac:dyDescent="0.25">
      <c r="I8" s="41" t="s">
        <v>1022</v>
      </c>
    </row>
    <row r="9" spans="3:11" x14ac:dyDescent="0.25">
      <c r="C9" s="42" t="s">
        <v>3289</v>
      </c>
      <c r="I9" s="41" t="s">
        <v>990</v>
      </c>
      <c r="J9" s="41" t="str">
        <f>IF(AND(I14="No",I41="No"),"No","Yes")</f>
        <v>Yes</v>
      </c>
    </row>
    <row r="10" spans="3:11" x14ac:dyDescent="0.25">
      <c r="C10" s="42" t="str">
        <f>+'Balance Sheet'!C10</f>
        <v>CIN: 1234567890</v>
      </c>
    </row>
    <row r="11" spans="3:11" x14ac:dyDescent="0.25">
      <c r="C11" s="42" t="s">
        <v>3300</v>
      </c>
      <c r="I11" s="41" t="s">
        <v>990</v>
      </c>
      <c r="J11" s="41" t="str">
        <f>IF(AND(I14="No",I41="No"),"No","Yes")</f>
        <v>Yes</v>
      </c>
    </row>
    <row r="12" spans="3:11" x14ac:dyDescent="0.25">
      <c r="G12" s="1211"/>
      <c r="H12" s="214"/>
      <c r="I12" s="41" t="s">
        <v>990</v>
      </c>
      <c r="J12" s="41" t="str">
        <f>IF(AND(I14="No",I41="No"),"No","Yes")</f>
        <v>Yes</v>
      </c>
    </row>
    <row r="13" spans="3:11" ht="30" x14ac:dyDescent="0.25">
      <c r="C13" s="2750" t="s">
        <v>20</v>
      </c>
      <c r="D13" s="3086"/>
      <c r="E13" s="314" t="s">
        <v>0</v>
      </c>
      <c r="F13" s="1504" t="s">
        <v>1348</v>
      </c>
      <c r="G13" s="1212" t="s">
        <v>1349</v>
      </c>
      <c r="H13" s="172"/>
      <c r="I13" s="289" t="str">
        <f>IF(AND(I14="No",I41="No"),"No","Yes")</f>
        <v>Yes</v>
      </c>
      <c r="J13" s="289" t="s">
        <v>3288</v>
      </c>
      <c r="K13" s="289"/>
    </row>
    <row r="14" spans="3:11" hidden="1" x14ac:dyDescent="0.25">
      <c r="C14" s="684" t="str">
        <f>IF(I14="No","A","A")</f>
        <v>A</v>
      </c>
      <c r="D14" s="210" t="s">
        <v>3</v>
      </c>
      <c r="E14" s="48"/>
      <c r="F14" s="845"/>
      <c r="G14" s="1213"/>
      <c r="I14" s="41" t="str">
        <f>IF(AND(I16="No",I21="No",I23="No",I30="No"),"No","Yes")</f>
        <v>Yes</v>
      </c>
    </row>
    <row r="15" spans="3:11" hidden="1" x14ac:dyDescent="0.25">
      <c r="C15" s="48"/>
      <c r="D15" s="210"/>
      <c r="E15" s="48"/>
      <c r="F15" s="845"/>
      <c r="G15" s="1213"/>
      <c r="I15" s="41" t="str">
        <f>IF(AND(I16="No",I21="No",I28="No",I37="No"),"No","Yes")</f>
        <v>Yes</v>
      </c>
    </row>
    <row r="16" spans="3:11" x14ac:dyDescent="0.25">
      <c r="C16" s="246">
        <f>IF(I15="No",0,1)</f>
        <v>1</v>
      </c>
      <c r="D16" s="210" t="s">
        <v>4</v>
      </c>
      <c r="E16" s="48"/>
      <c r="F16" s="845"/>
      <c r="G16" s="1213"/>
      <c r="I16" s="41" t="str">
        <f>IF(AND(I17="No",I18="No",I19="No"),"No","Yes")</f>
        <v>Yes</v>
      </c>
    </row>
    <row r="17" spans="3:19" x14ac:dyDescent="0.25">
      <c r="C17" s="48"/>
      <c r="D17" s="286" t="s">
        <v>5</v>
      </c>
      <c r="E17" s="285">
        <v>3</v>
      </c>
      <c r="F17" s="845">
        <v>150000</v>
      </c>
      <c r="G17" s="1213">
        <v>150000</v>
      </c>
      <c r="H17" s="291"/>
      <c r="I17" s="41" t="str">
        <f>IF(AND(F17=0,G17=0),"No","Yes")</f>
        <v>Yes</v>
      </c>
      <c r="J17" s="291"/>
      <c r="K17" s="844"/>
    </row>
    <row r="18" spans="3:19" x14ac:dyDescent="0.25">
      <c r="C18" s="48"/>
      <c r="D18" s="286" t="str">
        <f>IF(I18="No","(b) Reserves and surplus",IF(COUNTIF(I17,"Yes")=0,"(a) Reserves and surplus",IF(COUNTIF(I17,"Yes")=1,"(b) Reserves and surplus","(b) Reserves and surplus")))</f>
        <v>(b) Reserves and surplus</v>
      </c>
      <c r="E18" s="285">
        <f>IF(I18="No",E17,E17+1)</f>
        <v>4</v>
      </c>
      <c r="F18" s="845">
        <v>599398.2058</v>
      </c>
      <c r="G18" s="831">
        <v>201966.56</v>
      </c>
      <c r="H18" s="291"/>
      <c r="I18" s="41" t="str">
        <f>IF(AND(F18=0,G18=0),"No","Yes")</f>
        <v>Yes</v>
      </c>
      <c r="J18" s="291"/>
      <c r="K18" s="844"/>
    </row>
    <row r="19" spans="3:19" x14ac:dyDescent="0.25">
      <c r="C19" s="48"/>
      <c r="D19" s="286" t="str">
        <f>IF(I19="No","(c) Money received against share warrants",IF(COUNTIF($I$17:$I$18,"Yes")=0,"(a) Money received against share warrants",IF(COUNTIF($I$17:$I$18,"Yes")=1,"(b) Money received against share warrants",IF(COUNTIF($I$17:$I$18,"Yes")=2,"(c) Money received against share warrants","(c) Money received against share warrants"))))</f>
        <v>(c) Money received against share warrants</v>
      </c>
      <c r="E19" s="285">
        <f>IF(I19="No",E18,E18+1)</f>
        <v>4</v>
      </c>
      <c r="F19" s="942"/>
      <c r="G19" s="1213"/>
      <c r="I19" s="41" t="str">
        <f>IF(AND(F19=0,G19=0),"No","Yes")</f>
        <v>No</v>
      </c>
    </row>
    <row r="20" spans="3:19" x14ac:dyDescent="0.25">
      <c r="C20" s="48"/>
      <c r="D20" s="141"/>
      <c r="E20" s="48"/>
      <c r="F20" s="1505">
        <f>SUM(F17:F19)</f>
        <v>749398.2058</v>
      </c>
      <c r="G20" s="1214">
        <f>SUM(G17:G19)</f>
        <v>351966.56</v>
      </c>
      <c r="I20" s="41" t="str">
        <f>IF(AND(F20=0,G20=0),"No","Yes")</f>
        <v>Yes</v>
      </c>
    </row>
    <row r="21" spans="3:19" x14ac:dyDescent="0.25">
      <c r="C21" s="246">
        <f>IF(I21="Yes",C16+1,C16)</f>
        <v>1</v>
      </c>
      <c r="D21" s="210" t="s">
        <v>6</v>
      </c>
      <c r="E21" s="285">
        <f>IF(I21="No",E19,E19+1)</f>
        <v>4</v>
      </c>
      <c r="F21" s="845"/>
      <c r="G21" s="1213"/>
      <c r="I21" s="41" t="str">
        <f>IF(AND(F21=0,G21=0),"No","Yes")</f>
        <v>No</v>
      </c>
    </row>
    <row r="22" spans="3:19" x14ac:dyDescent="0.25">
      <c r="C22" s="246"/>
      <c r="D22" s="210"/>
      <c r="E22" s="48"/>
      <c r="F22" s="845"/>
      <c r="G22" s="1213"/>
      <c r="I22" s="41" t="str">
        <f>IF(I21="No","No","Yes")</f>
        <v>No</v>
      </c>
    </row>
    <row r="23" spans="3:19" x14ac:dyDescent="0.25">
      <c r="C23" s="246">
        <f>IF(I23="No",C21,C21+1)</f>
        <v>1</v>
      </c>
      <c r="D23" s="210" t="s">
        <v>7</v>
      </c>
      <c r="E23" s="48"/>
      <c r="F23" s="845"/>
      <c r="G23" s="1213"/>
      <c r="I23" s="41" t="str">
        <f>IF(I28="No","No","Yes")</f>
        <v>No</v>
      </c>
    </row>
    <row r="24" spans="3:19" s="307" customFormat="1" x14ac:dyDescent="0.25">
      <c r="C24" s="685"/>
      <c r="D24" s="567" t="str">
        <f>IF(I24="No","(a) Long-term borrowings","(a) Long-term borrowings")</f>
        <v>(a) Long-term borrowings</v>
      </c>
      <c r="E24" s="285">
        <f>IF(I24="No",E21,E21+1)</f>
        <v>4</v>
      </c>
      <c r="F24" s="1506">
        <v>0</v>
      </c>
      <c r="G24" s="1215">
        <v>0</v>
      </c>
      <c r="H24" s="455"/>
      <c r="I24" s="41" t="str">
        <f>IF(AND(F24=0,G24=0),"No","Yes")</f>
        <v>No</v>
      </c>
      <c r="J24" s="565"/>
      <c r="R24"/>
      <c r="S24"/>
    </row>
    <row r="25" spans="3:19" s="307" customFormat="1" x14ac:dyDescent="0.25">
      <c r="C25" s="685"/>
      <c r="D25" s="567" t="str">
        <f>IF(I25="No","(b) Deferred tax liabilities (net)",IF(COUNTIF(I24,"Yes")=0,"(a) Deferred tax liabilities (net)",IF(COUNTIF(I24,"Yes")=1,"(b) Deferred tax liabilities (net)","(b) Deferred tax liabilities (net)")))</f>
        <v>(b) Deferred tax liabilities (net)</v>
      </c>
      <c r="E25" s="285" t="s">
        <v>3298</v>
      </c>
      <c r="F25" s="1506">
        <v>0</v>
      </c>
      <c r="G25" s="1215">
        <v>0</v>
      </c>
      <c r="I25" s="41" t="str">
        <f>IF(AND(F25=0,G25=0),"No","Yes")</f>
        <v>No</v>
      </c>
      <c r="J25" s="565"/>
      <c r="R25"/>
      <c r="S25"/>
    </row>
    <row r="26" spans="3:19" s="307" customFormat="1" x14ac:dyDescent="0.25">
      <c r="C26" s="685"/>
      <c r="D26" s="567" t="str">
        <f>IF(I26="No","(c) Other long-term liabilities",IF(COUNTIF($I$24:$I$25,"Yes")=0,"(a) Other long-term liabilities",IF(COUNTIF($I$24:$I$25,"Yes")=1,"(b) Other long-term liabilities",IF(COUNTIF($I$24:$I$25,"Yes")=2,"(c) Other long-term liabilities","(c) Other long-term liabilities"))))</f>
        <v>(c) Other long-term liabilities</v>
      </c>
      <c r="E26" s="285">
        <f>IF(I26="No",E24,E24+1)</f>
        <v>4</v>
      </c>
      <c r="F26" s="1506">
        <v>0</v>
      </c>
      <c r="G26" s="1216">
        <v>0</v>
      </c>
      <c r="I26" s="41" t="str">
        <f>IF(AND(F26=0,G26=0),"No","Yes")</f>
        <v>No</v>
      </c>
      <c r="J26" s="565"/>
      <c r="R26"/>
      <c r="S26"/>
    </row>
    <row r="27" spans="3:19" s="307" customFormat="1" x14ac:dyDescent="0.25">
      <c r="C27" s="685"/>
      <c r="D27" s="567" t="str">
        <f>IF(I27="No","(d) Long-term provisions", IF(COUNTIF($I$24:$I$26,"Yes")=0,"(a) Long-term provisions", IF(COUNTIF($I$24:$I$26,"Yes")=1,"(b) Long-term provisions", IF(COUNTIF($I$24:$I$26,"Yes")=2,"(c) Long-term provisions", IF(COUNTIF($I$24:$I$26,"Yes")=3,"(d) Long-term provisions", "(d) Long-term provisions")))))</f>
        <v>(d) Long-term provisions</v>
      </c>
      <c r="E27" s="285">
        <f>IF(I27="No",E26,E26+1)</f>
        <v>4</v>
      </c>
      <c r="F27" s="1506">
        <v>0</v>
      </c>
      <c r="G27" s="1216">
        <v>0</v>
      </c>
      <c r="I27" s="41" t="str">
        <f>IF(AND(F27=0,G27=0),"No","Yes")</f>
        <v>No</v>
      </c>
      <c r="J27" s="565"/>
      <c r="R27"/>
      <c r="S27"/>
    </row>
    <row r="28" spans="3:19" x14ac:dyDescent="0.25">
      <c r="C28" s="48"/>
      <c r="D28" s="141"/>
      <c r="E28" s="48"/>
      <c r="F28" s="1505">
        <f>SUM(F24:F27)</f>
        <v>0</v>
      </c>
      <c r="G28" s="843">
        <f>SUM(G24:G27)</f>
        <v>0</v>
      </c>
      <c r="I28" s="41" t="str">
        <f>IF(AND(F28=0,G28=0),"No","Yes")</f>
        <v>No</v>
      </c>
    </row>
    <row r="29" spans="3:19" x14ac:dyDescent="0.25">
      <c r="C29" s="48"/>
      <c r="D29" s="141"/>
      <c r="E29" s="48"/>
      <c r="F29" s="845"/>
      <c r="G29" s="1213"/>
      <c r="I29" s="41" t="str">
        <f>IF(I27="No","No","Yes")</f>
        <v>No</v>
      </c>
    </row>
    <row r="30" spans="3:19" x14ac:dyDescent="0.25">
      <c r="C30" s="246">
        <f>IF(I30="No",C23,C23+1)</f>
        <v>2</v>
      </c>
      <c r="D30" s="210" t="s">
        <v>8</v>
      </c>
      <c r="E30" s="48"/>
      <c r="F30" s="845"/>
      <c r="G30" s="1213"/>
      <c r="I30" s="41" t="str">
        <f>IF(I37="No","No","Yes")</f>
        <v>Yes</v>
      </c>
    </row>
    <row r="31" spans="3:19" x14ac:dyDescent="0.25">
      <c r="C31" s="48"/>
      <c r="D31" s="286" t="str">
        <f>IF(I31="No","(a) Short-term borrowings","(a) Short-term borrowings")</f>
        <v>(a) Short-term borrowings</v>
      </c>
      <c r="E31" s="285">
        <f>IF(I31="No",E27,IF(I24="Yes",E24,E27+1))</f>
        <v>4</v>
      </c>
      <c r="F31" s="845">
        <v>0</v>
      </c>
      <c r="G31" s="1213">
        <v>0</v>
      </c>
      <c r="I31" s="41" t="str">
        <f>IF(AND(F31=0,G31=0),"No","Yes")</f>
        <v>No</v>
      </c>
      <c r="J31" s="565"/>
    </row>
    <row r="32" spans="3:19" x14ac:dyDescent="0.25">
      <c r="C32" s="48"/>
      <c r="D32" s="567" t="str">
        <f>IF(I32="No","(b) Trade Payables",IF(COUNTIF(I31,"Yes")=0,"(a) Trade Payables",IF(COUNTIF(I31,"Yes")=1,"(b) Trade Payables","(b) Trade Payables")))</f>
        <v>(a) Trade Payables</v>
      </c>
      <c r="E32" s="285">
        <f>IF(I32="No",IF(AND(I31="Yes",I24="Yes"),E27,IF(AND(I31="Yes",I24="No"),E31,IF(AND(I31="No",I24="Yes"),E31,E31))),IF(AND(I31="Yes",I24="Yes"),E27+1,IF(AND(I31="Yes",I24="No"),E31+1,IF(AND(I31="No",I24="Yes"),E31+1,E31+1))))</f>
        <v>5</v>
      </c>
      <c r="F32" s="845"/>
      <c r="G32" s="1213"/>
      <c r="I32" s="41" t="str">
        <f>IF(AND(I33="No",I34="No"),"No","Yes")</f>
        <v>Yes</v>
      </c>
      <c r="J32" s="565"/>
    </row>
    <row r="33" spans="3:12" ht="33" x14ac:dyDescent="0.25">
      <c r="C33" s="48"/>
      <c r="D33" s="605" t="str">
        <f>IF(I33="No","(i) total outstanding dues of micro enterprises and small enterprises","(i) total outstanding dues of micro enterprises and small enterprises")</f>
        <v>(i) total outstanding dues of micro enterprises and small enterprises</v>
      </c>
      <c r="E33" s="285"/>
      <c r="F33" s="845">
        <v>0</v>
      </c>
      <c r="G33" s="1213">
        <v>0</v>
      </c>
      <c r="I33" s="41" t="str">
        <f>IF(AND(F33=0,G33=0),"No","Yes")</f>
        <v>No</v>
      </c>
      <c r="J33" s="1913"/>
      <c r="K33" s="844"/>
    </row>
    <row r="34" spans="3:12" ht="33" x14ac:dyDescent="0.25">
      <c r="C34" s="48"/>
      <c r="D34" s="605" t="str">
        <f>IF(I34="No","(ii) total outstanding dues of creditors other than micro enterprises and small enterprises",IF(COUNTIF(I33,"Yes")=0,"(i) total outstanding dues of creditors other than micro enterprises and small enterprises",IF(COUNTIF(I33,"Yes")=1,"(ii) total outstanding dues of creditors other than micro enterprises and small enterprises","(ii) total outstanding dues of creditors other than micro enterprises and small enterprises")))</f>
        <v>(i) total outstanding dues of creditors other than micro enterprises and small enterprises</v>
      </c>
      <c r="E34" s="285"/>
      <c r="F34" s="845">
        <v>406795.55590000004</v>
      </c>
      <c r="G34" s="1213">
        <v>0</v>
      </c>
      <c r="I34" s="41" t="str">
        <f>IF(AND(F34=0,G34=0),"No","Yes")</f>
        <v>Yes</v>
      </c>
      <c r="J34" s="1912"/>
      <c r="K34" s="1914"/>
    </row>
    <row r="35" spans="3:12" x14ac:dyDescent="0.25">
      <c r="C35" s="48"/>
      <c r="D35" s="567" t="str">
        <f>IF(I35="No","(c) Other current liabilities",IF(COUNTIF($I$31:$I$32,"Yes")=0,"(a) Other current liabilities",IF(COUNTIF($I$31:$I$32,"Yes")=1,"(b) Other current liabilities",IF(COUNTIF($I$31:$I$32,"Yes")=2,"(c) Other current liabilities","(c) Other current liabilities"))))</f>
        <v>(b) Other current liabilities</v>
      </c>
      <c r="E35" s="285">
        <f>IF(I35="No",E32,E32+1)</f>
        <v>6</v>
      </c>
      <c r="F35" s="845">
        <v>55446.064399999996</v>
      </c>
      <c r="G35" s="1213">
        <v>0</v>
      </c>
      <c r="I35" s="41" t="str">
        <f>IF(AND(F35=0,G35=0),"No","Yes")</f>
        <v>Yes</v>
      </c>
      <c r="J35" s="1912"/>
      <c r="K35" s="1914"/>
      <c r="L35" s="680"/>
    </row>
    <row r="36" spans="3:12" x14ac:dyDescent="0.25">
      <c r="C36" s="48"/>
      <c r="D36" s="567" t="str">
        <f>IF(I36="No","(d) Short-term provisions",IF(AND(I31="No",I32="No",I35="No"),"(a) Short-term provisions",IF(AND(I31="Yes",I32="No",I35="No"),"(b) Short-term provisions",IF(AND(I31="No",I32="Yes",I35="No"),"(b) Short-term provisions",IF(AND(I31="No",I32="No",I35="Yes"),"(b) Short-term provisions",IF(AND(I31="No",I32="Yes",I35="Yes"),"(c) Short-term provisions",IF(AND(I31="Yes",I32="Yes",I35="No"),"(c) Short-term provisions",IF(AND(I31="Yes",I32="No",I35="Yes"),"(c) Short-term provisions",IF(AND(I31="Yes",I32="Yes",I35="Yes"),"(d) Short-term provisions")))))))))</f>
        <v>(c) Short-term provisions</v>
      </c>
      <c r="E36" s="285">
        <f>+IF(I36="No",E35,IF(I27="Yes",E27,E35+1))</f>
        <v>7</v>
      </c>
      <c r="F36" s="845">
        <v>68156.66</v>
      </c>
      <c r="G36" s="1213">
        <v>0</v>
      </c>
      <c r="I36" s="41" t="str">
        <f>IF(AND(F36=0,G36=0),"No","Yes")</f>
        <v>Yes</v>
      </c>
      <c r="J36" s="1259"/>
      <c r="K36" s="1914"/>
    </row>
    <row r="37" spans="3:12" x14ac:dyDescent="0.25">
      <c r="C37" s="48"/>
      <c r="D37" s="141"/>
      <c r="E37" s="48"/>
      <c r="F37" s="1505">
        <f>SUM(F31:F36)</f>
        <v>530398.28029999998</v>
      </c>
      <c r="G37" s="843">
        <f>SUM(G31:G36)</f>
        <v>0</v>
      </c>
      <c r="I37" s="41" t="str">
        <f>IF(AND(F37=0,G37=0),"No","Yes")</f>
        <v>Yes</v>
      </c>
    </row>
    <row r="38" spans="3:12" x14ac:dyDescent="0.25">
      <c r="C38" s="48"/>
      <c r="D38" s="141"/>
      <c r="E38" s="48"/>
      <c r="F38" s="846"/>
      <c r="G38" s="1213"/>
      <c r="I38" s="41" t="str">
        <f>IF(I37="No","No","Yes")</f>
        <v>Yes</v>
      </c>
      <c r="J38" s="1778"/>
    </row>
    <row r="39" spans="3:12" ht="17.25" thickBot="1" x14ac:dyDescent="0.3">
      <c r="C39" s="48"/>
      <c r="D39" s="141"/>
      <c r="E39" s="48"/>
      <c r="F39" s="1507">
        <f>F20+F21+F28+F37</f>
        <v>1279796.4860999999</v>
      </c>
      <c r="G39" s="1217">
        <f>G20+G21+G28+G37</f>
        <v>351966.56</v>
      </c>
      <c r="I39" s="41" t="str">
        <f>IF(AND(F39=0,G39=0),"No","Yes")</f>
        <v>Yes</v>
      </c>
    </row>
    <row r="40" spans="3:12" x14ac:dyDescent="0.25">
      <c r="C40" s="48"/>
      <c r="D40" s="141"/>
      <c r="E40" s="48"/>
      <c r="F40" s="845"/>
      <c r="G40" s="1213"/>
      <c r="I40" s="41" t="str">
        <f>IF(I39="No","No","Yes")</f>
        <v>Yes</v>
      </c>
    </row>
    <row r="41" spans="3:12" x14ac:dyDescent="0.25">
      <c r="C41" s="246" t="str">
        <f>IF(I41="No","A","B")</f>
        <v>B</v>
      </c>
      <c r="D41" s="210" t="s">
        <v>10</v>
      </c>
      <c r="E41" s="48"/>
      <c r="F41" s="845"/>
      <c r="G41" s="1213"/>
      <c r="I41" s="41" t="str">
        <f>IF(AND(I43="No",I56="No"),"No","Yes")</f>
        <v>Yes</v>
      </c>
    </row>
    <row r="42" spans="3:12" x14ac:dyDescent="0.25">
      <c r="C42" s="48"/>
      <c r="D42" s="141"/>
      <c r="E42" s="48"/>
      <c r="F42" s="845"/>
      <c r="G42" s="1213"/>
      <c r="I42" s="41" t="str">
        <f>IF(AND(I43="No",I56="No"),"No","Yes")</f>
        <v>Yes</v>
      </c>
    </row>
    <row r="43" spans="3:12" x14ac:dyDescent="0.25">
      <c r="C43" s="48">
        <f>IF(I43="No",1,1)</f>
        <v>1</v>
      </c>
      <c r="D43" s="210" t="s">
        <v>11</v>
      </c>
      <c r="E43" s="48"/>
      <c r="F43" s="845"/>
      <c r="G43" s="1213"/>
      <c r="I43" s="41" t="str">
        <f>IF(AND(F54=0,G54=0),"No","Yes")</f>
        <v>Yes</v>
      </c>
    </row>
    <row r="44" spans="3:12" x14ac:dyDescent="0.25">
      <c r="C44" s="48"/>
      <c r="D44" s="686" t="str">
        <f>IF(I44="No","(a) Property, Plant and Equipment and Intangible assets","(a) Property, Plant and Equipment and Intangible assets")</f>
        <v>(a) Property, Plant and Equipment and Intangible assets</v>
      </c>
      <c r="E44" s="285"/>
      <c r="F44" s="845"/>
      <c r="G44" s="1213"/>
      <c r="I44" s="41" t="str">
        <f>IF(AND(I45="No",I46="No",I47="No",I48="No"),"No","Yes")</f>
        <v>Yes</v>
      </c>
    </row>
    <row r="45" spans="3:12" x14ac:dyDescent="0.25">
      <c r="C45" s="48"/>
      <c r="D45" s="317" t="str">
        <f>IF(I45="No","(i) Property, Plant and Equipment","(i) Property, Plant and Equipment")</f>
        <v>(i) Property, Plant and Equipment</v>
      </c>
      <c r="E45" s="48">
        <f>+IF(I45="No",IF(AND(I36="Yes",I27="Yes"),E35,IF(AND(I36="Yes",I27="No"),E36,IF(AND(I36="No",I27="Yes"),E36,E36))),IF(AND(I36="Yes",I27="Yes"),E35+1,IF(AND(I36="Yes",I27="No"),E36+1,IF(AND(I36="No",I27="Yes"),E36+1,E36+1))))</f>
        <v>8</v>
      </c>
      <c r="F45" s="831">
        <v>1291.5057000000002</v>
      </c>
      <c r="G45" s="1213">
        <v>0</v>
      </c>
      <c r="I45" s="41" t="str">
        <f>IF(AND(F45=0,G45=0),"No","Yes")</f>
        <v>Yes</v>
      </c>
      <c r="K45" s="840"/>
    </row>
    <row r="46" spans="3:12" x14ac:dyDescent="0.25">
      <c r="C46" s="48"/>
      <c r="D46" s="290" t="str">
        <f>IF(I46="No","(ii) Intangible assets",IF(COUNTIF(I45,"Yes")=0,"(i) Intangible assets",IF(COUNTIF(I45,"Yes")=1,"(ii) Intangible assets")))</f>
        <v>(ii) Intangible assets</v>
      </c>
      <c r="E46" s="48" t="str">
        <f>IF(I46="No",E45,E45&amp;"B")</f>
        <v>8B</v>
      </c>
      <c r="F46" s="831">
        <v>325.98430000000002</v>
      </c>
      <c r="G46" s="1213">
        <v>0</v>
      </c>
      <c r="I46" s="41" t="str">
        <f>IF(AND(F46=0,G46=0),"No","Yes")</f>
        <v>Yes</v>
      </c>
      <c r="K46" s="840"/>
    </row>
    <row r="47" spans="3:12" x14ac:dyDescent="0.25">
      <c r="C47" s="48"/>
      <c r="D47" s="290" t="str">
        <f>IF(I47="No","(iii) Capital work-in-progress",IF(COUNTIF($I$45:$I$46,"Yes")=0,"(i) Capital work-in-progress",IF(COUNTIF($I$45:$I$46,"Yes")=1,"(ii) Capital work-in-progress",IF(COUNTIF($I$45:$I$46,"Yes")=2,"(iii) Capital work-in-progress","(iii) Capital work-in-progress"))))</f>
        <v>(iii) Capital work-in-progress</v>
      </c>
      <c r="E47" s="48">
        <f>IF(I47="No",E45,E45+1)</f>
        <v>8</v>
      </c>
      <c r="F47" s="845">
        <v>0</v>
      </c>
      <c r="G47" s="1213">
        <v>0</v>
      </c>
      <c r="I47" s="41" t="str">
        <f>IF(AND(F47=0,G47=0),"No","Yes")</f>
        <v>No</v>
      </c>
      <c r="J47" s="290"/>
    </row>
    <row r="48" spans="3:12" x14ac:dyDescent="0.25">
      <c r="C48" s="48"/>
      <c r="D48" s="290" t="str">
        <f>IF(I48="No","(iv) Intangible assets under development",IF(COUNTIF($I$45:$I47,"Yes")=0,"(i) Intangible assets under development",IF(COUNTIF($I$45:$I47,"Yes")=1,"(ii) Intangible assets under development",IF(COUNTIF($I$45:$I47,"Yes")=2,"(iii) Intangible assets under development",IF(COUNTIF($I$45:$I47,"Yes")=3,"(iv) Intangible assets under development","(iv) Intangible assets under development")))))</f>
        <v>(iv) Intangible assets under development</v>
      </c>
      <c r="E48" s="48">
        <f>IF(I48="No",E47,E47+1)</f>
        <v>8</v>
      </c>
      <c r="F48" s="845">
        <v>0</v>
      </c>
      <c r="G48" s="1213">
        <v>0</v>
      </c>
      <c r="I48" s="41" t="str">
        <f>IF(AND(F48=0,G48=0),"No","Yes")</f>
        <v>No</v>
      </c>
    </row>
    <row r="49" spans="3:20" x14ac:dyDescent="0.25">
      <c r="C49" s="48"/>
      <c r="D49" s="286"/>
      <c r="E49" s="48"/>
      <c r="F49" s="1508"/>
      <c r="G49" s="831"/>
      <c r="I49" s="41" t="str">
        <f>+IF(COUNTIF($I$45:$I$48,"Yes")&gt;0,"Yes","No")</f>
        <v>Yes</v>
      </c>
    </row>
    <row r="50" spans="3:20" x14ac:dyDescent="0.25">
      <c r="C50" s="48"/>
      <c r="D50" s="286" t="str">
        <f>+IF(I50="No","(b) Non-current investments",IF(COUNTIF(I49,"Yes")=0,"(a) Non-current investments",IF(COUNTIF(I49,"Yes")=1,"(b) Non-current investments","(b) Non-current investments")))</f>
        <v>(b) Non-current investments</v>
      </c>
      <c r="E50" s="285">
        <f>IF(I50="No",E48,E48+1)</f>
        <v>8</v>
      </c>
      <c r="F50" s="845">
        <v>0</v>
      </c>
      <c r="G50" s="831">
        <v>0</v>
      </c>
      <c r="I50" s="41" t="str">
        <f>IF(AND(F50=0,G50=0),"No","Yes")</f>
        <v>No</v>
      </c>
    </row>
    <row r="51" spans="3:20" x14ac:dyDescent="0.25">
      <c r="C51" s="48"/>
      <c r="D51" s="286" t="str">
        <f>IF(I51="No","(c) Deferred tax assets (net)",IF(COUNTIF($I$49:$I50,"Yes")=0,"(a) Deferred tax assets (net)",IF(COUNTIF($I$49:$I50,"Yes")=1,"(b) Deferred tax assets (net)",IF(COUNTIF($I$49:$I50,"Yes")=2,"(c) Deferred tax assets (net)","(c) Deferred tax assets (net)"))))</f>
        <v>(b) Deferred tax assets (net)</v>
      </c>
      <c r="E51" s="48" t="s">
        <v>3298</v>
      </c>
      <c r="F51" s="845">
        <v>379.74</v>
      </c>
      <c r="G51" s="831">
        <v>0</v>
      </c>
      <c r="I51" s="41" t="str">
        <f>IF(AND(F51=0,G51=0),"No","Yes")</f>
        <v>Yes</v>
      </c>
      <c r="J51" s="935"/>
      <c r="K51" s="844"/>
    </row>
    <row r="52" spans="3:20" x14ac:dyDescent="0.25">
      <c r="C52" s="48"/>
      <c r="D52" s="286" t="str">
        <f>IF(I52="No","(d) Long-term loans and advances",IF(COUNTIF($I$49:$I51,"Yes")=0,"(a) Long-term loans and advances",IF(COUNTIF($I$49:$I51,"Yes")=1,"(b) Long-term loans and advances",IF(COUNTIF($I$49:$I51,"Yes")=2,"(c) Long-term loans and advances",IF(COUNTIF($I$49:$I51,"Yes")=3,"(d) Long-term loans and advances","(d) Long-term loans and advances")))))</f>
        <v>(d) Long-term loans and advances</v>
      </c>
      <c r="E52" s="48">
        <f>IF(I52="No",E50,E50+1)</f>
        <v>8</v>
      </c>
      <c r="F52" s="845">
        <v>0</v>
      </c>
      <c r="G52" s="831">
        <v>0</v>
      </c>
      <c r="H52" s="291"/>
      <c r="I52" s="41" t="str">
        <f>IF(AND(F52=0,G52=0),"No","Yes")</f>
        <v>No</v>
      </c>
    </row>
    <row r="53" spans="3:20" x14ac:dyDescent="0.25">
      <c r="C53" s="48"/>
      <c r="D53" s="286" t="str">
        <f>IF(I53="No","(e) Other non-current assets",IF(COUNTIF($I$49:$I52,"Yes")=0,"(a) Other non-current assets",IF(COUNTIF($I$49:$I52,"Yes")=1,"(b) Other non-current assets",IF(COUNTIF($I$49:$I52,"Yes")=2,"(c) Other non-current assets",IF(COUNTIF($I$49:$I52,"Yes")=3,"(d) Other non-current assets",IF(COUNTIF($I$49:$I52,"Yes")=4,"(e) Other non-current assets","(e) Other non-current assets"))))))</f>
        <v>(c) Other non-current assets</v>
      </c>
      <c r="E53" s="48">
        <f>IF(I53="No",E52,E52+1)</f>
        <v>9</v>
      </c>
      <c r="F53" s="845">
        <v>16640</v>
      </c>
      <c r="G53" s="831">
        <v>0</v>
      </c>
      <c r="H53" s="291"/>
      <c r="I53" s="41" t="str">
        <f>IF(AND(F53=0,G53=0),"No","Yes")</f>
        <v>Yes</v>
      </c>
    </row>
    <row r="54" spans="3:20" x14ac:dyDescent="0.25">
      <c r="C54" s="48"/>
      <c r="D54" s="141"/>
      <c r="E54" s="48"/>
      <c r="F54" s="1505">
        <f>SUM(F45:F53)</f>
        <v>18637.23</v>
      </c>
      <c r="G54" s="843">
        <f>SUM(G45:G53)</f>
        <v>0</v>
      </c>
      <c r="I54" s="41" t="str">
        <f>IF(AND(F54=0,G54=0),"No","Yes")</f>
        <v>Yes</v>
      </c>
    </row>
    <row r="55" spans="3:20" x14ac:dyDescent="0.25">
      <c r="C55" s="48"/>
      <c r="D55" s="141"/>
      <c r="E55" s="48"/>
      <c r="F55" s="845"/>
      <c r="G55" s="1213"/>
      <c r="I55" s="41" t="str">
        <f>IF(AND(F54=0,G54=0),"No","Yes")</f>
        <v>Yes</v>
      </c>
    </row>
    <row r="56" spans="3:20" x14ac:dyDescent="0.25">
      <c r="C56" s="246">
        <f>IF(I56="No",C43,C43+1)</f>
        <v>2</v>
      </c>
      <c r="D56" s="210" t="s">
        <v>12</v>
      </c>
      <c r="E56" s="48"/>
      <c r="F56" s="845"/>
      <c r="G56" s="1213"/>
      <c r="I56" s="41" t="str">
        <f>IF(I63="No","No","Yes")</f>
        <v>Yes</v>
      </c>
      <c r="J56" s="565"/>
    </row>
    <row r="57" spans="3:20" x14ac:dyDescent="0.25">
      <c r="C57" s="48"/>
      <c r="D57" s="686" t="str">
        <f>IF(I57="No","(a) Current investments","(a) Current investments")</f>
        <v>(a) Current investments</v>
      </c>
      <c r="E57" s="285">
        <f>IF(I57="No",E53,E53+1)</f>
        <v>9</v>
      </c>
      <c r="F57" s="845"/>
      <c r="G57" s="831"/>
      <c r="H57" s="291"/>
      <c r="I57" s="41" t="str">
        <f t="shared" ref="I57:I63" si="0">IF(AND(F57=0,G57=0),"No","Yes")</f>
        <v>No</v>
      </c>
      <c r="J57" s="1911"/>
    </row>
    <row r="58" spans="3:20" x14ac:dyDescent="0.25">
      <c r="C58" s="134"/>
      <c r="D58" s="286" t="str">
        <f>IF(I58="No","(b) Inventories",IF(COUNTIF(I57,"Yes")=0,"(a) Inventories",IF(COUNTIF(I57,"Yes")=1,"(b) Inventories","(b) Inventories")))</f>
        <v>(a) Inventories</v>
      </c>
      <c r="E58" s="48">
        <f>IF(I58="No",E57,E57+1)</f>
        <v>10</v>
      </c>
      <c r="F58" s="845">
        <v>152859.7971</v>
      </c>
      <c r="G58" s="831">
        <v>0</v>
      </c>
      <c r="H58" s="291"/>
      <c r="I58" s="41" t="str">
        <f t="shared" si="0"/>
        <v>Yes</v>
      </c>
      <c r="J58" s="1911"/>
      <c r="K58" s="840"/>
    </row>
    <row r="59" spans="3:20" x14ac:dyDescent="0.25">
      <c r="C59" s="134"/>
      <c r="D59" s="286" t="str">
        <f>IF(I59="No","(c) Trade receivables",IF(COUNTIF($I$57:$I58,"Yes")=0,"(a) Trade receivables",IF(COUNTIF($I$57:$I58,"Yes")=1,"(b) Trade receivables",IF(COUNTIF($I$57:$I58,"Yes")=2,"(c) Trade receivables","(c) Trade receivables"))))</f>
        <v>(b) Trade receivables</v>
      </c>
      <c r="E59" s="48">
        <f>IF(I59="No",E58,E58+1)</f>
        <v>11</v>
      </c>
      <c r="F59" s="845">
        <v>235436.72120000006</v>
      </c>
      <c r="G59" s="831">
        <v>0</v>
      </c>
      <c r="I59" s="41" t="str">
        <f t="shared" si="0"/>
        <v>Yes</v>
      </c>
      <c r="J59" s="1911"/>
      <c r="K59" s="840"/>
    </row>
    <row r="60" spans="3:20" x14ac:dyDescent="0.25">
      <c r="C60" s="134"/>
      <c r="D60" s="286" t="str">
        <f>IF(I60="No","(d) Cash and cash equivalents",IF(COUNTIF($I$57:$I59,"Yes")=0,"(a) Cash and cash equivalents",IF(COUNTIF($I$57:$I59,"Yes")=1,"(b) Cash and cash equivalents",IF(COUNTIF($I$57:$I59,"Yes")=2,"(c) Cash and cash equivalents",IF(COUNTIF($I$57:$I59,"Yes")=3,"(d) Cash and cash equivalents","(d) Cash and cash equivalents")))))</f>
        <v>(c) Cash and cash equivalents</v>
      </c>
      <c r="E60" s="48">
        <f>IF(I60="No",E59,E59+1)</f>
        <v>12</v>
      </c>
      <c r="F60" s="845">
        <v>665969.86219999997</v>
      </c>
      <c r="G60" s="831">
        <v>0</v>
      </c>
      <c r="H60" s="291"/>
      <c r="I60" s="41" t="str">
        <f t="shared" si="0"/>
        <v>Yes</v>
      </c>
      <c r="J60" s="1911"/>
      <c r="K60" s="840"/>
    </row>
    <row r="61" spans="3:20" x14ac:dyDescent="0.25">
      <c r="C61" s="134"/>
      <c r="D61" s="286" t="str">
        <f>IF(I61="No","(e) Short-term loans and advances",IF(COUNTIF($I$57:$I60,"Yes")=0,"(a) Short-term loans and advances",IF(COUNTIF($I$57:$I60,"Yes")=1,"(b) Short-term loans and advances",IF(COUNTIF($I$57:$I60,"Yes")=2,"(c) Short-term loans and advances",IF(COUNTIF($I$57:$I60,"Yes")=3,"(d) Short-term loans and advances",IF(COUNTIF($I$57:$I60,"Yes")=4,"(e) Short-term loans and advances","(e) Short-term loans and advances"))))))</f>
        <v>(d) Short-term loans and advances</v>
      </c>
      <c r="E61" s="48">
        <f>IF(I61="No",E60,E60+1)</f>
        <v>13</v>
      </c>
      <c r="F61" s="845">
        <v>200599.53010000003</v>
      </c>
      <c r="G61" s="831">
        <v>0</v>
      </c>
      <c r="H61" s="291"/>
      <c r="I61" s="41" t="str">
        <f t="shared" si="0"/>
        <v>Yes</v>
      </c>
      <c r="J61" s="1911"/>
      <c r="K61" s="844"/>
      <c r="T61" s="680"/>
    </row>
    <row r="62" spans="3:20" x14ac:dyDescent="0.25">
      <c r="C62" s="134"/>
      <c r="D62" s="286" t="str">
        <f>IF(I62="No","(f) Other current assets",IF(COUNTIF($I$57:$I61,"Yes")=0,"(a) Other current assets",IF(COUNTIF($I$57:$I61,"Yes")=1,"(b) Other current assets",IF(COUNTIF($I$57:$I61,"Yes")=2,"(c) Other current assets",IF(COUNTIF($I$57:$I61,"Yes")=3,"(d) Other current assets",IF(COUNTIF($I$57:$I61,"Yes")=4,"(e) Other current assets",IF(COUNTIF($I$57:$I61,"Yes")=5,"(f) Other current assets","(f) Other current assets")))))))</f>
        <v>(e) Other current assets</v>
      </c>
      <c r="E62" s="48">
        <f>IF(I62="No",E61,E61+1)</f>
        <v>14</v>
      </c>
      <c r="F62" s="845">
        <v>6294.29</v>
      </c>
      <c r="G62" s="831">
        <v>0</v>
      </c>
      <c r="I62" s="41" t="str">
        <f t="shared" si="0"/>
        <v>Yes</v>
      </c>
      <c r="J62" s="935"/>
      <c r="K62" s="844"/>
    </row>
    <row r="63" spans="3:20" x14ac:dyDescent="0.25">
      <c r="C63" s="134"/>
      <c r="D63" s="141"/>
      <c r="E63" s="285"/>
      <c r="F63" s="1505">
        <f>SUM(F57:F62)</f>
        <v>1261160.2006000001</v>
      </c>
      <c r="G63" s="843">
        <f>SUM(G57:G62)</f>
        <v>0</v>
      </c>
      <c r="I63" s="41" t="str">
        <f t="shared" si="0"/>
        <v>Yes</v>
      </c>
    </row>
    <row r="64" spans="3:20" x14ac:dyDescent="0.25">
      <c r="C64" s="134"/>
      <c r="D64" s="141"/>
      <c r="E64" s="48"/>
      <c r="F64" s="845"/>
      <c r="G64" s="1213"/>
      <c r="I64" s="41" t="str">
        <f>IF(I63="No","No","Yes")</f>
        <v>Yes</v>
      </c>
    </row>
    <row r="65" spans="3:19" ht="17.25" thickBot="1" x14ac:dyDescent="0.3">
      <c r="C65" s="134"/>
      <c r="D65" s="141"/>
      <c r="E65" s="48"/>
      <c r="F65" s="1507">
        <f>F54+F63</f>
        <v>1279797.4306000001</v>
      </c>
      <c r="G65" s="1217">
        <f>G54+G63</f>
        <v>0</v>
      </c>
      <c r="I65" s="41" t="str">
        <f>IF(AND(F65=0,G65=0),"No","Yes")</f>
        <v>Yes</v>
      </c>
      <c r="J65" s="444">
        <f>+F39-F65</f>
        <v>-0.94450000021606684</v>
      </c>
      <c r="K65" s="806">
        <f>+J65*100</f>
        <v>-94.450000021606684</v>
      </c>
    </row>
    <row r="66" spans="3:19" ht="30" x14ac:dyDescent="0.25">
      <c r="C66" s="169"/>
      <c r="D66" s="687" t="s">
        <v>579</v>
      </c>
      <c r="E66" s="96"/>
      <c r="F66" s="942"/>
      <c r="G66" s="1218"/>
      <c r="I66" s="41" t="str">
        <f>+$I$65</f>
        <v>Yes</v>
      </c>
      <c r="K66" s="935"/>
      <c r="R66" s="932">
        <f>+F65-F39</f>
        <v>0.94450000021606684</v>
      </c>
      <c r="S66" s="933"/>
    </row>
    <row r="67" spans="3:19" x14ac:dyDescent="0.25">
      <c r="C67" s="604" t="s">
        <v>13</v>
      </c>
      <c r="D67" s="529"/>
      <c r="E67" s="459"/>
      <c r="F67" s="1509"/>
      <c r="G67" s="1199"/>
      <c r="H67" s="318"/>
      <c r="I67" s="41" t="s">
        <v>990</v>
      </c>
    </row>
    <row r="68" spans="3:19" x14ac:dyDescent="0.25">
      <c r="C68" s="210" t="s">
        <v>816</v>
      </c>
      <c r="D68" s="292"/>
      <c r="F68" s="1510" t="s">
        <v>14</v>
      </c>
      <c r="G68" s="1219"/>
      <c r="H68" s="42"/>
      <c r="I68" s="41" t="str">
        <f t="shared" ref="I68:I83" si="1">+$I$67</f>
        <v>Yes</v>
      </c>
    </row>
    <row r="69" spans="3:19" x14ac:dyDescent="0.25">
      <c r="C69" s="141" t="s">
        <v>15</v>
      </c>
      <c r="D69" s="292"/>
      <c r="E69" s="278" t="s">
        <v>16</v>
      </c>
      <c r="F69" s="1771" t="str">
        <f>+C9</f>
        <v>XYZ private Limited</v>
      </c>
      <c r="G69" s="1200"/>
      <c r="H69" s="279"/>
      <c r="I69" s="41" t="str">
        <f t="shared" si="1"/>
        <v>Yes</v>
      </c>
    </row>
    <row r="70" spans="3:19" x14ac:dyDescent="0.25">
      <c r="C70" s="141" t="s">
        <v>817</v>
      </c>
      <c r="D70" s="292"/>
      <c r="E70" s="278"/>
      <c r="F70" s="836"/>
      <c r="G70" s="1200"/>
      <c r="H70" s="279"/>
      <c r="I70" s="41" t="str">
        <f t="shared" si="1"/>
        <v>Yes</v>
      </c>
    </row>
    <row r="71" spans="3:19" x14ac:dyDescent="0.3">
      <c r="C71" s="186" t="s">
        <v>3290</v>
      </c>
      <c r="D71" s="1"/>
      <c r="E71" s="1"/>
      <c r="F71" s="9"/>
      <c r="G71" s="1220"/>
      <c r="H71" s="279"/>
      <c r="I71" s="41" t="str">
        <f t="shared" si="1"/>
        <v>Yes</v>
      </c>
    </row>
    <row r="72" spans="3:19" x14ac:dyDescent="0.3">
      <c r="C72" s="186"/>
      <c r="D72" s="1"/>
      <c r="E72" s="1"/>
      <c r="F72" s="9"/>
      <c r="G72" s="1220"/>
      <c r="H72" s="281"/>
      <c r="I72" s="41" t="str">
        <f t="shared" si="1"/>
        <v>Yes</v>
      </c>
    </row>
    <row r="73" spans="3:19" x14ac:dyDescent="0.3">
      <c r="C73" s="186"/>
      <c r="D73" s="1"/>
      <c r="E73" s="1"/>
      <c r="F73" s="9"/>
      <c r="G73" s="1220"/>
      <c r="H73" s="282"/>
      <c r="I73" s="41" t="str">
        <f t="shared" si="1"/>
        <v>Yes</v>
      </c>
    </row>
    <row r="74" spans="3:19" x14ac:dyDescent="0.3">
      <c r="C74" s="186"/>
      <c r="D74" s="1"/>
      <c r="E74" s="1"/>
      <c r="F74" s="9"/>
      <c r="G74" s="1220"/>
      <c r="H74" s="42"/>
      <c r="I74" s="41" t="str">
        <f t="shared" si="1"/>
        <v>Yes</v>
      </c>
      <c r="M74" s="217"/>
    </row>
    <row r="75" spans="3:19" x14ac:dyDescent="0.3">
      <c r="C75" s="186"/>
      <c r="D75" s="1"/>
      <c r="E75" s="1"/>
      <c r="F75" s="9"/>
      <c r="G75" s="1220"/>
      <c r="I75" s="41" t="str">
        <f t="shared" si="1"/>
        <v>Yes</v>
      </c>
    </row>
    <row r="76" spans="3:19" x14ac:dyDescent="0.3">
      <c r="C76" s="186"/>
      <c r="D76" s="1"/>
      <c r="E76" s="1"/>
      <c r="F76" s="9"/>
      <c r="G76" s="1220"/>
      <c r="H76" s="17"/>
      <c r="I76" s="41" t="str">
        <f t="shared" si="1"/>
        <v>Yes</v>
      </c>
    </row>
    <row r="77" spans="3:19" x14ac:dyDescent="0.25">
      <c r="C77" s="742" t="s">
        <v>1115</v>
      </c>
      <c r="D77" s="743"/>
      <c r="F77" s="1510" t="s">
        <v>2044</v>
      </c>
      <c r="G77" s="1221" t="s">
        <v>1698</v>
      </c>
      <c r="H77" s="279"/>
      <c r="I77" s="41" t="str">
        <f t="shared" si="1"/>
        <v>Yes</v>
      </c>
    </row>
    <row r="78" spans="3:19" x14ac:dyDescent="0.25">
      <c r="C78" s="2713" t="s">
        <v>18</v>
      </c>
      <c r="D78" s="2714"/>
      <c r="F78" s="1510" t="s">
        <v>1699</v>
      </c>
      <c r="G78" s="1219" t="s">
        <v>1699</v>
      </c>
      <c r="H78" s="281"/>
      <c r="I78" s="41" t="str">
        <f t="shared" si="1"/>
        <v>Yes</v>
      </c>
    </row>
    <row r="79" spans="3:19" x14ac:dyDescent="0.3">
      <c r="C79" s="744" t="s">
        <v>3291</v>
      </c>
      <c r="D79" s="745"/>
      <c r="E79" s="14"/>
      <c r="F79" s="1371" t="s">
        <v>3292</v>
      </c>
      <c r="G79" s="1222" t="s">
        <v>3293</v>
      </c>
      <c r="H79" s="281"/>
      <c r="I79" s="41" t="str">
        <f t="shared" si="1"/>
        <v>Yes</v>
      </c>
    </row>
    <row r="80" spans="3:19" x14ac:dyDescent="0.3">
      <c r="C80" s="746" t="s">
        <v>3294</v>
      </c>
      <c r="D80" s="747"/>
      <c r="E80" s="14"/>
      <c r="F80" s="1511" t="s">
        <v>3294</v>
      </c>
      <c r="G80" s="1223" t="s">
        <v>3295</v>
      </c>
      <c r="I80" s="41" t="str">
        <f t="shared" si="1"/>
        <v>Yes</v>
      </c>
    </row>
    <row r="81" spans="3:9" x14ac:dyDescent="0.3">
      <c r="C81" s="746" t="s">
        <v>3296</v>
      </c>
      <c r="D81" s="748"/>
      <c r="E81" s="14"/>
      <c r="F81" s="1511" t="s">
        <v>3297</v>
      </c>
      <c r="G81" s="1223" t="s">
        <v>3297</v>
      </c>
      <c r="I81" s="41" t="str">
        <f t="shared" si="1"/>
        <v>Yes</v>
      </c>
    </row>
    <row r="82" spans="3:9" x14ac:dyDescent="0.3">
      <c r="C82" s="746"/>
      <c r="D82" s="14"/>
      <c r="E82" s="14"/>
      <c r="F82" s="1511"/>
      <c r="G82" s="1222"/>
      <c r="I82" s="41" t="str">
        <f t="shared" si="1"/>
        <v>Yes</v>
      </c>
    </row>
    <row r="83" spans="3:9" x14ac:dyDescent="0.25">
      <c r="C83" s="142"/>
      <c r="D83" s="97"/>
      <c r="E83" s="97"/>
      <c r="F83" s="1512"/>
      <c r="G83" s="1218"/>
      <c r="I83" s="41" t="str">
        <f t="shared" si="1"/>
        <v>Yes</v>
      </c>
    </row>
    <row r="84" spans="3:9" x14ac:dyDescent="0.25">
      <c r="I84" s="41" t="s">
        <v>990</v>
      </c>
    </row>
  </sheetData>
  <mergeCells count="2">
    <mergeCell ref="C13:D13"/>
    <mergeCell ref="C78:D78"/>
  </mergeCells>
  <pageMargins left="0.5" right="0.5" top="0.5" bottom="0.5" header="0.5" footer="0.5"/>
  <pageSetup paperSize="9" scale="61"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C1:K230"/>
  <sheetViews>
    <sheetView showGridLines="0" topLeftCell="B1" zoomScale="80" zoomScaleNormal="80" workbookViewId="0">
      <selection activeCell="B1" sqref="B1"/>
    </sheetView>
  </sheetViews>
  <sheetFormatPr defaultColWidth="8.85546875" defaultRowHeight="16.5" x14ac:dyDescent="0.3"/>
  <cols>
    <col min="1" max="1" width="0" style="1" hidden="1" customWidth="1"/>
    <col min="2" max="2" width="3.7109375" style="1" customWidth="1"/>
    <col min="3" max="16384" width="8.85546875" style="1"/>
  </cols>
  <sheetData>
    <row r="1" spans="3:11" s="1481" customFormat="1" x14ac:dyDescent="0.3">
      <c r="C1" s="1482"/>
      <c r="D1" s="1482"/>
      <c r="E1" s="1482"/>
      <c r="F1" s="1482"/>
      <c r="G1" s="1482"/>
      <c r="H1" s="1482"/>
      <c r="J1" s="1483"/>
      <c r="K1" s="1483"/>
    </row>
    <row r="2" spans="3:11" s="1481" customFormat="1" x14ac:dyDescent="0.3">
      <c r="C2" s="1482"/>
      <c r="D2" s="1482"/>
      <c r="E2" s="1482"/>
      <c r="F2" s="1482"/>
      <c r="G2" s="1482"/>
      <c r="H2" s="1482"/>
      <c r="J2" s="1483"/>
      <c r="K2" s="1483"/>
    </row>
    <row r="3" spans="3:11" s="1481" customFormat="1" x14ac:dyDescent="0.3">
      <c r="C3" s="1482"/>
      <c r="D3" s="1482"/>
      <c r="E3" s="1482"/>
      <c r="F3" s="1482"/>
      <c r="G3" s="1482"/>
      <c r="H3" s="1482"/>
      <c r="J3" s="1483"/>
      <c r="K3" s="1483"/>
    </row>
    <row r="4" spans="3:11" s="1481" customFormat="1" x14ac:dyDescent="0.3">
      <c r="C4" s="1482"/>
      <c r="D4" s="1482"/>
      <c r="E4" s="1482"/>
      <c r="F4" s="1482"/>
      <c r="G4" s="1482"/>
      <c r="H4" s="1482"/>
      <c r="J4" s="1483"/>
      <c r="K4" s="1483"/>
    </row>
    <row r="5" spans="3:11" s="1481" customFormat="1" x14ac:dyDescent="0.3">
      <c r="C5" s="1482"/>
      <c r="D5" s="1482"/>
      <c r="E5" s="1482"/>
      <c r="F5" s="1482"/>
      <c r="G5" s="1482"/>
      <c r="H5" s="1482"/>
      <c r="J5" s="1483"/>
      <c r="K5" s="1483"/>
    </row>
    <row r="6" spans="3:11" s="1481" customFormat="1" x14ac:dyDescent="0.3">
      <c r="C6" s="1482"/>
      <c r="D6" s="1482"/>
      <c r="E6" s="1482"/>
      <c r="F6" s="1482"/>
      <c r="G6" s="1482"/>
      <c r="H6" s="1482"/>
      <c r="J6" s="1483"/>
      <c r="K6" s="1483"/>
    </row>
    <row r="8" spans="3:11" x14ac:dyDescent="0.3">
      <c r="C8" s="4" t="str">
        <f>+Liabilities!C11</f>
        <v>Note 3 : Share Capital</v>
      </c>
    </row>
    <row r="9" spans="3:11" x14ac:dyDescent="0.3">
      <c r="C9" s="3087"/>
      <c r="D9" s="3088"/>
      <c r="E9" s="3088"/>
      <c r="F9" s="3088"/>
      <c r="G9" s="3088"/>
      <c r="H9" s="3089"/>
    </row>
    <row r="10" spans="3:11" x14ac:dyDescent="0.3">
      <c r="C10" s="3087"/>
      <c r="D10" s="3088"/>
      <c r="E10" s="3088"/>
      <c r="F10" s="3088"/>
      <c r="G10" s="3088"/>
      <c r="H10" s="3089"/>
    </row>
    <row r="11" spans="3:11" x14ac:dyDescent="0.3">
      <c r="C11" s="3087"/>
      <c r="D11" s="3088"/>
      <c r="E11" s="3088"/>
      <c r="F11" s="3088"/>
      <c r="G11" s="3088"/>
      <c r="H11" s="3089"/>
    </row>
    <row r="12" spans="3:11" x14ac:dyDescent="0.3">
      <c r="C12" s="3087"/>
      <c r="D12" s="3088"/>
      <c r="E12" s="3088"/>
      <c r="F12" s="3088"/>
      <c r="G12" s="3088"/>
      <c r="H12" s="3089"/>
    </row>
    <row r="13" spans="3:11" x14ac:dyDescent="0.3">
      <c r="C13" s="3087"/>
      <c r="D13" s="3088"/>
      <c r="E13" s="3088"/>
      <c r="F13" s="3088"/>
      <c r="G13" s="3088"/>
      <c r="H13" s="3089"/>
    </row>
    <row r="14" spans="3:11" x14ac:dyDescent="0.3">
      <c r="C14" s="3087"/>
      <c r="D14" s="3088"/>
      <c r="E14" s="3088"/>
      <c r="F14" s="3088"/>
      <c r="G14" s="3088"/>
      <c r="H14" s="3089"/>
    </row>
    <row r="16" spans="3:11" x14ac:dyDescent="0.3">
      <c r="C16" s="4" t="str">
        <f>+Liabilities!C354</f>
        <v>Note 4 : Reserves and Surplus</v>
      </c>
    </row>
    <row r="17" spans="3:8" x14ac:dyDescent="0.3">
      <c r="C17" s="3087"/>
      <c r="D17" s="3088"/>
      <c r="E17" s="3088"/>
      <c r="F17" s="3088"/>
      <c r="G17" s="3088"/>
      <c r="H17" s="3089"/>
    </row>
    <row r="18" spans="3:8" x14ac:dyDescent="0.3">
      <c r="C18" s="3087"/>
      <c r="D18" s="3088"/>
      <c r="E18" s="3088"/>
      <c r="F18" s="3088"/>
      <c r="G18" s="3088"/>
      <c r="H18" s="3089"/>
    </row>
    <row r="19" spans="3:8" x14ac:dyDescent="0.3">
      <c r="C19" s="3087"/>
      <c r="D19" s="3088"/>
      <c r="E19" s="3088"/>
      <c r="F19" s="3088"/>
      <c r="G19" s="3088"/>
      <c r="H19" s="3089"/>
    </row>
    <row r="20" spans="3:8" x14ac:dyDescent="0.3">
      <c r="C20" s="3087"/>
      <c r="D20" s="3088"/>
      <c r="E20" s="3088"/>
      <c r="F20" s="3088"/>
      <c r="G20" s="3088"/>
      <c r="H20" s="3089"/>
    </row>
    <row r="21" spans="3:8" x14ac:dyDescent="0.3">
      <c r="C21" s="3087"/>
      <c r="D21" s="3088"/>
      <c r="E21" s="3088"/>
      <c r="F21" s="3088"/>
      <c r="G21" s="3088"/>
      <c r="H21" s="3089"/>
    </row>
    <row r="22" spans="3:8" x14ac:dyDescent="0.3">
      <c r="C22" s="3087"/>
      <c r="D22" s="3088"/>
      <c r="E22" s="3088"/>
      <c r="F22" s="3088"/>
      <c r="G22" s="3088"/>
      <c r="H22" s="3089"/>
    </row>
    <row r="24" spans="3:8" x14ac:dyDescent="0.3">
      <c r="C24" s="4" t="str">
        <f>+Liabilities!C466</f>
        <v>Note 5 : Borrowings</v>
      </c>
    </row>
    <row r="25" spans="3:8" x14ac:dyDescent="0.3">
      <c r="C25" s="3087"/>
      <c r="D25" s="3088"/>
      <c r="E25" s="3088"/>
      <c r="F25" s="3088"/>
      <c r="G25" s="3088"/>
      <c r="H25" s="3089"/>
    </row>
    <row r="26" spans="3:8" x14ac:dyDescent="0.3">
      <c r="C26" s="3087"/>
      <c r="D26" s="3088"/>
      <c r="E26" s="3088"/>
      <c r="F26" s="3088"/>
      <c r="G26" s="3088"/>
      <c r="H26" s="3089"/>
    </row>
    <row r="27" spans="3:8" x14ac:dyDescent="0.3">
      <c r="C27" s="3087"/>
      <c r="D27" s="3088"/>
      <c r="E27" s="3088"/>
      <c r="F27" s="3088"/>
      <c r="G27" s="3088"/>
      <c r="H27" s="3089"/>
    </row>
    <row r="28" spans="3:8" x14ac:dyDescent="0.3">
      <c r="C28" s="3087"/>
      <c r="D28" s="3088"/>
      <c r="E28" s="3088"/>
      <c r="F28" s="3088"/>
      <c r="G28" s="3088"/>
      <c r="H28" s="3089"/>
    </row>
    <row r="29" spans="3:8" x14ac:dyDescent="0.3">
      <c r="C29" s="3087"/>
      <c r="D29" s="3088"/>
      <c r="E29" s="3088"/>
      <c r="F29" s="3088"/>
      <c r="G29" s="3088"/>
      <c r="H29" s="3089"/>
    </row>
    <row r="30" spans="3:8" x14ac:dyDescent="0.3">
      <c r="C30" s="3087"/>
      <c r="D30" s="3088"/>
      <c r="E30" s="3088"/>
      <c r="F30" s="3088"/>
      <c r="G30" s="3088"/>
      <c r="H30" s="3089"/>
    </row>
    <row r="32" spans="3:8" x14ac:dyDescent="0.3">
      <c r="C32" s="4" t="e">
        <f>+Liabilities!#REF!</f>
        <v>#REF!</v>
      </c>
    </row>
    <row r="33" spans="3:8" x14ac:dyDescent="0.3">
      <c r="C33" s="3087"/>
      <c r="D33" s="3088"/>
      <c r="E33" s="3088"/>
      <c r="F33" s="3088"/>
      <c r="G33" s="3088"/>
      <c r="H33" s="3089"/>
    </row>
    <row r="34" spans="3:8" x14ac:dyDescent="0.3">
      <c r="C34" s="3087"/>
      <c r="D34" s="3088"/>
      <c r="E34" s="3088"/>
      <c r="F34" s="3088"/>
      <c r="G34" s="3088"/>
      <c r="H34" s="3089"/>
    </row>
    <row r="35" spans="3:8" x14ac:dyDescent="0.3">
      <c r="C35" s="3087"/>
      <c r="D35" s="3088"/>
      <c r="E35" s="3088"/>
      <c r="F35" s="3088"/>
      <c r="G35" s="3088"/>
      <c r="H35" s="3089"/>
    </row>
    <row r="36" spans="3:8" x14ac:dyDescent="0.3">
      <c r="C36" s="3087"/>
      <c r="D36" s="3088"/>
      <c r="E36" s="3088"/>
      <c r="F36" s="3088"/>
      <c r="G36" s="3088"/>
      <c r="H36" s="3089"/>
    </row>
    <row r="37" spans="3:8" x14ac:dyDescent="0.3">
      <c r="C37" s="3087"/>
      <c r="D37" s="3088"/>
      <c r="E37" s="3088"/>
      <c r="F37" s="3088"/>
      <c r="G37" s="3088"/>
      <c r="H37" s="3089"/>
    </row>
    <row r="38" spans="3:8" x14ac:dyDescent="0.3">
      <c r="C38" s="3087"/>
      <c r="D38" s="3088"/>
      <c r="E38" s="3088"/>
      <c r="F38" s="3088"/>
      <c r="G38" s="3088"/>
      <c r="H38" s="3089"/>
    </row>
    <row r="40" spans="3:8" x14ac:dyDescent="0.3">
      <c r="C40" s="4" t="str">
        <f>+Liabilities!C593</f>
        <v>Note 4: Other Long-term Liabilities</v>
      </c>
    </row>
    <row r="41" spans="3:8" x14ac:dyDescent="0.3">
      <c r="C41" s="3087"/>
      <c r="D41" s="3088"/>
      <c r="E41" s="3088"/>
      <c r="F41" s="3088"/>
      <c r="G41" s="3088"/>
      <c r="H41" s="3089"/>
    </row>
    <row r="42" spans="3:8" x14ac:dyDescent="0.3">
      <c r="C42" s="3087"/>
      <c r="D42" s="3088"/>
      <c r="E42" s="3088"/>
      <c r="F42" s="3088"/>
      <c r="G42" s="3088"/>
      <c r="H42" s="3089"/>
    </row>
    <row r="43" spans="3:8" x14ac:dyDescent="0.3">
      <c r="C43" s="3087"/>
      <c r="D43" s="3088"/>
      <c r="E43" s="3088"/>
      <c r="F43" s="3088"/>
      <c r="G43" s="3088"/>
      <c r="H43" s="3089"/>
    </row>
    <row r="44" spans="3:8" x14ac:dyDescent="0.3">
      <c r="C44" s="3087"/>
      <c r="D44" s="3088"/>
      <c r="E44" s="3088"/>
      <c r="F44" s="3088"/>
      <c r="G44" s="3088"/>
      <c r="H44" s="3089"/>
    </row>
    <row r="45" spans="3:8" x14ac:dyDescent="0.3">
      <c r="C45" s="3087"/>
      <c r="D45" s="3088"/>
      <c r="E45" s="3088"/>
      <c r="F45" s="3088"/>
      <c r="G45" s="3088"/>
      <c r="H45" s="3089"/>
    </row>
    <row r="46" spans="3:8" x14ac:dyDescent="0.3">
      <c r="C46" s="3087"/>
      <c r="D46" s="3088"/>
      <c r="E46" s="3088"/>
      <c r="F46" s="3088"/>
      <c r="G46" s="3088"/>
      <c r="H46" s="3089"/>
    </row>
    <row r="48" spans="3:8" x14ac:dyDescent="0.3">
      <c r="C48" s="4" t="str">
        <f>+Liabilities!C615</f>
        <v>Note 5 : Provisions</v>
      </c>
    </row>
    <row r="49" spans="3:8" x14ac:dyDescent="0.3">
      <c r="C49" s="3087"/>
      <c r="D49" s="3088"/>
      <c r="E49" s="3088"/>
      <c r="F49" s="3088"/>
      <c r="G49" s="3088"/>
      <c r="H49" s="3089"/>
    </row>
    <row r="50" spans="3:8" x14ac:dyDescent="0.3">
      <c r="C50" s="3087"/>
      <c r="D50" s="3088"/>
      <c r="E50" s="3088"/>
      <c r="F50" s="3088"/>
      <c r="G50" s="3088"/>
      <c r="H50" s="3089"/>
    </row>
    <row r="51" spans="3:8" x14ac:dyDescent="0.3">
      <c r="C51" s="3087"/>
      <c r="D51" s="3088"/>
      <c r="E51" s="3088"/>
      <c r="F51" s="3088"/>
      <c r="G51" s="3088"/>
      <c r="H51" s="3089"/>
    </row>
    <row r="52" spans="3:8" x14ac:dyDescent="0.3">
      <c r="C52" s="3087"/>
      <c r="D52" s="3088"/>
      <c r="E52" s="3088"/>
      <c r="F52" s="3088"/>
      <c r="G52" s="3088"/>
      <c r="H52" s="3089"/>
    </row>
    <row r="53" spans="3:8" x14ac:dyDescent="0.3">
      <c r="C53" s="3087"/>
      <c r="D53" s="3088"/>
      <c r="E53" s="3088"/>
      <c r="F53" s="3088"/>
      <c r="G53" s="3088"/>
      <c r="H53" s="3089"/>
    </row>
    <row r="54" spans="3:8" x14ac:dyDescent="0.3">
      <c r="C54" s="3087"/>
      <c r="D54" s="3088"/>
      <c r="E54" s="3088"/>
      <c r="F54" s="3088"/>
      <c r="G54" s="3088"/>
      <c r="H54" s="3089"/>
    </row>
    <row r="56" spans="3:8" x14ac:dyDescent="0.3">
      <c r="C56" s="4" t="str">
        <f>+Liabilities!C643</f>
        <v>Note 6 : Trade Payables</v>
      </c>
    </row>
    <row r="57" spans="3:8" x14ac:dyDescent="0.3">
      <c r="C57" s="3087"/>
      <c r="D57" s="3088"/>
      <c r="E57" s="3088"/>
      <c r="F57" s="3088"/>
      <c r="G57" s="3088"/>
      <c r="H57" s="3089"/>
    </row>
    <row r="58" spans="3:8" x14ac:dyDescent="0.3">
      <c r="C58" s="3087"/>
      <c r="D58" s="3088"/>
      <c r="E58" s="3088"/>
      <c r="F58" s="3088"/>
      <c r="G58" s="3088"/>
      <c r="H58" s="3089"/>
    </row>
    <row r="59" spans="3:8" x14ac:dyDescent="0.3">
      <c r="C59" s="3087"/>
      <c r="D59" s="3088"/>
      <c r="E59" s="3088"/>
      <c r="F59" s="3088"/>
      <c r="G59" s="3088"/>
      <c r="H59" s="3089"/>
    </row>
    <row r="60" spans="3:8" x14ac:dyDescent="0.3">
      <c r="C60" s="3087"/>
      <c r="D60" s="3088"/>
      <c r="E60" s="3088"/>
      <c r="F60" s="3088"/>
      <c r="G60" s="3088"/>
      <c r="H60" s="3089"/>
    </row>
    <row r="61" spans="3:8" x14ac:dyDescent="0.3">
      <c r="C61" s="3087"/>
      <c r="D61" s="3088"/>
      <c r="E61" s="3088"/>
      <c r="F61" s="3088"/>
      <c r="G61" s="3088"/>
      <c r="H61" s="3089"/>
    </row>
    <row r="62" spans="3:8" x14ac:dyDescent="0.3">
      <c r="C62" s="3087"/>
      <c r="D62" s="3088"/>
      <c r="E62" s="3088"/>
      <c r="F62" s="3088"/>
      <c r="G62" s="3088"/>
      <c r="H62" s="3089"/>
    </row>
    <row r="64" spans="3:8" x14ac:dyDescent="0.3">
      <c r="C64" s="4" t="str">
        <f>+Liabilities!C675</f>
        <v>Note 7 : Other current liabilities</v>
      </c>
    </row>
    <row r="65" spans="3:8" x14ac:dyDescent="0.3">
      <c r="C65" s="3087"/>
      <c r="D65" s="3088"/>
      <c r="E65" s="3088"/>
      <c r="F65" s="3088"/>
      <c r="G65" s="3088"/>
      <c r="H65" s="3089"/>
    </row>
    <row r="66" spans="3:8" x14ac:dyDescent="0.3">
      <c r="C66" s="3087"/>
      <c r="D66" s="3088"/>
      <c r="E66" s="3088"/>
      <c r="F66" s="3088"/>
      <c r="G66" s="3088"/>
      <c r="H66" s="3089"/>
    </row>
    <row r="67" spans="3:8" x14ac:dyDescent="0.3">
      <c r="C67" s="3087"/>
      <c r="D67" s="3088"/>
      <c r="E67" s="3088"/>
      <c r="F67" s="3088"/>
      <c r="G67" s="3088"/>
      <c r="H67" s="3089"/>
    </row>
    <row r="68" spans="3:8" x14ac:dyDescent="0.3">
      <c r="C68" s="3087"/>
      <c r="D68" s="3088"/>
      <c r="E68" s="3088"/>
      <c r="F68" s="3088"/>
      <c r="G68" s="3088"/>
      <c r="H68" s="3089"/>
    </row>
    <row r="69" spans="3:8" x14ac:dyDescent="0.3">
      <c r="C69" s="3087"/>
      <c r="D69" s="3088"/>
      <c r="E69" s="3088"/>
      <c r="F69" s="3088"/>
      <c r="G69" s="3088"/>
      <c r="H69" s="3089"/>
    </row>
    <row r="70" spans="3:8" x14ac:dyDescent="0.3">
      <c r="C70" s="3087"/>
      <c r="D70" s="3088"/>
      <c r="E70" s="3088"/>
      <c r="F70" s="3088"/>
      <c r="G70" s="3088"/>
      <c r="H70" s="3089"/>
    </row>
    <row r="72" spans="3:8" x14ac:dyDescent="0.3">
      <c r="C72" s="4" t="str">
        <f>+Assets!C11</f>
        <v>Note 8 : Non-current investments</v>
      </c>
    </row>
    <row r="73" spans="3:8" x14ac:dyDescent="0.3">
      <c r="C73" s="3087"/>
      <c r="D73" s="3088"/>
      <c r="E73" s="3088"/>
      <c r="F73" s="3088"/>
      <c r="G73" s="3088"/>
      <c r="H73" s="3089"/>
    </row>
    <row r="74" spans="3:8" x14ac:dyDescent="0.3">
      <c r="C74" s="3087"/>
      <c r="D74" s="3088"/>
      <c r="E74" s="3088"/>
      <c r="F74" s="3088"/>
      <c r="G74" s="3088"/>
      <c r="H74" s="3089"/>
    </row>
    <row r="75" spans="3:8" x14ac:dyDescent="0.3">
      <c r="C75" s="3087"/>
      <c r="D75" s="3088"/>
      <c r="E75" s="3088"/>
      <c r="F75" s="3088"/>
      <c r="G75" s="3088"/>
      <c r="H75" s="3089"/>
    </row>
    <row r="76" spans="3:8" x14ac:dyDescent="0.3">
      <c r="C76" s="3087"/>
      <c r="D76" s="3088"/>
      <c r="E76" s="3088"/>
      <c r="F76" s="3088"/>
      <c r="G76" s="3088"/>
      <c r="H76" s="3089"/>
    </row>
    <row r="77" spans="3:8" x14ac:dyDescent="0.3">
      <c r="C77" s="3087"/>
      <c r="D77" s="3088"/>
      <c r="E77" s="3088"/>
      <c r="F77" s="3088"/>
      <c r="G77" s="3088"/>
      <c r="H77" s="3089"/>
    </row>
    <row r="78" spans="3:8" x14ac:dyDescent="0.3">
      <c r="C78" s="3087"/>
      <c r="D78" s="3088"/>
      <c r="E78" s="3088"/>
      <c r="F78" s="3088"/>
      <c r="G78" s="3088"/>
      <c r="H78" s="3089"/>
    </row>
    <row r="80" spans="3:8" x14ac:dyDescent="0.3">
      <c r="C80" s="4" t="str">
        <f>+Assets!C89</f>
        <v>Note 23 : Deferred tax (liabilities) / assets</v>
      </c>
    </row>
    <row r="81" spans="3:8" x14ac:dyDescent="0.3">
      <c r="C81" s="3087"/>
      <c r="D81" s="3088"/>
      <c r="E81" s="3088"/>
      <c r="F81" s="3088"/>
      <c r="G81" s="3088"/>
      <c r="H81" s="3089"/>
    </row>
    <row r="82" spans="3:8" x14ac:dyDescent="0.3">
      <c r="C82" s="3087"/>
      <c r="D82" s="3088"/>
      <c r="E82" s="3088"/>
      <c r="F82" s="3088"/>
      <c r="G82" s="3088"/>
      <c r="H82" s="3089"/>
    </row>
    <row r="83" spans="3:8" x14ac:dyDescent="0.3">
      <c r="C83" s="3087"/>
      <c r="D83" s="3088"/>
      <c r="E83" s="3088"/>
      <c r="F83" s="3088"/>
      <c r="G83" s="3088"/>
      <c r="H83" s="3089"/>
    </row>
    <row r="84" spans="3:8" x14ac:dyDescent="0.3">
      <c r="C84" s="3087"/>
      <c r="D84" s="3088"/>
      <c r="E84" s="3088"/>
      <c r="F84" s="3088"/>
      <c r="G84" s="3088"/>
      <c r="H84" s="3089"/>
    </row>
    <row r="85" spans="3:8" x14ac:dyDescent="0.3">
      <c r="C85" s="3087"/>
      <c r="D85" s="3088"/>
      <c r="E85" s="3088"/>
      <c r="F85" s="3088"/>
      <c r="G85" s="3088"/>
      <c r="H85" s="3089"/>
    </row>
    <row r="86" spans="3:8" x14ac:dyDescent="0.3">
      <c r="C86" s="3087"/>
      <c r="D86" s="3088"/>
      <c r="E86" s="3088"/>
      <c r="F86" s="3088"/>
      <c r="G86" s="3088"/>
      <c r="H86" s="3089"/>
    </row>
    <row r="88" spans="3:8" x14ac:dyDescent="0.3">
      <c r="C88" s="4" t="str">
        <f>+Assets!C119</f>
        <v>Note 9: Loans and advances</v>
      </c>
    </row>
    <row r="89" spans="3:8" x14ac:dyDescent="0.3">
      <c r="C89" s="3087"/>
      <c r="D89" s="3088"/>
      <c r="E89" s="3088"/>
      <c r="F89" s="3088"/>
      <c r="G89" s="3088"/>
      <c r="H89" s="3089"/>
    </row>
    <row r="90" spans="3:8" x14ac:dyDescent="0.3">
      <c r="C90" s="3087"/>
      <c r="D90" s="3088"/>
      <c r="E90" s="3088"/>
      <c r="F90" s="3088"/>
      <c r="G90" s="3088"/>
      <c r="H90" s="3089"/>
    </row>
    <row r="91" spans="3:8" x14ac:dyDescent="0.3">
      <c r="C91" s="3087"/>
      <c r="D91" s="3088"/>
      <c r="E91" s="3088"/>
      <c r="F91" s="3088"/>
      <c r="G91" s="3088"/>
      <c r="H91" s="3089"/>
    </row>
    <row r="92" spans="3:8" x14ac:dyDescent="0.3">
      <c r="C92" s="3087"/>
      <c r="D92" s="3088"/>
      <c r="E92" s="3088"/>
      <c r="F92" s="3088"/>
      <c r="G92" s="3088"/>
      <c r="H92" s="3089"/>
    </row>
    <row r="93" spans="3:8" x14ac:dyDescent="0.3">
      <c r="C93" s="3087"/>
      <c r="D93" s="3088"/>
      <c r="E93" s="3088"/>
      <c r="F93" s="3088"/>
      <c r="G93" s="3088"/>
      <c r="H93" s="3089"/>
    </row>
    <row r="94" spans="3:8" x14ac:dyDescent="0.3">
      <c r="C94" s="3087"/>
      <c r="D94" s="3088"/>
      <c r="E94" s="3088"/>
      <c r="F94" s="3088"/>
      <c r="G94" s="3088"/>
      <c r="H94" s="3089"/>
    </row>
    <row r="96" spans="3:8" x14ac:dyDescent="0.3">
      <c r="C96" s="4" t="str">
        <f>+Assets!C178</f>
        <v>Note 10: Other non-current assets</v>
      </c>
    </row>
    <row r="97" spans="3:8" x14ac:dyDescent="0.3">
      <c r="C97" s="3087"/>
      <c r="D97" s="3088"/>
      <c r="E97" s="3088"/>
      <c r="F97" s="3088"/>
      <c r="G97" s="3088"/>
      <c r="H97" s="3089"/>
    </row>
    <row r="98" spans="3:8" x14ac:dyDescent="0.3">
      <c r="C98" s="3087"/>
      <c r="D98" s="3088"/>
      <c r="E98" s="3088"/>
      <c r="F98" s="3088"/>
      <c r="G98" s="3088"/>
      <c r="H98" s="3089"/>
    </row>
    <row r="99" spans="3:8" x14ac:dyDescent="0.3">
      <c r="C99" s="3087"/>
      <c r="D99" s="3088"/>
      <c r="E99" s="3088"/>
      <c r="F99" s="3088"/>
      <c r="G99" s="3088"/>
      <c r="H99" s="3089"/>
    </row>
    <row r="100" spans="3:8" x14ac:dyDescent="0.3">
      <c r="C100" s="3087"/>
      <c r="D100" s="3088"/>
      <c r="E100" s="3088"/>
      <c r="F100" s="3088"/>
      <c r="G100" s="3088"/>
      <c r="H100" s="3089"/>
    </row>
    <row r="101" spans="3:8" x14ac:dyDescent="0.3">
      <c r="C101" s="3087"/>
      <c r="D101" s="3088"/>
      <c r="E101" s="3088"/>
      <c r="F101" s="3088"/>
      <c r="G101" s="3088"/>
      <c r="H101" s="3089"/>
    </row>
    <row r="102" spans="3:8" x14ac:dyDescent="0.3">
      <c r="C102" s="3087"/>
      <c r="D102" s="3088"/>
      <c r="E102" s="3088"/>
      <c r="F102" s="3088"/>
      <c r="G102" s="3088"/>
      <c r="H102" s="3089"/>
    </row>
    <row r="104" spans="3:8" x14ac:dyDescent="0.3">
      <c r="C104" s="4" t="str">
        <f>+Assets!C223</f>
        <v>Note 9 : Current investments</v>
      </c>
    </row>
    <row r="105" spans="3:8" x14ac:dyDescent="0.3">
      <c r="C105" s="3087"/>
      <c r="D105" s="3088"/>
      <c r="E105" s="3088"/>
      <c r="F105" s="3088"/>
      <c r="G105" s="3088"/>
      <c r="H105" s="3089"/>
    </row>
    <row r="106" spans="3:8" x14ac:dyDescent="0.3">
      <c r="C106" s="3087"/>
      <c r="D106" s="3088"/>
      <c r="E106" s="3088"/>
      <c r="F106" s="3088"/>
      <c r="G106" s="3088"/>
      <c r="H106" s="3089"/>
    </row>
    <row r="107" spans="3:8" x14ac:dyDescent="0.3">
      <c r="C107" s="3087"/>
      <c r="D107" s="3088"/>
      <c r="E107" s="3088"/>
      <c r="F107" s="3088"/>
      <c r="G107" s="3088"/>
      <c r="H107" s="3089"/>
    </row>
    <row r="108" spans="3:8" x14ac:dyDescent="0.3">
      <c r="C108" s="3087"/>
      <c r="D108" s="3088"/>
      <c r="E108" s="3088"/>
      <c r="F108" s="3088"/>
      <c r="G108" s="3088"/>
      <c r="H108" s="3089"/>
    </row>
    <row r="109" spans="3:8" x14ac:dyDescent="0.3">
      <c r="C109" s="3087"/>
      <c r="D109" s="3088"/>
      <c r="E109" s="3088"/>
      <c r="F109" s="3088"/>
      <c r="G109" s="3088"/>
      <c r="H109" s="3089"/>
    </row>
    <row r="110" spans="3:8" x14ac:dyDescent="0.3">
      <c r="C110" s="3087"/>
      <c r="D110" s="3088"/>
      <c r="E110" s="3088"/>
      <c r="F110" s="3088"/>
      <c r="G110" s="3088"/>
      <c r="H110" s="3089"/>
    </row>
    <row r="112" spans="3:8" x14ac:dyDescent="0.3">
      <c r="C112" s="4" t="str">
        <f>+Assets!C282</f>
        <v>Note 11: Inventories</v>
      </c>
    </row>
    <row r="113" spans="3:8" x14ac:dyDescent="0.3">
      <c r="C113" s="3087"/>
      <c r="D113" s="3088"/>
      <c r="E113" s="3088"/>
      <c r="F113" s="3088"/>
      <c r="G113" s="3088"/>
      <c r="H113" s="3089"/>
    </row>
    <row r="114" spans="3:8" x14ac:dyDescent="0.3">
      <c r="C114" s="3087"/>
      <c r="D114" s="3088"/>
      <c r="E114" s="3088"/>
      <c r="F114" s="3088"/>
      <c r="G114" s="3088"/>
      <c r="H114" s="3089"/>
    </row>
    <row r="115" spans="3:8" x14ac:dyDescent="0.3">
      <c r="C115" s="3087"/>
      <c r="D115" s="3088"/>
      <c r="E115" s="3088"/>
      <c r="F115" s="3088"/>
      <c r="G115" s="3088"/>
      <c r="H115" s="3089"/>
    </row>
    <row r="116" spans="3:8" x14ac:dyDescent="0.3">
      <c r="C116" s="3087"/>
      <c r="D116" s="3088"/>
      <c r="E116" s="3088"/>
      <c r="F116" s="3088"/>
      <c r="G116" s="3088"/>
      <c r="H116" s="3089"/>
    </row>
    <row r="117" spans="3:8" x14ac:dyDescent="0.3">
      <c r="C117" s="3087"/>
      <c r="D117" s="3088"/>
      <c r="E117" s="3088"/>
      <c r="F117" s="3088"/>
      <c r="G117" s="3088"/>
      <c r="H117" s="3089"/>
    </row>
    <row r="118" spans="3:8" x14ac:dyDescent="0.3">
      <c r="C118" s="3087"/>
      <c r="D118" s="3088"/>
      <c r="E118" s="3088"/>
      <c r="F118" s="3088"/>
      <c r="G118" s="3088"/>
      <c r="H118" s="3089"/>
    </row>
    <row r="120" spans="3:8" x14ac:dyDescent="0.3">
      <c r="C120" s="4" t="str">
        <f>+Assets!C331</f>
        <v>Note 12 : Trade Receivables</v>
      </c>
    </row>
    <row r="121" spans="3:8" x14ac:dyDescent="0.3">
      <c r="C121" s="3087"/>
      <c r="D121" s="3088"/>
      <c r="E121" s="3088"/>
      <c r="F121" s="3088"/>
      <c r="G121" s="3088"/>
      <c r="H121" s="3089"/>
    </row>
    <row r="122" spans="3:8" x14ac:dyDescent="0.3">
      <c r="C122" s="3087"/>
      <c r="D122" s="3088"/>
      <c r="E122" s="3088"/>
      <c r="F122" s="3088"/>
      <c r="G122" s="3088"/>
      <c r="H122" s="3089"/>
    </row>
    <row r="123" spans="3:8" x14ac:dyDescent="0.3">
      <c r="C123" s="3087"/>
      <c r="D123" s="3088"/>
      <c r="E123" s="3088"/>
      <c r="F123" s="3088"/>
      <c r="G123" s="3088"/>
      <c r="H123" s="3089"/>
    </row>
    <row r="124" spans="3:8" x14ac:dyDescent="0.3">
      <c r="C124" s="3087"/>
      <c r="D124" s="3088"/>
      <c r="E124" s="3088"/>
      <c r="F124" s="3088"/>
      <c r="G124" s="3088"/>
      <c r="H124" s="3089"/>
    </row>
    <row r="125" spans="3:8" x14ac:dyDescent="0.3">
      <c r="C125" s="3087"/>
      <c r="D125" s="3088"/>
      <c r="E125" s="3088"/>
      <c r="F125" s="3088"/>
      <c r="G125" s="3088"/>
      <c r="H125" s="3089"/>
    </row>
    <row r="126" spans="3:8" x14ac:dyDescent="0.3">
      <c r="C126" s="3087"/>
      <c r="D126" s="3088"/>
      <c r="E126" s="3088"/>
      <c r="F126" s="3088"/>
      <c r="G126" s="3088"/>
      <c r="H126" s="3089"/>
    </row>
    <row r="128" spans="3:8" x14ac:dyDescent="0.3">
      <c r="C128" s="4" t="str">
        <f>+Assets!C372</f>
        <v>Note 13: Cash and cash equivalents</v>
      </c>
    </row>
    <row r="129" spans="3:8" x14ac:dyDescent="0.3">
      <c r="C129" s="3087"/>
      <c r="D129" s="3088"/>
      <c r="E129" s="3088"/>
      <c r="F129" s="3088"/>
      <c r="G129" s="3088"/>
      <c r="H129" s="3089"/>
    </row>
    <row r="130" spans="3:8" x14ac:dyDescent="0.3">
      <c r="C130" s="3087"/>
      <c r="D130" s="3088"/>
      <c r="E130" s="3088"/>
      <c r="F130" s="3088"/>
      <c r="G130" s="3088"/>
      <c r="H130" s="3089"/>
    </row>
    <row r="131" spans="3:8" x14ac:dyDescent="0.3">
      <c r="C131" s="3087"/>
      <c r="D131" s="3088"/>
      <c r="E131" s="3088"/>
      <c r="F131" s="3088"/>
      <c r="G131" s="3088"/>
      <c r="H131" s="3089"/>
    </row>
    <row r="132" spans="3:8" x14ac:dyDescent="0.3">
      <c r="C132" s="3087"/>
      <c r="D132" s="3088"/>
      <c r="E132" s="3088"/>
      <c r="F132" s="3088"/>
      <c r="G132" s="3088"/>
      <c r="H132" s="3089"/>
    </row>
    <row r="133" spans="3:8" x14ac:dyDescent="0.3">
      <c r="C133" s="3087"/>
      <c r="D133" s="3088"/>
      <c r="E133" s="3088"/>
      <c r="F133" s="3088"/>
      <c r="G133" s="3088"/>
      <c r="H133" s="3089"/>
    </row>
    <row r="134" spans="3:8" x14ac:dyDescent="0.3">
      <c r="C134" s="3087"/>
      <c r="D134" s="3088"/>
      <c r="E134" s="3088"/>
      <c r="F134" s="3088"/>
      <c r="G134" s="3088"/>
      <c r="H134" s="3089"/>
    </row>
    <row r="136" spans="3:8" x14ac:dyDescent="0.3">
      <c r="C136" s="4" t="str">
        <f>+Assets!C397</f>
        <v>Note 14 : Other current assets</v>
      </c>
    </row>
    <row r="137" spans="3:8" x14ac:dyDescent="0.3">
      <c r="C137" s="3087"/>
      <c r="D137" s="3088"/>
      <c r="E137" s="3088"/>
      <c r="F137" s="3088"/>
      <c r="G137" s="3088"/>
      <c r="H137" s="3089"/>
    </row>
    <row r="138" spans="3:8" x14ac:dyDescent="0.3">
      <c r="C138" s="3087"/>
      <c r="D138" s="3088"/>
      <c r="E138" s="3088"/>
      <c r="F138" s="3088"/>
      <c r="G138" s="3088"/>
      <c r="H138" s="3089"/>
    </row>
    <row r="139" spans="3:8" x14ac:dyDescent="0.3">
      <c r="C139" s="3087"/>
      <c r="D139" s="3088"/>
      <c r="E139" s="3088"/>
      <c r="F139" s="3088"/>
      <c r="G139" s="3088"/>
      <c r="H139" s="3089"/>
    </row>
    <row r="140" spans="3:8" x14ac:dyDescent="0.3">
      <c r="C140" s="3087"/>
      <c r="D140" s="3088"/>
      <c r="E140" s="3088"/>
      <c r="F140" s="3088"/>
      <c r="G140" s="3088"/>
      <c r="H140" s="3089"/>
    </row>
    <row r="141" spans="3:8" x14ac:dyDescent="0.3">
      <c r="C141" s="3087"/>
      <c r="D141" s="3088"/>
      <c r="E141" s="3088"/>
      <c r="F141" s="3088"/>
      <c r="G141" s="3088"/>
      <c r="H141" s="3089"/>
    </row>
    <row r="142" spans="3:8" x14ac:dyDescent="0.3">
      <c r="C142" s="3087"/>
      <c r="D142" s="3088"/>
      <c r="E142" s="3088"/>
      <c r="F142" s="3088"/>
      <c r="G142" s="3088"/>
      <c r="H142" s="3089"/>
    </row>
    <row r="144" spans="3:8" x14ac:dyDescent="0.3">
      <c r="C144" s="4" t="str">
        <f>+'Notes To P&amp;L'!C11</f>
        <v>Note 15 - Revenue from operations</v>
      </c>
    </row>
    <row r="145" spans="3:8" x14ac:dyDescent="0.3">
      <c r="C145" s="3087"/>
      <c r="D145" s="3088"/>
      <c r="E145" s="3088"/>
      <c r="F145" s="3088"/>
      <c r="G145" s="3088"/>
      <c r="H145" s="3089"/>
    </row>
    <row r="146" spans="3:8" x14ac:dyDescent="0.3">
      <c r="C146" s="3087"/>
      <c r="D146" s="3088"/>
      <c r="E146" s="3088"/>
      <c r="F146" s="3088"/>
      <c r="G146" s="3088"/>
      <c r="H146" s="3089"/>
    </row>
    <row r="147" spans="3:8" x14ac:dyDescent="0.3">
      <c r="C147" s="3087"/>
      <c r="D147" s="3088"/>
      <c r="E147" s="3088"/>
      <c r="F147" s="3088"/>
      <c r="G147" s="3088"/>
      <c r="H147" s="3089"/>
    </row>
    <row r="148" spans="3:8" x14ac:dyDescent="0.3">
      <c r="C148" s="3087"/>
      <c r="D148" s="3088"/>
      <c r="E148" s="3088"/>
      <c r="F148" s="3088"/>
      <c r="G148" s="3088"/>
      <c r="H148" s="3089"/>
    </row>
    <row r="149" spans="3:8" x14ac:dyDescent="0.3">
      <c r="C149" s="3087"/>
      <c r="D149" s="3088"/>
      <c r="E149" s="3088"/>
      <c r="F149" s="3088"/>
      <c r="G149" s="3088"/>
      <c r="H149" s="3089"/>
    </row>
    <row r="150" spans="3:8" x14ac:dyDescent="0.3">
      <c r="C150" s="3087"/>
      <c r="D150" s="3088"/>
      <c r="E150" s="3088"/>
      <c r="F150" s="3088"/>
      <c r="G150" s="3088"/>
      <c r="H150" s="3089"/>
    </row>
    <row r="152" spans="3:8" x14ac:dyDescent="0.3">
      <c r="C152" s="4" t="str">
        <f>+'Notes To P&amp;L'!C89</f>
        <v>Note 15 - Revenue from operations of Finance Company</v>
      </c>
    </row>
    <row r="153" spans="3:8" x14ac:dyDescent="0.3">
      <c r="C153" s="3087"/>
      <c r="D153" s="3088"/>
      <c r="E153" s="3088"/>
      <c r="F153" s="3088"/>
      <c r="G153" s="3088"/>
      <c r="H153" s="3089"/>
    </row>
    <row r="154" spans="3:8" x14ac:dyDescent="0.3">
      <c r="C154" s="3087"/>
      <c r="D154" s="3088"/>
      <c r="E154" s="3088"/>
      <c r="F154" s="3088"/>
      <c r="G154" s="3088"/>
      <c r="H154" s="3089"/>
    </row>
    <row r="155" spans="3:8" x14ac:dyDescent="0.3">
      <c r="C155" s="3087"/>
      <c r="D155" s="3088"/>
      <c r="E155" s="3088"/>
      <c r="F155" s="3088"/>
      <c r="G155" s="3088"/>
      <c r="H155" s="3089"/>
    </row>
    <row r="156" spans="3:8" x14ac:dyDescent="0.3">
      <c r="C156" s="3087"/>
      <c r="D156" s="3088"/>
      <c r="E156" s="3088"/>
      <c r="F156" s="3088"/>
      <c r="G156" s="3088"/>
      <c r="H156" s="3089"/>
    </row>
    <row r="157" spans="3:8" x14ac:dyDescent="0.3">
      <c r="C157" s="3087"/>
      <c r="D157" s="3088"/>
      <c r="E157" s="3088"/>
      <c r="F157" s="3088"/>
      <c r="G157" s="3088"/>
      <c r="H157" s="3089"/>
    </row>
    <row r="158" spans="3:8" x14ac:dyDescent="0.3">
      <c r="C158" s="3087"/>
      <c r="D158" s="3088"/>
      <c r="E158" s="3088"/>
      <c r="F158" s="3088"/>
      <c r="G158" s="3088"/>
      <c r="H158" s="3089"/>
    </row>
    <row r="160" spans="3:8" x14ac:dyDescent="0.3">
      <c r="C160" s="4" t="str">
        <f>+'Notes To P&amp;L'!C109</f>
        <v>Note 16 - Other Income</v>
      </c>
    </row>
    <row r="161" spans="3:8" x14ac:dyDescent="0.3">
      <c r="C161" s="3087"/>
      <c r="D161" s="3088"/>
      <c r="E161" s="3088"/>
      <c r="F161" s="3088"/>
      <c r="G161" s="3088"/>
      <c r="H161" s="3089"/>
    </row>
    <row r="162" spans="3:8" x14ac:dyDescent="0.3">
      <c r="C162" s="3087"/>
      <c r="D162" s="3088"/>
      <c r="E162" s="3088"/>
      <c r="F162" s="3088"/>
      <c r="G162" s="3088"/>
      <c r="H162" s="3089"/>
    </row>
    <row r="163" spans="3:8" x14ac:dyDescent="0.3">
      <c r="C163" s="3087"/>
      <c r="D163" s="3088"/>
      <c r="E163" s="3088"/>
      <c r="F163" s="3088"/>
      <c r="G163" s="3088"/>
      <c r="H163" s="3089"/>
    </row>
    <row r="164" spans="3:8" x14ac:dyDescent="0.3">
      <c r="C164" s="3087"/>
      <c r="D164" s="3088"/>
      <c r="E164" s="3088"/>
      <c r="F164" s="3088"/>
      <c r="G164" s="3088"/>
      <c r="H164" s="3089"/>
    </row>
    <row r="165" spans="3:8" x14ac:dyDescent="0.3">
      <c r="C165" s="3087"/>
      <c r="D165" s="3088"/>
      <c r="E165" s="3088"/>
      <c r="F165" s="3088"/>
      <c r="G165" s="3088"/>
      <c r="H165" s="3089"/>
    </row>
    <row r="166" spans="3:8" x14ac:dyDescent="0.3">
      <c r="C166" s="3087"/>
      <c r="D166" s="3088"/>
      <c r="E166" s="3088"/>
      <c r="F166" s="3088"/>
      <c r="G166" s="3088"/>
      <c r="H166" s="3089"/>
    </row>
    <row r="168" spans="3:8" x14ac:dyDescent="0.3">
      <c r="C168" s="4" t="str">
        <f>+'Notes To P&amp;L'!C176</f>
        <v>Note 16 - Cost of materials consumed</v>
      </c>
    </row>
    <row r="169" spans="3:8" x14ac:dyDescent="0.3">
      <c r="C169" s="3087"/>
      <c r="D169" s="3088"/>
      <c r="E169" s="3088"/>
      <c r="F169" s="3088"/>
      <c r="G169" s="3088"/>
      <c r="H169" s="3089"/>
    </row>
    <row r="170" spans="3:8" x14ac:dyDescent="0.3">
      <c r="C170" s="3087"/>
      <c r="D170" s="3088"/>
      <c r="E170" s="3088"/>
      <c r="F170" s="3088"/>
      <c r="G170" s="3088"/>
      <c r="H170" s="3089"/>
    </row>
    <row r="171" spans="3:8" x14ac:dyDescent="0.3">
      <c r="C171" s="3087"/>
      <c r="D171" s="3088"/>
      <c r="E171" s="3088"/>
      <c r="F171" s="3088"/>
      <c r="G171" s="3088"/>
      <c r="H171" s="3089"/>
    </row>
    <row r="172" spans="3:8" x14ac:dyDescent="0.3">
      <c r="C172" s="3087"/>
      <c r="D172" s="3088"/>
      <c r="E172" s="3088"/>
      <c r="F172" s="3088"/>
      <c r="G172" s="3088"/>
      <c r="H172" s="3089"/>
    </row>
    <row r="173" spans="3:8" x14ac:dyDescent="0.3">
      <c r="C173" s="3087"/>
      <c r="D173" s="3088"/>
      <c r="E173" s="3088"/>
      <c r="F173" s="3088"/>
      <c r="G173" s="3088"/>
      <c r="H173" s="3089"/>
    </row>
    <row r="174" spans="3:8" x14ac:dyDescent="0.3">
      <c r="C174" s="3087"/>
      <c r="D174" s="3088"/>
      <c r="E174" s="3088"/>
      <c r="F174" s="3088"/>
      <c r="G174" s="3088"/>
      <c r="H174" s="3089"/>
    </row>
    <row r="176" spans="3:8" x14ac:dyDescent="0.3">
      <c r="C176" s="4" t="str">
        <f>+'Notes To P&amp;L'!C207</f>
        <v>Note 17 - Purchases of stock-in-trade (traded goods)</v>
      </c>
    </row>
    <row r="177" spans="3:8" x14ac:dyDescent="0.3">
      <c r="C177" s="3087"/>
      <c r="D177" s="3088"/>
      <c r="E177" s="3088"/>
      <c r="F177" s="3088"/>
      <c r="G177" s="3088"/>
      <c r="H177" s="3089"/>
    </row>
    <row r="178" spans="3:8" x14ac:dyDescent="0.3">
      <c r="C178" s="3087"/>
      <c r="D178" s="3088"/>
      <c r="E178" s="3088"/>
      <c r="F178" s="3088"/>
      <c r="G178" s="3088"/>
      <c r="H178" s="3089"/>
    </row>
    <row r="179" spans="3:8" x14ac:dyDescent="0.3">
      <c r="C179" s="3087"/>
      <c r="D179" s="3088"/>
      <c r="E179" s="3088"/>
      <c r="F179" s="3088"/>
      <c r="G179" s="3088"/>
      <c r="H179" s="3089"/>
    </row>
    <row r="180" spans="3:8" x14ac:dyDescent="0.3">
      <c r="C180" s="3087"/>
      <c r="D180" s="3088"/>
      <c r="E180" s="3088"/>
      <c r="F180" s="3088"/>
      <c r="G180" s="3088"/>
      <c r="H180" s="3089"/>
    </row>
    <row r="181" spans="3:8" x14ac:dyDescent="0.3">
      <c r="C181" s="3087"/>
      <c r="D181" s="3088"/>
      <c r="E181" s="3088"/>
      <c r="F181" s="3088"/>
      <c r="G181" s="3088"/>
      <c r="H181" s="3089"/>
    </row>
    <row r="182" spans="3:8" x14ac:dyDescent="0.3">
      <c r="C182" s="3087"/>
      <c r="D182" s="3088"/>
      <c r="E182" s="3088"/>
      <c r="F182" s="3088"/>
      <c r="G182" s="3088"/>
      <c r="H182" s="3089"/>
    </row>
    <row r="184" spans="3:8" x14ac:dyDescent="0.3">
      <c r="C184" s="4" t="str">
        <f>+'Notes To P&amp;L'!C224</f>
        <v>Note 18 - Changes in inventories of finished goods, work-in-progress and stock-in-trade</v>
      </c>
    </row>
    <row r="185" spans="3:8" x14ac:dyDescent="0.3">
      <c r="C185" s="3087"/>
      <c r="D185" s="3088"/>
      <c r="E185" s="3088"/>
      <c r="F185" s="3088"/>
      <c r="G185" s="3088"/>
      <c r="H185" s="3089"/>
    </row>
    <row r="186" spans="3:8" x14ac:dyDescent="0.3">
      <c r="C186" s="3087"/>
      <c r="D186" s="3088"/>
      <c r="E186" s="3088"/>
      <c r="F186" s="3088"/>
      <c r="G186" s="3088"/>
      <c r="H186" s="3089"/>
    </row>
    <row r="187" spans="3:8" x14ac:dyDescent="0.3">
      <c r="C187" s="3087"/>
      <c r="D187" s="3088"/>
      <c r="E187" s="3088"/>
      <c r="F187" s="3088"/>
      <c r="G187" s="3088"/>
      <c r="H187" s="3089"/>
    </row>
    <row r="188" spans="3:8" x14ac:dyDescent="0.3">
      <c r="C188" s="3087"/>
      <c r="D188" s="3088"/>
      <c r="E188" s="3088"/>
      <c r="F188" s="3088"/>
      <c r="G188" s="3088"/>
      <c r="H188" s="3089"/>
    </row>
    <row r="189" spans="3:8" x14ac:dyDescent="0.3">
      <c r="C189" s="3087"/>
      <c r="D189" s="3088"/>
      <c r="E189" s="3088"/>
      <c r="F189" s="3088"/>
      <c r="G189" s="3088"/>
      <c r="H189" s="3089"/>
    </row>
    <row r="190" spans="3:8" x14ac:dyDescent="0.3">
      <c r="C190" s="3087"/>
      <c r="D190" s="3088"/>
      <c r="E190" s="3088"/>
      <c r="F190" s="3088"/>
      <c r="G190" s="3088"/>
      <c r="H190" s="3089"/>
    </row>
    <row r="192" spans="3:8" x14ac:dyDescent="0.3">
      <c r="C192" s="4" t="str">
        <f>+'Notes To P&amp;L'!C248</f>
        <v>Note 19 - Employee benefits expense</v>
      </c>
    </row>
    <row r="193" spans="3:8" x14ac:dyDescent="0.3">
      <c r="C193" s="3087"/>
      <c r="D193" s="3088"/>
      <c r="E193" s="3088"/>
      <c r="F193" s="3088"/>
      <c r="G193" s="3088"/>
      <c r="H193" s="3089"/>
    </row>
    <row r="194" spans="3:8" x14ac:dyDescent="0.3">
      <c r="C194" s="3087"/>
      <c r="D194" s="3088"/>
      <c r="E194" s="3088"/>
      <c r="F194" s="3088"/>
      <c r="G194" s="3088"/>
      <c r="H194" s="3089"/>
    </row>
    <row r="195" spans="3:8" x14ac:dyDescent="0.3">
      <c r="C195" s="3087"/>
      <c r="D195" s="3088"/>
      <c r="E195" s="3088"/>
      <c r="F195" s="3088"/>
      <c r="G195" s="3088"/>
      <c r="H195" s="3089"/>
    </row>
    <row r="196" spans="3:8" x14ac:dyDescent="0.3">
      <c r="C196" s="3087"/>
      <c r="D196" s="3088"/>
      <c r="E196" s="3088"/>
      <c r="F196" s="3088"/>
      <c r="G196" s="3088"/>
      <c r="H196" s="3089"/>
    </row>
    <row r="197" spans="3:8" x14ac:dyDescent="0.3">
      <c r="C197" s="3087"/>
      <c r="D197" s="3088"/>
      <c r="E197" s="3088"/>
      <c r="F197" s="3088"/>
      <c r="G197" s="3088"/>
      <c r="H197" s="3089"/>
    </row>
    <row r="198" spans="3:8" x14ac:dyDescent="0.3">
      <c r="C198" s="3087"/>
      <c r="D198" s="3088"/>
      <c r="E198" s="3088"/>
      <c r="F198" s="3088"/>
      <c r="G198" s="3088"/>
      <c r="H198" s="3089"/>
    </row>
    <row r="199" spans="3:8" x14ac:dyDescent="0.3">
      <c r="C199" s="185"/>
      <c r="D199" s="185"/>
      <c r="E199" s="185"/>
      <c r="F199" s="185"/>
      <c r="G199" s="185"/>
      <c r="H199" s="185"/>
    </row>
    <row r="200" spans="3:8" x14ac:dyDescent="0.3">
      <c r="C200" s="1745" t="str">
        <f>+'Notes To P&amp;L'!C265</f>
        <v>Note 19 Finance costs</v>
      </c>
      <c r="D200" s="185"/>
      <c r="E200" s="185"/>
      <c r="F200" s="185"/>
      <c r="G200" s="185"/>
      <c r="H200" s="185"/>
    </row>
    <row r="201" spans="3:8" x14ac:dyDescent="0.3">
      <c r="C201" s="3087"/>
      <c r="D201" s="3088"/>
      <c r="E201" s="3088"/>
      <c r="F201" s="3088"/>
      <c r="G201" s="3088"/>
      <c r="H201" s="3089"/>
    </row>
    <row r="202" spans="3:8" x14ac:dyDescent="0.3">
      <c r="C202" s="3087"/>
      <c r="D202" s="3088"/>
      <c r="E202" s="3088"/>
      <c r="F202" s="3088"/>
      <c r="G202" s="3088"/>
      <c r="H202" s="3089"/>
    </row>
    <row r="203" spans="3:8" x14ac:dyDescent="0.3">
      <c r="C203" s="3087"/>
      <c r="D203" s="3088"/>
      <c r="E203" s="3088"/>
      <c r="F203" s="3088"/>
      <c r="G203" s="3088"/>
      <c r="H203" s="3089"/>
    </row>
    <row r="204" spans="3:8" x14ac:dyDescent="0.3">
      <c r="C204" s="3087"/>
      <c r="D204" s="3088"/>
      <c r="E204" s="3088"/>
      <c r="F204" s="3088"/>
      <c r="G204" s="3088"/>
      <c r="H204" s="3089"/>
    </row>
    <row r="205" spans="3:8" x14ac:dyDescent="0.3">
      <c r="C205" s="3087"/>
      <c r="D205" s="3088"/>
      <c r="E205" s="3088"/>
      <c r="F205" s="3088"/>
      <c r="G205" s="3088"/>
      <c r="H205" s="3089"/>
    </row>
    <row r="206" spans="3:8" x14ac:dyDescent="0.3">
      <c r="C206" s="3087"/>
      <c r="D206" s="3088"/>
      <c r="E206" s="3088"/>
      <c r="F206" s="3088"/>
      <c r="G206" s="3088"/>
      <c r="H206" s="3089"/>
    </row>
    <row r="207" spans="3:8" x14ac:dyDescent="0.3">
      <c r="C207" s="185"/>
      <c r="D207" s="185"/>
      <c r="E207" s="185"/>
      <c r="F207" s="185"/>
      <c r="G207" s="185"/>
      <c r="H207" s="185"/>
    </row>
    <row r="208" spans="3:8" x14ac:dyDescent="0.3">
      <c r="C208" s="4" t="str">
        <f>+'Notes To P&amp;L'!C285</f>
        <v>Note 20 - Other expenses</v>
      </c>
    </row>
    <row r="209" spans="3:8" x14ac:dyDescent="0.3">
      <c r="C209" s="3087"/>
      <c r="D209" s="3088"/>
      <c r="E209" s="3088"/>
      <c r="F209" s="3088"/>
      <c r="G209" s="3088"/>
      <c r="H209" s="3089"/>
    </row>
    <row r="210" spans="3:8" x14ac:dyDescent="0.3">
      <c r="C210" s="3087"/>
      <c r="D210" s="3088"/>
      <c r="E210" s="3088"/>
      <c r="F210" s="3088"/>
      <c r="G210" s="3088"/>
      <c r="H210" s="3089"/>
    </row>
    <row r="211" spans="3:8" x14ac:dyDescent="0.3">
      <c r="C211" s="3087"/>
      <c r="D211" s="3088"/>
      <c r="E211" s="3088"/>
      <c r="F211" s="3088"/>
      <c r="G211" s="3088"/>
      <c r="H211" s="3089"/>
    </row>
    <row r="212" spans="3:8" x14ac:dyDescent="0.3">
      <c r="C212" s="3087"/>
      <c r="D212" s="3088"/>
      <c r="E212" s="3088"/>
      <c r="F212" s="3088"/>
      <c r="G212" s="3088"/>
      <c r="H212" s="3089"/>
    </row>
    <row r="213" spans="3:8" x14ac:dyDescent="0.3">
      <c r="C213" s="3087"/>
      <c r="D213" s="3088"/>
      <c r="E213" s="3088"/>
      <c r="F213" s="3088"/>
      <c r="G213" s="3088"/>
      <c r="H213" s="3089"/>
    </row>
    <row r="214" spans="3:8" x14ac:dyDescent="0.3">
      <c r="C214" s="3087"/>
      <c r="D214" s="3088"/>
      <c r="E214" s="3088"/>
      <c r="F214" s="3088"/>
      <c r="G214" s="3088"/>
      <c r="H214" s="3089"/>
    </row>
    <row r="217" spans="3:8" x14ac:dyDescent="0.3">
      <c r="C217" s="185"/>
      <c r="D217" s="185"/>
      <c r="E217" s="185"/>
      <c r="F217" s="185"/>
      <c r="G217" s="185"/>
      <c r="H217" s="185"/>
    </row>
    <row r="218" spans="3:8" x14ac:dyDescent="0.3">
      <c r="C218" s="185"/>
      <c r="D218" s="185"/>
      <c r="E218" s="185"/>
      <c r="F218" s="185"/>
      <c r="G218" s="185"/>
      <c r="H218" s="185"/>
    </row>
    <row r="219" spans="3:8" x14ac:dyDescent="0.3">
      <c r="C219" s="185"/>
      <c r="D219" s="185"/>
      <c r="E219" s="185"/>
      <c r="F219" s="185"/>
      <c r="G219" s="185"/>
      <c r="H219" s="185"/>
    </row>
    <row r="220" spans="3:8" x14ac:dyDescent="0.3">
      <c r="C220" s="185"/>
      <c r="D220" s="185"/>
      <c r="E220" s="185"/>
      <c r="F220" s="185"/>
      <c r="G220" s="185"/>
      <c r="H220" s="185"/>
    </row>
    <row r="221" spans="3:8" x14ac:dyDescent="0.3">
      <c r="C221" s="185"/>
      <c r="D221" s="185"/>
      <c r="E221" s="185"/>
      <c r="F221" s="185"/>
      <c r="G221" s="185"/>
      <c r="H221" s="185"/>
    </row>
    <row r="222" spans="3:8" x14ac:dyDescent="0.3">
      <c r="C222" s="185"/>
      <c r="D222" s="185"/>
      <c r="E222" s="185"/>
      <c r="F222" s="185"/>
      <c r="G222" s="185"/>
      <c r="H222" s="185"/>
    </row>
    <row r="225" spans="3:8" x14ac:dyDescent="0.3">
      <c r="C225" s="185"/>
      <c r="D225" s="185"/>
      <c r="E225" s="185"/>
      <c r="F225" s="185"/>
      <c r="G225" s="185"/>
      <c r="H225" s="185"/>
    </row>
    <row r="226" spans="3:8" x14ac:dyDescent="0.3">
      <c r="C226" s="185"/>
      <c r="D226" s="185"/>
      <c r="E226" s="185"/>
      <c r="F226" s="185"/>
      <c r="G226" s="185"/>
      <c r="H226" s="185"/>
    </row>
    <row r="227" spans="3:8" x14ac:dyDescent="0.3">
      <c r="C227" s="185"/>
      <c r="D227" s="185"/>
      <c r="E227" s="185"/>
      <c r="F227" s="185"/>
      <c r="G227" s="185"/>
      <c r="H227" s="185"/>
    </row>
    <row r="228" spans="3:8" x14ac:dyDescent="0.3">
      <c r="C228" s="185"/>
      <c r="D228" s="185"/>
      <c r="E228" s="185"/>
      <c r="F228" s="185"/>
      <c r="G228" s="185"/>
      <c r="H228" s="185"/>
    </row>
    <row r="229" spans="3:8" x14ac:dyDescent="0.3">
      <c r="C229" s="185"/>
      <c r="D229" s="185"/>
      <c r="E229" s="185"/>
      <c r="F229" s="185"/>
      <c r="G229" s="185"/>
      <c r="H229" s="185"/>
    </row>
    <row r="230" spans="3:8" x14ac:dyDescent="0.3">
      <c r="C230" s="185"/>
      <c r="D230" s="185"/>
      <c r="E230" s="185"/>
      <c r="F230" s="185"/>
      <c r="G230" s="185"/>
      <c r="H230" s="185"/>
    </row>
  </sheetData>
  <mergeCells count="156">
    <mergeCell ref="C213:H213"/>
    <mergeCell ref="C214:H214"/>
    <mergeCell ref="C197:H197"/>
    <mergeCell ref="C198:H198"/>
    <mergeCell ref="C209:H209"/>
    <mergeCell ref="C210:H210"/>
    <mergeCell ref="C211:H211"/>
    <mergeCell ref="C212:H212"/>
    <mergeCell ref="C189:H189"/>
    <mergeCell ref="C190:H190"/>
    <mergeCell ref="C193:H193"/>
    <mergeCell ref="C194:H194"/>
    <mergeCell ref="C195:H195"/>
    <mergeCell ref="C196:H196"/>
    <mergeCell ref="C201:H201"/>
    <mergeCell ref="C202:H202"/>
    <mergeCell ref="C203:H203"/>
    <mergeCell ref="C204:H204"/>
    <mergeCell ref="C205:H205"/>
    <mergeCell ref="C206:H206"/>
    <mergeCell ref="C181:H181"/>
    <mergeCell ref="C182:H182"/>
    <mergeCell ref="C185:H185"/>
    <mergeCell ref="C186:H186"/>
    <mergeCell ref="C187:H187"/>
    <mergeCell ref="C188:H188"/>
    <mergeCell ref="C173:H173"/>
    <mergeCell ref="C174:H174"/>
    <mergeCell ref="C177:H177"/>
    <mergeCell ref="C178:H178"/>
    <mergeCell ref="C179:H179"/>
    <mergeCell ref="C180:H180"/>
    <mergeCell ref="C165:H165"/>
    <mergeCell ref="C166:H166"/>
    <mergeCell ref="C169:H169"/>
    <mergeCell ref="C170:H170"/>
    <mergeCell ref="C171:H171"/>
    <mergeCell ref="C172:H172"/>
    <mergeCell ref="C157:H157"/>
    <mergeCell ref="C158:H158"/>
    <mergeCell ref="C161:H161"/>
    <mergeCell ref="C162:H162"/>
    <mergeCell ref="C163:H163"/>
    <mergeCell ref="C164:H164"/>
    <mergeCell ref="C149:H149"/>
    <mergeCell ref="C150:H150"/>
    <mergeCell ref="C153:H153"/>
    <mergeCell ref="C154:H154"/>
    <mergeCell ref="C155:H155"/>
    <mergeCell ref="C156:H156"/>
    <mergeCell ref="C141:H141"/>
    <mergeCell ref="C142:H142"/>
    <mergeCell ref="C145:H145"/>
    <mergeCell ref="C146:H146"/>
    <mergeCell ref="C147:H147"/>
    <mergeCell ref="C148:H148"/>
    <mergeCell ref="C133:H133"/>
    <mergeCell ref="C134:H134"/>
    <mergeCell ref="C137:H137"/>
    <mergeCell ref="C138:H138"/>
    <mergeCell ref="C139:H139"/>
    <mergeCell ref="C140:H140"/>
    <mergeCell ref="C125:H125"/>
    <mergeCell ref="C126:H126"/>
    <mergeCell ref="C129:H129"/>
    <mergeCell ref="C130:H130"/>
    <mergeCell ref="C131:H131"/>
    <mergeCell ref="C132:H132"/>
    <mergeCell ref="C117:H117"/>
    <mergeCell ref="C118:H118"/>
    <mergeCell ref="C121:H121"/>
    <mergeCell ref="C122:H122"/>
    <mergeCell ref="C123:H123"/>
    <mergeCell ref="C124:H124"/>
    <mergeCell ref="C109:H109"/>
    <mergeCell ref="C110:H110"/>
    <mergeCell ref="C113:H113"/>
    <mergeCell ref="C114:H114"/>
    <mergeCell ref="C115:H115"/>
    <mergeCell ref="C116:H116"/>
    <mergeCell ref="C101:H101"/>
    <mergeCell ref="C102:H102"/>
    <mergeCell ref="C105:H105"/>
    <mergeCell ref="C106:H106"/>
    <mergeCell ref="C107:H107"/>
    <mergeCell ref="C108:H108"/>
    <mergeCell ref="C93:H93"/>
    <mergeCell ref="C94:H94"/>
    <mergeCell ref="C97:H97"/>
    <mergeCell ref="C98:H98"/>
    <mergeCell ref="C99:H99"/>
    <mergeCell ref="C100:H100"/>
    <mergeCell ref="C85:H85"/>
    <mergeCell ref="C86:H86"/>
    <mergeCell ref="C89:H89"/>
    <mergeCell ref="C90:H90"/>
    <mergeCell ref="C91:H91"/>
    <mergeCell ref="C92:H92"/>
    <mergeCell ref="C77:H77"/>
    <mergeCell ref="C78:H78"/>
    <mergeCell ref="C81:H81"/>
    <mergeCell ref="C82:H82"/>
    <mergeCell ref="C83:H83"/>
    <mergeCell ref="C84:H84"/>
    <mergeCell ref="C69:H69"/>
    <mergeCell ref="C70:H70"/>
    <mergeCell ref="C73:H73"/>
    <mergeCell ref="C74:H74"/>
    <mergeCell ref="C75:H75"/>
    <mergeCell ref="C76:H76"/>
    <mergeCell ref="C61:H61"/>
    <mergeCell ref="C62:H62"/>
    <mergeCell ref="C65:H65"/>
    <mergeCell ref="C66:H66"/>
    <mergeCell ref="C67:H67"/>
    <mergeCell ref="C68:H68"/>
    <mergeCell ref="C57:H57"/>
    <mergeCell ref="C58:H58"/>
    <mergeCell ref="C59:H59"/>
    <mergeCell ref="C60:H60"/>
    <mergeCell ref="C37:H37"/>
    <mergeCell ref="C38:H38"/>
    <mergeCell ref="C49:H49"/>
    <mergeCell ref="C50:H50"/>
    <mergeCell ref="C51:H51"/>
    <mergeCell ref="C52:H52"/>
    <mergeCell ref="C45:H45"/>
    <mergeCell ref="C46:H46"/>
    <mergeCell ref="C44:H44"/>
    <mergeCell ref="C35:H35"/>
    <mergeCell ref="C36:H36"/>
    <mergeCell ref="C29:H29"/>
    <mergeCell ref="C30:H30"/>
    <mergeCell ref="C41:H41"/>
    <mergeCell ref="C42:H42"/>
    <mergeCell ref="C43:H43"/>
    <mergeCell ref="C53:H53"/>
    <mergeCell ref="C54:H54"/>
    <mergeCell ref="C28:H28"/>
    <mergeCell ref="C13:H13"/>
    <mergeCell ref="C14:H14"/>
    <mergeCell ref="C17:H17"/>
    <mergeCell ref="C18:H18"/>
    <mergeCell ref="C19:H19"/>
    <mergeCell ref="C20:H20"/>
    <mergeCell ref="C33:H33"/>
    <mergeCell ref="C34:H34"/>
    <mergeCell ref="C9:H9"/>
    <mergeCell ref="C10:H10"/>
    <mergeCell ref="C11:H11"/>
    <mergeCell ref="C12:H12"/>
    <mergeCell ref="C21:H21"/>
    <mergeCell ref="C22:H22"/>
    <mergeCell ref="C25:H25"/>
    <mergeCell ref="C26:H26"/>
    <mergeCell ref="C27:H27"/>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pageSetUpPr fitToPage="1"/>
  </sheetPr>
  <dimension ref="B8:L37"/>
  <sheetViews>
    <sheetView showGridLines="0" view="pageBreakPreview" topLeftCell="A5" zoomScale="80" zoomScaleNormal="100" zoomScaleSheetLayoutView="80" workbookViewId="0">
      <selection activeCell="B5" sqref="B5"/>
    </sheetView>
  </sheetViews>
  <sheetFormatPr defaultColWidth="8.85546875" defaultRowHeight="16.5" x14ac:dyDescent="0.25"/>
  <cols>
    <col min="1" max="1" width="3.7109375" style="18" customWidth="1"/>
    <col min="2" max="2" width="50.28515625" style="18" bestFit="1" customWidth="1"/>
    <col min="3" max="3" width="42.140625" style="18" customWidth="1"/>
    <col min="4" max="4" width="14.5703125" style="18" customWidth="1"/>
    <col min="5" max="5" width="15.42578125" style="18" customWidth="1"/>
    <col min="6" max="6" width="15.28515625" style="18" customWidth="1"/>
    <col min="7" max="7" width="11.85546875" style="18" customWidth="1"/>
    <col min="8" max="8" width="13.28515625" style="18" bestFit="1" customWidth="1"/>
    <col min="9" max="9" width="13.42578125" style="18" bestFit="1" customWidth="1"/>
    <col min="10" max="10" width="16" style="18" customWidth="1"/>
    <col min="11" max="12" width="8.85546875" style="18" customWidth="1"/>
    <col min="13" max="16384" width="8.85546875" style="18"/>
  </cols>
  <sheetData>
    <row r="8" spans="2:12" x14ac:dyDescent="0.25">
      <c r="B8" s="17" t="str">
        <f>Company_Name</f>
        <v>Sample Company</v>
      </c>
      <c r="E8" s="41"/>
      <c r="F8" s="41"/>
    </row>
    <row r="9" spans="2:12" x14ac:dyDescent="0.25">
      <c r="B9" s="17" t="s">
        <v>90</v>
      </c>
      <c r="E9" s="41"/>
      <c r="F9" s="41"/>
    </row>
    <row r="10" spans="2:12" x14ac:dyDescent="0.25">
      <c r="E10" s="41"/>
      <c r="F10" s="41"/>
    </row>
    <row r="11" spans="2:12" x14ac:dyDescent="0.25">
      <c r="B11" s="17" t="str">
        <f>'AS 15 Disclosures'!C11</f>
        <v>Note 21 Disclosures under Accounting Standards</v>
      </c>
      <c r="E11" s="41"/>
      <c r="F11" s="41"/>
      <c r="L11" s="42" t="str" cm="1">
        <f t="array" ref="L11">IFERROR(INDEX(P12:P36, MATCH(TRUE,P12:P36="Yes",0)),"No")</f>
        <v>No</v>
      </c>
    </row>
    <row r="12" spans="2:12" ht="17.25" thickBot="1" x14ac:dyDescent="0.3">
      <c r="B12" s="81"/>
      <c r="C12" s="41"/>
      <c r="D12" s="41"/>
      <c r="E12" s="41"/>
      <c r="F12" s="41"/>
    </row>
    <row r="13" spans="2:12" x14ac:dyDescent="0.25">
      <c r="B13" s="2918" t="str">
        <f>+'Qualitative Disclosures for AS'!C675</f>
        <v>Particulars</v>
      </c>
      <c r="C13" s="2919"/>
      <c r="D13" s="2919"/>
      <c r="E13" s="2919"/>
      <c r="F13" s="2919"/>
      <c r="G13" s="2919"/>
      <c r="H13" s="2919"/>
      <c r="I13" s="2919"/>
      <c r="J13" s="2920"/>
      <c r="K13" s="369"/>
    </row>
    <row r="14" spans="2:12" ht="17.25" thickBot="1" x14ac:dyDescent="0.3">
      <c r="B14" s="3038"/>
      <c r="C14" s="3039"/>
      <c r="D14" s="3039"/>
      <c r="E14" s="3039"/>
      <c r="F14" s="3039"/>
      <c r="G14" s="3039"/>
      <c r="H14" s="3039"/>
      <c r="I14" s="3039"/>
      <c r="J14" s="3040"/>
      <c r="K14" s="369"/>
    </row>
    <row r="15" spans="2:12" x14ac:dyDescent="0.25">
      <c r="B15" s="865" t="str">
        <f>+'Qualitative Disclosures for AS'!C677</f>
        <v>Interest in joint ventures</v>
      </c>
      <c r="C15" s="101"/>
      <c r="J15" s="87"/>
    </row>
    <row r="16" spans="2:12" ht="27.6" customHeight="1" x14ac:dyDescent="0.25">
      <c r="B16" s="3079" t="str">
        <f>+'Qualitative Disclosures for AS'!C678</f>
        <v>The Company has interests in the following joint ventures - Jointly controlled operations (JCO) and / or Jointly controlled entities (JCE):</v>
      </c>
      <c r="C16" s="2959"/>
      <c r="D16" s="2959"/>
      <c r="E16" s="2959"/>
      <c r="F16" s="2959"/>
      <c r="G16" s="2959"/>
      <c r="H16" s="2959"/>
      <c r="I16" s="2959"/>
      <c r="J16" s="87"/>
    </row>
    <row r="17" spans="2:12" x14ac:dyDescent="0.25">
      <c r="B17" s="3079" t="str">
        <f>+'Qualitative Disclosures for AS'!C679</f>
        <v>(i) Jointly controlled operations (JCO):</v>
      </c>
      <c r="C17" s="2959"/>
      <c r="D17" s="2959"/>
      <c r="E17" s="2959"/>
      <c r="F17" s="2959"/>
      <c r="G17" s="2959"/>
      <c r="H17" s="2959"/>
      <c r="I17" s="2959"/>
      <c r="J17" s="87"/>
    </row>
    <row r="18" spans="2:12" ht="12.75" customHeight="1" x14ac:dyDescent="0.25">
      <c r="B18" s="867"/>
      <c r="G18" s="102"/>
      <c r="I18" s="102"/>
      <c r="J18" s="87"/>
    </row>
    <row r="19" spans="2:12" ht="44.25" customHeight="1" x14ac:dyDescent="0.25">
      <c r="B19" s="3013" t="str">
        <f>+'Qualitative Disclosures for AS'!C681</f>
        <v>Name of joint venture and country of incorporation</v>
      </c>
      <c r="C19" s="3093" t="str">
        <f>+'Qualitative Disclosures for AS'!D681</f>
        <v xml:space="preserve">% of interest </v>
      </c>
      <c r="D19" s="3018" t="str">
        <f>+'Qualitative Disclosures for AS'!E681</f>
        <v xml:space="preserve">Amount of interest based on accounts for the year ended 31 March, </v>
      </c>
      <c r="E19" s="3019"/>
      <c r="F19" s="3019"/>
      <c r="G19" s="3020"/>
      <c r="J19" s="87"/>
    </row>
    <row r="20" spans="2:12" ht="15.75" customHeight="1" x14ac:dyDescent="0.25">
      <c r="B20" s="3014"/>
      <c r="C20" s="3094"/>
      <c r="D20" s="3021" t="str">
        <f>+'Qualitative Disclosures for AS'!E682</f>
        <v>Contingent liabilities</v>
      </c>
      <c r="E20" s="3022"/>
      <c r="F20" s="3021" t="str">
        <f>+'Qualitative Disclosures for AS'!G682</f>
        <v>Capital commitments</v>
      </c>
      <c r="G20" s="3022"/>
      <c r="J20" s="87"/>
    </row>
    <row r="21" spans="2:12" x14ac:dyDescent="0.25">
      <c r="B21" s="872" t="str">
        <f>+IF('Qualitative Disclosures for AS'!C683="","",'Qualitative Disclosures for AS'!C683)</f>
        <v/>
      </c>
      <c r="C21" s="105" t="str">
        <f>+IF('Qualitative Disclosures for AS'!D683="","",'Qualitative Disclosures for AS'!D683)</f>
        <v/>
      </c>
      <c r="D21" s="3077" t="str">
        <f>+IF('Qualitative Disclosures for AS'!E683="","",'Qualitative Disclosures for AS'!E683)</f>
        <v/>
      </c>
      <c r="E21" s="3078" t="str">
        <f>+IF('Qualitative Disclosures for AS'!F683="","",'Qualitative Disclosures for AS'!F683)</f>
        <v/>
      </c>
      <c r="F21" s="3077" t="str">
        <f>+IF('Qualitative Disclosures for AS'!G683="","",'Qualitative Disclosures for AS'!G683)</f>
        <v/>
      </c>
      <c r="G21" s="3078" t="str">
        <f>+IF('Qualitative Disclosures for AS'!H683="","",'Qualitative Disclosures for AS'!H683)</f>
        <v/>
      </c>
      <c r="H21" s="18" t="str">
        <f>+IF('Qualitative Disclosures for AS'!I683="","",'Qualitative Disclosures for AS'!I683)</f>
        <v/>
      </c>
      <c r="I21" s="18" t="str">
        <f>+IF('Qualitative Disclosures for AS'!J683="","",'Qualitative Disclosures for AS'!J683)</f>
        <v/>
      </c>
      <c r="J21" s="87" t="str">
        <f>+IF('Qualitative Disclosures for AS'!K683="","",'Qualitative Disclosures for AS'!K683)</f>
        <v/>
      </c>
      <c r="L21" s="42" t="str">
        <f>IF(AND(G21=0,C21=0,D21=0,E21=0,F21=0),"No","Yes")</f>
        <v>Yes</v>
      </c>
    </row>
    <row r="22" spans="2:12" x14ac:dyDescent="0.25">
      <c r="B22" s="88" t="str">
        <f>+IF('Qualitative Disclosures for AS'!C684="","",'Qualitative Disclosures for AS'!C684)</f>
        <v/>
      </c>
      <c r="C22" s="105" t="str">
        <f>+IF('Qualitative Disclosures for AS'!D684="","",'Qualitative Disclosures for AS'!D684)</f>
        <v/>
      </c>
      <c r="D22" s="3011" t="str">
        <f>+IF('Qualitative Disclosures for AS'!E684="","",'Qualitative Disclosures for AS'!E684)</f>
        <v/>
      </c>
      <c r="E22" s="3012" t="str">
        <f>+IF('Qualitative Disclosures for AS'!F684="","",'Qualitative Disclosures for AS'!F684)</f>
        <v/>
      </c>
      <c r="F22" s="3011" t="str">
        <f>+IF('Qualitative Disclosures for AS'!G684="","",'Qualitative Disclosures for AS'!G684)</f>
        <v/>
      </c>
      <c r="G22" s="3012" t="str">
        <f>+IF('Qualitative Disclosures for AS'!H684="","",'Qualitative Disclosures for AS'!H684)</f>
        <v/>
      </c>
      <c r="H22" s="18" t="str">
        <f>+IF('Qualitative Disclosures for AS'!I684="","",'Qualitative Disclosures for AS'!I684)</f>
        <v/>
      </c>
      <c r="I22" s="18" t="str">
        <f>+IF('Qualitative Disclosures for AS'!J684="","",'Qualitative Disclosures for AS'!J684)</f>
        <v/>
      </c>
      <c r="J22" s="87" t="str">
        <f>+IF('Qualitative Disclosures for AS'!K684="","",'Qualitative Disclosures for AS'!K684)</f>
        <v/>
      </c>
      <c r="L22" s="42" t="str">
        <f>IF(AND(G22=0,C22=0,D22=0,E22=0,F22=0),"No","Yes")</f>
        <v>Yes</v>
      </c>
    </row>
    <row r="23" spans="2:12" x14ac:dyDescent="0.25">
      <c r="B23" s="88" t="str">
        <f>+IF('Qualitative Disclosures for AS'!C685="","",'Qualitative Disclosures for AS'!C685)</f>
        <v/>
      </c>
      <c r="C23" s="105" t="str">
        <f>+IF('Qualitative Disclosures for AS'!D685="","",'Qualitative Disclosures for AS'!D685)</f>
        <v/>
      </c>
      <c r="D23" s="3011" t="str">
        <f>+IF('Qualitative Disclosures for AS'!E685="","",'Qualitative Disclosures for AS'!E685)</f>
        <v/>
      </c>
      <c r="E23" s="3012" t="str">
        <f>+IF('Qualitative Disclosures for AS'!F685="","",'Qualitative Disclosures for AS'!F685)</f>
        <v/>
      </c>
      <c r="F23" s="3011" t="str">
        <f>+IF('Qualitative Disclosures for AS'!G685="","",'Qualitative Disclosures for AS'!G685)</f>
        <v/>
      </c>
      <c r="G23" s="3012" t="str">
        <f>+IF('Qualitative Disclosures for AS'!H685="","",'Qualitative Disclosures for AS'!H685)</f>
        <v/>
      </c>
      <c r="H23" s="18" t="str">
        <f>+IF('Qualitative Disclosures for AS'!I685="","",'Qualitative Disclosures for AS'!I685)</f>
        <v/>
      </c>
      <c r="I23" s="18" t="str">
        <f>+IF('Qualitative Disclosures for AS'!J685="","",'Qualitative Disclosures for AS'!J685)</f>
        <v/>
      </c>
      <c r="J23" s="87" t="str">
        <f>+IF('Qualitative Disclosures for AS'!K685="","",'Qualitative Disclosures for AS'!K685)</f>
        <v/>
      </c>
      <c r="L23" s="42" t="str">
        <f>IF(AND(G23=0,C23=0,D23=0,E23=0,F23=0),"No","Yes")</f>
        <v>Yes</v>
      </c>
    </row>
    <row r="24" spans="2:12" x14ac:dyDescent="0.25">
      <c r="B24" s="88" t="str">
        <f>+IF('Qualitative Disclosures for AS'!C686="","",'Qualitative Disclosures for AS'!C686)</f>
        <v/>
      </c>
      <c r="C24" s="105" t="str">
        <f>+IF('Qualitative Disclosures for AS'!D686="","",'Qualitative Disclosures for AS'!D686)</f>
        <v/>
      </c>
      <c r="D24" s="3011" t="str">
        <f>+IF('Qualitative Disclosures for AS'!E686="","",'Qualitative Disclosures for AS'!E686)</f>
        <v/>
      </c>
      <c r="E24" s="3012" t="str">
        <f>+IF('Qualitative Disclosures for AS'!F686="","",'Qualitative Disclosures for AS'!F686)</f>
        <v/>
      </c>
      <c r="F24" s="3011" t="str">
        <f>+IF('Qualitative Disclosures for AS'!G686="","",'Qualitative Disclosures for AS'!G686)</f>
        <v/>
      </c>
      <c r="G24" s="3012" t="str">
        <f>+IF('Qualitative Disclosures for AS'!H686="","",'Qualitative Disclosures for AS'!H686)</f>
        <v/>
      </c>
      <c r="H24" s="107" t="str">
        <f>+IF('Qualitative Disclosures for AS'!I686="","",'Qualitative Disclosures for AS'!I686)</f>
        <v/>
      </c>
      <c r="I24" s="18" t="str">
        <f>+IF('Qualitative Disclosures for AS'!J686="","",'Qualitative Disclosures for AS'!J686)</f>
        <v/>
      </c>
      <c r="J24" s="87" t="str">
        <f>+IF('Qualitative Disclosures for AS'!K686="","",'Qualitative Disclosures for AS'!K686)</f>
        <v/>
      </c>
      <c r="L24" s="42" t="str">
        <f>IF(AND(G24=0,C24=0,D24=0,E24=0,F24=0),"No","Yes")</f>
        <v>Yes</v>
      </c>
    </row>
    <row r="25" spans="2:12" x14ac:dyDescent="0.25">
      <c r="B25" s="876" t="str">
        <f>+IF('Qualitative Disclosures for AS'!C687="","",'Qualitative Disclosures for AS'!C687)</f>
        <v>Note: Figures in brackets relate to the previous year.</v>
      </c>
      <c r="C25" s="86" t="str">
        <f>+IF('Qualitative Disclosures for AS'!D687="","",'Qualitative Disclosures for AS'!D687)</f>
        <v/>
      </c>
      <c r="D25" s="86" t="str">
        <f>+IF('Qualitative Disclosures for AS'!E687="","",'Qualitative Disclosures for AS'!E687)</f>
        <v/>
      </c>
      <c r="E25" s="86" t="str">
        <f>+IF('Qualitative Disclosures for AS'!F687="","",'Qualitative Disclosures for AS'!F687)</f>
        <v/>
      </c>
      <c r="F25" s="86" t="str">
        <f>+IF('Qualitative Disclosures for AS'!G687="","",'Qualitative Disclosures for AS'!G687)</f>
        <v/>
      </c>
      <c r="G25" s="86" t="str">
        <f>+IF('Qualitative Disclosures for AS'!H687="","",'Qualitative Disclosures for AS'!H687)</f>
        <v/>
      </c>
      <c r="H25" s="18" t="str">
        <f>+IF('Qualitative Disclosures for AS'!I687="","",'Qualitative Disclosures for AS'!I687)</f>
        <v/>
      </c>
      <c r="I25" s="18" t="str">
        <f>+IF('Qualitative Disclosures for AS'!J687="","",'Qualitative Disclosures for AS'!J687)</f>
        <v/>
      </c>
      <c r="J25" s="87" t="str">
        <f>+IF('Qualitative Disclosures for AS'!K687="","",'Qualitative Disclosures for AS'!K687)</f>
        <v/>
      </c>
      <c r="L25" s="42" t="str" cm="1">
        <f t="array" ref="L25">IFERROR(INDEX(L21:L24, MATCH(TRUE,L21:L24="Yes",0)),"No")</f>
        <v>Yes</v>
      </c>
    </row>
    <row r="26" spans="2:12" x14ac:dyDescent="0.25">
      <c r="B26" s="867" t="str">
        <f>+IF('Qualitative Disclosures for AS'!C688="","",'Qualitative Disclosures for AS'!C688)</f>
        <v/>
      </c>
      <c r="C26" s="18" t="str">
        <f>+IF('Qualitative Disclosures for AS'!D688="","",'Qualitative Disclosures for AS'!D688)</f>
        <v/>
      </c>
      <c r="D26" s="18" t="str">
        <f>+IF('Qualitative Disclosures for AS'!E688="","",'Qualitative Disclosures for AS'!E688)</f>
        <v/>
      </c>
      <c r="E26" s="18" t="str">
        <f>+IF('Qualitative Disclosures for AS'!F688="","",'Qualitative Disclosures for AS'!F688)</f>
        <v/>
      </c>
      <c r="F26" s="18" t="str">
        <f>+IF('Qualitative Disclosures for AS'!G688="","",'Qualitative Disclosures for AS'!G688)</f>
        <v/>
      </c>
      <c r="G26" s="18" t="str">
        <f>+IF('Qualitative Disclosures for AS'!H688="","",'Qualitative Disclosures for AS'!H688)</f>
        <v/>
      </c>
      <c r="H26" s="18" t="str">
        <f>+IF('Qualitative Disclosures for AS'!I688="","",'Qualitative Disclosures for AS'!I688)</f>
        <v/>
      </c>
      <c r="I26" s="18" t="str">
        <f>+IF('Qualitative Disclosures for AS'!J688="","",'Qualitative Disclosures for AS'!J688)</f>
        <v/>
      </c>
      <c r="J26" s="87" t="str">
        <f>+IF('Qualitative Disclosures for AS'!K688="","",'Qualitative Disclosures for AS'!K688)</f>
        <v/>
      </c>
    </row>
    <row r="27" spans="2:12" x14ac:dyDescent="0.25">
      <c r="B27" s="867" t="str">
        <f>+IF('Qualitative Disclosures for AS'!C689="","",'Qualitative Disclosures for AS'!C689)</f>
        <v>(ii) Jointly controlled entities (JCE):</v>
      </c>
      <c r="C27" s="18" t="str">
        <f>+IF('Qualitative Disclosures for AS'!D689="","",'Qualitative Disclosures for AS'!D689)</f>
        <v/>
      </c>
      <c r="D27" s="18" t="str">
        <f>+IF('Qualitative Disclosures for AS'!E689="","",'Qualitative Disclosures for AS'!E689)</f>
        <v/>
      </c>
      <c r="E27" s="18" t="str">
        <f>+IF('Qualitative Disclosures for AS'!F689="","",'Qualitative Disclosures for AS'!F689)</f>
        <v/>
      </c>
      <c r="F27" s="18" t="str">
        <f>+IF('Qualitative Disclosures for AS'!G689="","",'Qualitative Disclosures for AS'!G689)</f>
        <v/>
      </c>
      <c r="G27" s="18" t="str">
        <f>+IF('Qualitative Disclosures for AS'!H689="","",'Qualitative Disclosures for AS'!H689)</f>
        <v/>
      </c>
      <c r="H27" s="18" t="str">
        <f>+IF('Qualitative Disclosures for AS'!I689="","",'Qualitative Disclosures for AS'!I689)</f>
        <v/>
      </c>
      <c r="I27" s="18" t="str">
        <f>+IF('Qualitative Disclosures for AS'!J689="","",'Qualitative Disclosures for AS'!J689)</f>
        <v/>
      </c>
      <c r="J27" s="87" t="str">
        <f>+IF('Qualitative Disclosures for AS'!K689="","",'Qualitative Disclosures for AS'!K689)</f>
        <v/>
      </c>
    </row>
    <row r="28" spans="2:12" x14ac:dyDescent="0.25">
      <c r="B28" s="867" t="str">
        <f>+IF('Qualitative Disclosures for AS'!C690="","",'Qualitative Disclosures for AS'!C690)</f>
        <v/>
      </c>
      <c r="C28" s="18" t="str">
        <f>+IF('Qualitative Disclosures for AS'!D690="","",'Qualitative Disclosures for AS'!D690)</f>
        <v/>
      </c>
      <c r="D28" s="18" t="str">
        <f>+IF('Qualitative Disclosures for AS'!E690="","",'Qualitative Disclosures for AS'!E690)</f>
        <v/>
      </c>
      <c r="E28" s="18" t="str">
        <f>+IF('Qualitative Disclosures for AS'!F690="","",'Qualitative Disclosures for AS'!F690)</f>
        <v/>
      </c>
      <c r="F28" s="18" t="str">
        <f>+IF('Qualitative Disclosures for AS'!G690="","",'Qualitative Disclosures for AS'!G690)</f>
        <v/>
      </c>
      <c r="G28" s="18" t="str">
        <f>+IF('Qualitative Disclosures for AS'!H690="","",'Qualitative Disclosures for AS'!H690)</f>
        <v/>
      </c>
      <c r="H28" s="18" t="str">
        <f>+IF('Qualitative Disclosures for AS'!I690="","",'Qualitative Disclosures for AS'!I690)</f>
        <v/>
      </c>
      <c r="I28" s="102" t="str">
        <f>+IF('Qualitative Disclosures for AS'!J690="","",'Qualitative Disclosures for AS'!J690)</f>
        <v>`</v>
      </c>
      <c r="J28" s="87" t="str">
        <f>+IF('Qualitative Disclosures for AS'!K690="","",'Qualitative Disclosures for AS'!K690)</f>
        <v/>
      </c>
    </row>
    <row r="29" spans="2:12" ht="30" customHeight="1" x14ac:dyDescent="0.25">
      <c r="B29" s="3013" t="str">
        <f>+IF('Qualitative Disclosures for AS'!C691="","",'Qualitative Disclosures for AS'!C691)</f>
        <v>Name of joint venture and country of incorporation</v>
      </c>
      <c r="C29" s="3015" t="str">
        <f>+IF('Qualitative Disclosures for AS'!D691="","",'Qualitative Disclosures for AS'!D691)</f>
        <v>% of interest / ownership</v>
      </c>
      <c r="D29" s="3017" t="str">
        <f>+IF('Qualitative Disclosures for AS'!E691="","",'Qualitative Disclosures for AS'!E691)</f>
        <v xml:space="preserve">Amount of interest based on accounts for the year ended 31 March, </v>
      </c>
      <c r="E29" s="3017" t="str">
        <f>+IF('Qualitative Disclosures for AS'!F691="","",'Qualitative Disclosures for AS'!F691)</f>
        <v/>
      </c>
      <c r="F29" s="3017" t="str">
        <f>+IF('Qualitative Disclosures for AS'!G691="","",'Qualitative Disclosures for AS'!G691)</f>
        <v/>
      </c>
      <c r="G29" s="3017" t="str">
        <f>+IF('Qualitative Disclosures for AS'!H691="","",'Qualitative Disclosures for AS'!H691)</f>
        <v/>
      </c>
      <c r="H29" s="3017" t="str">
        <f>+IF('Qualitative Disclosures for AS'!I691="","",'Qualitative Disclosures for AS'!I691)</f>
        <v/>
      </c>
      <c r="I29" s="3017" t="str">
        <f>+IF('Qualitative Disclosures for AS'!J691="","",'Qualitative Disclosures for AS'!J691)</f>
        <v/>
      </c>
      <c r="J29" s="87" t="str">
        <f>+IF('Qualitative Disclosures for AS'!K691="","",'Qualitative Disclosures for AS'!K691)</f>
        <v/>
      </c>
    </row>
    <row r="30" spans="2:12" ht="45" x14ac:dyDescent="0.25">
      <c r="B30" s="3014" t="str">
        <f>+IF('Qualitative Disclosures for AS'!C692="","",'Qualitative Disclosures for AS'!C692)</f>
        <v/>
      </c>
      <c r="C30" s="3016" t="str">
        <f>+IF('Qualitative Disclosures for AS'!D692="","",'Qualitative Disclosures for AS'!D692)</f>
        <v/>
      </c>
      <c r="D30" s="880" t="str">
        <f>+IF('Qualitative Disclosures for AS'!E692="","",'Qualitative Disclosures for AS'!E692)</f>
        <v>Assets</v>
      </c>
      <c r="E30" s="880" t="str">
        <f>+IF('Qualitative Disclosures for AS'!F692="","",'Qualitative Disclosures for AS'!F692)</f>
        <v>Liabilities</v>
      </c>
      <c r="F30" s="880" t="str">
        <f>+IF('Qualitative Disclosures for AS'!G692="","",'Qualitative Disclosures for AS'!G692)</f>
        <v>Income</v>
      </c>
      <c r="G30" s="880" t="str">
        <f>+IF('Qualitative Disclosures for AS'!H692="","",'Qualitative Disclosures for AS'!H692)</f>
        <v>Expenditure</v>
      </c>
      <c r="H30" s="868" t="str">
        <f>+IF('Qualitative Disclosures for AS'!I692="","",'Qualitative Disclosures for AS'!I692)</f>
        <v>Contingent liabilities</v>
      </c>
      <c r="I30" s="868" t="str">
        <f>+IF('Qualitative Disclosures for AS'!J692="","",'Qualitative Disclosures for AS'!J692)</f>
        <v>Capital commitments</v>
      </c>
      <c r="J30" s="87" t="str">
        <f>+IF('Qualitative Disclosures for AS'!K692="","",'Qualitative Disclosures for AS'!K692)</f>
        <v/>
      </c>
    </row>
    <row r="31" spans="2:12" x14ac:dyDescent="0.25">
      <c r="B31" s="88" t="str">
        <f>+IF('Qualitative Disclosures for AS'!C693="","",'Qualitative Disclosures for AS'!C693)</f>
        <v/>
      </c>
      <c r="C31" s="105" t="str">
        <f>+IF('Qualitative Disclosures for AS'!D693="","",'Qualitative Disclosures for AS'!D693)</f>
        <v/>
      </c>
      <c r="D31" s="105" t="str">
        <f>+IF('Qualitative Disclosures for AS'!E693="","",'Qualitative Disclosures for AS'!E693)</f>
        <v/>
      </c>
      <c r="E31" s="105" t="str">
        <f>+IF('Qualitative Disclosures for AS'!F693="","",'Qualitative Disclosures for AS'!F693)</f>
        <v/>
      </c>
      <c r="F31" s="105" t="str">
        <f>+IF('Qualitative Disclosures for AS'!G693="","",'Qualitative Disclosures for AS'!G693)</f>
        <v/>
      </c>
      <c r="G31" s="105" t="str">
        <f>+IF('Qualitative Disclosures for AS'!H693="","",'Qualitative Disclosures for AS'!H693)</f>
        <v/>
      </c>
      <c r="H31" s="105" t="str">
        <f>+IF('Qualitative Disclosures for AS'!I693="","",'Qualitative Disclosures for AS'!I693)</f>
        <v/>
      </c>
      <c r="I31" s="105" t="str">
        <f>+IF('Qualitative Disclosures for AS'!J693="","",'Qualitative Disclosures for AS'!J693)</f>
        <v/>
      </c>
      <c r="J31" s="87" t="str">
        <f>+IF('Qualitative Disclosures for AS'!K693="","",'Qualitative Disclosures for AS'!K693)</f>
        <v/>
      </c>
      <c r="L31" s="42" t="str">
        <f>IF(AND(G31=0,C31=0,D31=0,E31=0,F31=0,H31=0,I31=0),"No","Yes")</f>
        <v>Yes</v>
      </c>
    </row>
    <row r="32" spans="2:12" x14ac:dyDescent="0.25">
      <c r="B32" s="88" t="str">
        <f>+IF('Qualitative Disclosures for AS'!C694="","",'Qualitative Disclosures for AS'!C694)</f>
        <v/>
      </c>
      <c r="C32" s="105" t="str">
        <f>+IF('Qualitative Disclosures for AS'!D694="","",'Qualitative Disclosures for AS'!D694)</f>
        <v/>
      </c>
      <c r="D32" s="105" t="str">
        <f>+IF('Qualitative Disclosures for AS'!E694="","",'Qualitative Disclosures for AS'!E694)</f>
        <v/>
      </c>
      <c r="E32" s="105" t="str">
        <f>+IF('Qualitative Disclosures for AS'!F694="","",'Qualitative Disclosures for AS'!F694)</f>
        <v/>
      </c>
      <c r="F32" s="105" t="str">
        <f>+IF('Qualitative Disclosures for AS'!G694="","",'Qualitative Disclosures for AS'!G694)</f>
        <v/>
      </c>
      <c r="G32" s="105" t="str">
        <f>+IF('Qualitative Disclosures for AS'!H694="","",'Qualitative Disclosures for AS'!H694)</f>
        <v/>
      </c>
      <c r="H32" s="105" t="str">
        <f>+IF('Qualitative Disclosures for AS'!I694="","",'Qualitative Disclosures for AS'!I694)</f>
        <v/>
      </c>
      <c r="I32" s="105" t="str">
        <f>+IF('Qualitative Disclosures for AS'!J694="","",'Qualitative Disclosures for AS'!J694)</f>
        <v/>
      </c>
      <c r="J32" s="87" t="str">
        <f>+IF('Qualitative Disclosures for AS'!K694="","",'Qualitative Disclosures for AS'!K694)</f>
        <v/>
      </c>
      <c r="L32" s="42" t="str">
        <f>IF(AND(G32=0,C32=0,D32=0,E32=0,F32=0,H32=0,I32=0),"No","Yes")</f>
        <v>Yes</v>
      </c>
    </row>
    <row r="33" spans="2:12" x14ac:dyDescent="0.25">
      <c r="B33" s="88" t="str">
        <f>+IF('Qualitative Disclosures for AS'!C695="","",'Qualitative Disclosures for AS'!C695)</f>
        <v/>
      </c>
      <c r="C33" s="105" t="str">
        <f>+IF('Qualitative Disclosures for AS'!D695="","",'Qualitative Disclosures for AS'!D695)</f>
        <v/>
      </c>
      <c r="D33" s="105" t="str">
        <f>+IF('Qualitative Disclosures for AS'!E695="","",'Qualitative Disclosures for AS'!E695)</f>
        <v/>
      </c>
      <c r="E33" s="105" t="str">
        <f>+IF('Qualitative Disclosures for AS'!F695="","",'Qualitative Disclosures for AS'!F695)</f>
        <v/>
      </c>
      <c r="F33" s="105" t="str">
        <f>+IF('Qualitative Disclosures for AS'!G695="","",'Qualitative Disclosures for AS'!G695)</f>
        <v/>
      </c>
      <c r="G33" s="105" t="str">
        <f>+IF('Qualitative Disclosures for AS'!H695="","",'Qualitative Disclosures for AS'!H695)</f>
        <v/>
      </c>
      <c r="H33" s="105" t="str">
        <f>+IF('Qualitative Disclosures for AS'!I695="","",'Qualitative Disclosures for AS'!I695)</f>
        <v/>
      </c>
      <c r="I33" s="105" t="str">
        <f>+IF('Qualitative Disclosures for AS'!J695="","",'Qualitative Disclosures for AS'!J695)</f>
        <v/>
      </c>
      <c r="J33" s="87" t="str">
        <f>+IF('Qualitative Disclosures for AS'!K695="","",'Qualitative Disclosures for AS'!K695)</f>
        <v/>
      </c>
      <c r="L33" s="42" t="str">
        <f>IF(AND(G33=0,C33=0,D33=0,E33=0,F33=0,H33=0,I33=0),"No","Yes")</f>
        <v>Yes</v>
      </c>
    </row>
    <row r="34" spans="2:12" x14ac:dyDescent="0.25">
      <c r="B34" s="99" t="str">
        <f>+IF('Qualitative Disclosures for AS'!C696="","",'Qualitative Disclosures for AS'!C696)</f>
        <v/>
      </c>
      <c r="C34" s="109" t="str">
        <f>+IF('Qualitative Disclosures for AS'!D696="","",'Qualitative Disclosures for AS'!D696)</f>
        <v/>
      </c>
      <c r="D34" s="109" t="str">
        <f>+IF('Qualitative Disclosures for AS'!E696="","",'Qualitative Disclosures for AS'!E696)</f>
        <v/>
      </c>
      <c r="E34" s="109" t="str">
        <f>+IF('Qualitative Disclosures for AS'!F696="","",'Qualitative Disclosures for AS'!F696)</f>
        <v/>
      </c>
      <c r="F34" s="109" t="str">
        <f>+IF('Qualitative Disclosures for AS'!G696="","",'Qualitative Disclosures for AS'!G696)</f>
        <v/>
      </c>
      <c r="G34" s="109" t="str">
        <f>+IF('Qualitative Disclosures for AS'!H696="","",'Qualitative Disclosures for AS'!H696)</f>
        <v/>
      </c>
      <c r="H34" s="109" t="str">
        <f>+IF('Qualitative Disclosures for AS'!I696="","",'Qualitative Disclosures for AS'!I696)</f>
        <v/>
      </c>
      <c r="I34" s="109" t="str">
        <f>+IF('Qualitative Disclosures for AS'!J696="","",'Qualitative Disclosures for AS'!J696)</f>
        <v/>
      </c>
      <c r="J34" s="87" t="str">
        <f>+IF('Qualitative Disclosures for AS'!K696="","",'Qualitative Disclosures for AS'!K696)</f>
        <v/>
      </c>
      <c r="L34" s="42" t="str">
        <f>IF(AND(G34=0,C34=0,D34=0,E34=0,F34=0,H34=0,I34=0),"No","Yes")</f>
        <v>Yes</v>
      </c>
    </row>
    <row r="35" spans="2:12" x14ac:dyDescent="0.25">
      <c r="B35" s="876" t="str">
        <f>+IF('Qualitative Disclosures for AS'!C697="","",'Qualitative Disclosures for AS'!C697)</f>
        <v>Note: Figures in brackets relate to the previous year.</v>
      </c>
      <c r="C35" s="86" t="str">
        <f>+IF('Qualitative Disclosures for AS'!D697="","",'Qualitative Disclosures for AS'!D697)</f>
        <v/>
      </c>
      <c r="D35" s="86" t="str">
        <f>+IF('Qualitative Disclosures for AS'!E697="","",'Qualitative Disclosures for AS'!E697)</f>
        <v/>
      </c>
      <c r="E35" s="86" t="str">
        <f>+IF('Qualitative Disclosures for AS'!F697="","",'Qualitative Disclosures for AS'!F697)</f>
        <v/>
      </c>
      <c r="F35" s="86" t="str">
        <f>+IF('Qualitative Disclosures for AS'!G697="","",'Qualitative Disclosures for AS'!G697)</f>
        <v/>
      </c>
      <c r="G35" s="86" t="str">
        <f>+IF('Qualitative Disclosures for AS'!H697="","",'Qualitative Disclosures for AS'!H697)</f>
        <v/>
      </c>
      <c r="H35" s="86" t="str">
        <f>+IF('Qualitative Disclosures for AS'!I697="","",'Qualitative Disclosures for AS'!I697)</f>
        <v/>
      </c>
      <c r="I35" s="18" t="str">
        <f>+IF('Qualitative Disclosures for AS'!J697="","",'Qualitative Disclosures for AS'!J697)</f>
        <v/>
      </c>
      <c r="J35" s="87" t="str">
        <f>+IF('Qualitative Disclosures for AS'!K697="","",'Qualitative Disclosures for AS'!K697)</f>
        <v/>
      </c>
      <c r="L35" s="42" t="str" cm="1">
        <f t="array" ref="L35">IFERROR(INDEX(L31:L34, MATCH(TRUE,L31:L34="Yes",0)),"No")</f>
        <v>Yes</v>
      </c>
    </row>
    <row r="36" spans="2:12" ht="17.25" thickBot="1" x14ac:dyDescent="0.3">
      <c r="B36" s="881"/>
      <c r="C36" s="111"/>
      <c r="D36" s="111"/>
      <c r="E36" s="111"/>
      <c r="F36" s="111"/>
      <c r="G36" s="111"/>
      <c r="H36" s="111"/>
      <c r="I36" s="111"/>
      <c r="J36" s="112"/>
    </row>
    <row r="37" spans="2:12" ht="50.1" hidden="1" customHeight="1" thickBot="1" x14ac:dyDescent="0.3">
      <c r="B37" s="3090" t="s">
        <v>962</v>
      </c>
      <c r="C37" s="3091"/>
      <c r="D37" s="3091"/>
      <c r="E37" s="3091"/>
      <c r="F37" s="3091"/>
      <c r="G37" s="3091"/>
      <c r="H37" s="3091"/>
      <c r="I37" s="3091"/>
      <c r="J37" s="3092"/>
      <c r="K37" s="877"/>
    </row>
  </sheetData>
  <sheetProtection formatCells="0" formatColumns="0" formatRows="0"/>
  <mergeCells count="20">
    <mergeCell ref="B13:J14"/>
    <mergeCell ref="B16:I16"/>
    <mergeCell ref="B19:B20"/>
    <mergeCell ref="C19:C20"/>
    <mergeCell ref="D19:G19"/>
    <mergeCell ref="D20:E20"/>
    <mergeCell ref="F20:G20"/>
    <mergeCell ref="B17:I17"/>
    <mergeCell ref="B37:J37"/>
    <mergeCell ref="D21:E21"/>
    <mergeCell ref="F21:G21"/>
    <mergeCell ref="D22:E22"/>
    <mergeCell ref="F22:G22"/>
    <mergeCell ref="D23:E23"/>
    <mergeCell ref="F23:G23"/>
    <mergeCell ref="D24:E24"/>
    <mergeCell ref="F24:G24"/>
    <mergeCell ref="B29:B30"/>
    <mergeCell ref="C29:C30"/>
    <mergeCell ref="D29:I29"/>
  </mergeCells>
  <pageMargins left="0.5" right="0.5" top="0.5" bottom="0.5" header="0.5" footer="0.5"/>
  <pageSetup scale="63" fitToHeight="0" orientation="landscape"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B8:M39"/>
  <sheetViews>
    <sheetView showGridLines="0" view="pageBreakPreview" topLeftCell="A23" zoomScale="80" zoomScaleNormal="100" zoomScaleSheetLayoutView="80" workbookViewId="0">
      <selection activeCell="B42" sqref="B42"/>
    </sheetView>
  </sheetViews>
  <sheetFormatPr defaultColWidth="8.85546875" defaultRowHeight="16.5" x14ac:dyDescent="0.25"/>
  <cols>
    <col min="1" max="1" width="3.7109375" style="18" customWidth="1"/>
    <col min="2" max="2" width="52.42578125" style="18" bestFit="1" customWidth="1"/>
    <col min="3" max="3" width="53.28515625" style="18" customWidth="1"/>
    <col min="4" max="4" width="17.7109375" style="18" customWidth="1"/>
    <col min="5" max="5" width="16.5703125" style="18" customWidth="1"/>
    <col min="6" max="6" width="12.140625" style="18" customWidth="1"/>
    <col min="7" max="8" width="16.140625" style="18" customWidth="1"/>
    <col min="9" max="9" width="21.140625" style="18" customWidth="1"/>
    <col min="10" max="16384" width="8.85546875" style="18"/>
  </cols>
  <sheetData>
    <row r="8" spans="2:13" x14ac:dyDescent="0.25">
      <c r="B8" s="17" t="str">
        <f>Company_Name</f>
        <v>Sample Company</v>
      </c>
      <c r="D8" s="41"/>
      <c r="E8" s="41"/>
    </row>
    <row r="9" spans="2:13" x14ac:dyDescent="0.25">
      <c r="B9" s="17" t="s">
        <v>90</v>
      </c>
      <c r="D9" s="41"/>
      <c r="E9" s="41"/>
    </row>
    <row r="10" spans="2:13" x14ac:dyDescent="0.25">
      <c r="B10" s="18" t="s">
        <v>1811</v>
      </c>
      <c r="D10" s="41"/>
      <c r="E10" s="41"/>
      <c r="L10" s="882"/>
    </row>
    <row r="11" spans="2:13" x14ac:dyDescent="0.25">
      <c r="B11" s="17" t="str">
        <f>'AS 15 Disclosures'!C11</f>
        <v>Note 21 Disclosures under Accounting Standards</v>
      </c>
      <c r="D11" s="41"/>
      <c r="E11" s="41"/>
      <c r="L11" s="42" t="str" cm="1">
        <f t="array" ref="L11">IFERROR(INDEX(L12:L38, MATCH(TRUE,L12:L38="Yes",0)),"No")</f>
        <v>Yes</v>
      </c>
      <c r="M11" s="882"/>
    </row>
    <row r="12" spans="2:13" ht="17.25" thickBot="1" x14ac:dyDescent="0.3">
      <c r="B12" s="81"/>
      <c r="C12" s="41"/>
      <c r="D12" s="41"/>
      <c r="E12" s="41"/>
    </row>
    <row r="13" spans="2:13" x14ac:dyDescent="0.25">
      <c r="B13" s="3023" t="str">
        <f>+IF('Qualitative Disclosures for AS'!C702="","",'Qualitative Disclosures for AS'!C702)</f>
        <v>Particulars</v>
      </c>
      <c r="C13" s="3024"/>
      <c r="D13" s="3024"/>
      <c r="E13" s="3024"/>
      <c r="F13" s="3024"/>
      <c r="G13" s="3024"/>
      <c r="H13" s="3024"/>
      <c r="I13" s="3025"/>
    </row>
    <row r="14" spans="2:13" ht="17.25" thickBot="1" x14ac:dyDescent="0.3">
      <c r="B14" s="3026"/>
      <c r="C14" s="3027"/>
      <c r="D14" s="3027"/>
      <c r="E14" s="3027"/>
      <c r="F14" s="3027"/>
      <c r="G14" s="3027"/>
      <c r="H14" s="3027"/>
      <c r="I14" s="3028"/>
    </row>
    <row r="15" spans="2:13" x14ac:dyDescent="0.25">
      <c r="B15" s="883" t="str">
        <f>+'Qualitative Disclosures for AS'!C704</f>
        <v>Details of provisions</v>
      </c>
      <c r="C15" s="102"/>
      <c r="D15" s="102"/>
      <c r="I15" s="87"/>
    </row>
    <row r="16" spans="2:13" ht="54" customHeight="1" thickBot="1" x14ac:dyDescent="0.3">
      <c r="B16" s="3029" t="str">
        <f>+'Qualitative Disclosures for AS'!C705</f>
        <v>The Company has made provision for various contractual obligations and disputed liabilities based on its assessment of the amount it estimates to incur to meet such obligations, details of which are given below:</v>
      </c>
      <c r="C16" s="2942"/>
      <c r="D16" s="2942"/>
      <c r="E16" s="2942"/>
      <c r="F16" s="2942"/>
      <c r="G16" s="2942"/>
      <c r="H16" s="2942"/>
      <c r="I16" s="87"/>
    </row>
    <row r="17" spans="2:12" ht="91.15" customHeight="1" thickBot="1" x14ac:dyDescent="0.3">
      <c r="B17" s="884" t="str">
        <f>+'Qualitative Disclosures for AS'!C706</f>
        <v>Particulars</v>
      </c>
      <c r="C17" s="885" t="str">
        <f>+'Qualitative Disclosures for AS'!D706</f>
        <v xml:space="preserve">As at 
1 April, </v>
      </c>
      <c r="D17" s="885" t="str">
        <f>+'Qualitative Disclosures for AS'!E706</f>
        <v>Additions</v>
      </c>
      <c r="E17" s="885" t="str">
        <f>+'Qualitative Disclosures for AS'!F706</f>
        <v>Utilisation</v>
      </c>
      <c r="F17" s="885" t="str">
        <f>+'Qualitative Disclosures for AS'!G706</f>
        <v>Reversal (withdrawn as no longer required)</v>
      </c>
      <c r="G17" s="885" t="str">
        <f>+'Qualitative Disclosures for AS'!H706</f>
        <v>Foreign currency translation</v>
      </c>
      <c r="H17" s="886" t="str">
        <f>+'Qualitative Disclosures for AS'!I706</f>
        <v>As At 31st March 2024</v>
      </c>
      <c r="I17" s="87"/>
    </row>
    <row r="18" spans="2:12" x14ac:dyDescent="0.25">
      <c r="B18" s="3008" t="str">
        <f>+IF('Qualitative Disclosures for AS'!C707="","",'Qualitative Disclosures for AS'!C707)</f>
        <v>Provision for warranty</v>
      </c>
      <c r="C18" s="90" t="str">
        <f>+IF('Qualitative Disclosures for AS'!D707="","",'Qualitative Disclosures for AS'!D707)</f>
        <v/>
      </c>
      <c r="D18" s="90" t="str">
        <f>+IF('Qualitative Disclosures for AS'!E707="","",'Qualitative Disclosures for AS'!E707)</f>
        <v/>
      </c>
      <c r="E18" s="90" t="str">
        <f>+IF('Qualitative Disclosures for AS'!F707="","",'Qualitative Disclosures for AS'!F707)</f>
        <v/>
      </c>
      <c r="F18" s="90" t="str">
        <f>+IF('Qualitative Disclosures for AS'!G707="","",'Qualitative Disclosures for AS'!G707)</f>
        <v/>
      </c>
      <c r="G18" s="90" t="str">
        <f>+IF('Qualitative Disclosures for AS'!H707="","",'Qualitative Disclosures for AS'!H707)</f>
        <v/>
      </c>
      <c r="H18" s="90" t="str">
        <f>+IF('Qualitative Disclosures for AS'!I707="","",'Qualitative Disclosures for AS'!I707)</f>
        <v/>
      </c>
      <c r="I18" s="87"/>
      <c r="L18" s="42" t="str">
        <f t="shared" ref="L18:L28" si="0">IF(AND(C18=0,D18=0,E18=0,F18=0,G18=0,H18=0),"No","Yes")</f>
        <v>Yes</v>
      </c>
    </row>
    <row r="19" spans="2:12" x14ac:dyDescent="0.25">
      <c r="B19" s="3008"/>
      <c r="C19" s="91" t="str">
        <f>+IF('Qualitative Disclosures for AS'!D708="","",'Qualitative Disclosures for AS'!D708)</f>
        <v/>
      </c>
      <c r="D19" s="91" t="str">
        <f>+IF('Qualitative Disclosures for AS'!E708="","",'Qualitative Disclosures for AS'!E708)</f>
        <v/>
      </c>
      <c r="E19" s="91" t="str">
        <f>+IF('Qualitative Disclosures for AS'!F708="","",'Qualitative Disclosures for AS'!F708)</f>
        <v/>
      </c>
      <c r="F19" s="91" t="str">
        <f>+IF('Qualitative Disclosures for AS'!G708="","",'Qualitative Disclosures for AS'!G708)</f>
        <v/>
      </c>
      <c r="G19" s="91" t="str">
        <f>+IF('Qualitative Disclosures for AS'!H708="","",'Qualitative Disclosures for AS'!H708)</f>
        <v/>
      </c>
      <c r="H19" s="91" t="str">
        <f>+IF('Qualitative Disclosures for AS'!I708="","",'Qualitative Disclosures for AS'!I708)</f>
        <v/>
      </c>
      <c r="I19" s="87"/>
      <c r="L19" s="42" t="str">
        <f t="shared" si="0"/>
        <v>Yes</v>
      </c>
    </row>
    <row r="20" spans="2:12" x14ac:dyDescent="0.25">
      <c r="B20" s="869"/>
      <c r="C20" s="69" t="str">
        <f>+IF('Qualitative Disclosures for AS'!D709="","",'Qualitative Disclosures for AS'!D709)</f>
        <v/>
      </c>
      <c r="D20" s="69" t="str">
        <f>+IF('Qualitative Disclosures for AS'!E709="","",'Qualitative Disclosures for AS'!E709)</f>
        <v/>
      </c>
      <c r="E20" s="69" t="str">
        <f>+IF('Qualitative Disclosures for AS'!F709="","",'Qualitative Disclosures for AS'!F709)</f>
        <v/>
      </c>
      <c r="F20" s="69" t="str">
        <f>+IF('Qualitative Disclosures for AS'!G709="","",'Qualitative Disclosures for AS'!G709)</f>
        <v/>
      </c>
      <c r="G20" s="69" t="str">
        <f>+IF('Qualitative Disclosures for AS'!H709="","",'Qualitative Disclosures for AS'!H709)</f>
        <v/>
      </c>
      <c r="H20" s="69" t="str">
        <f>+IF('Qualitative Disclosures for AS'!I709="","",'Qualitative Disclosures for AS'!I709)</f>
        <v/>
      </c>
      <c r="I20" s="87"/>
      <c r="L20" s="42" t="str">
        <f t="shared" si="0"/>
        <v>Yes</v>
      </c>
    </row>
    <row r="21" spans="2:12" x14ac:dyDescent="0.25">
      <c r="B21" s="3008" t="str">
        <f>+IF('Qualitative Disclosures for AS'!C710="","",'Qualitative Disclosures for AS'!C710)</f>
        <v>Provision for estimated losses on onerous contracts</v>
      </c>
      <c r="C21" s="90" t="str">
        <f>+IF('Qualitative Disclosures for AS'!D710="","",'Qualitative Disclosures for AS'!D710)</f>
        <v/>
      </c>
      <c r="D21" s="90" t="str">
        <f>+IF('Qualitative Disclosures for AS'!E710="","",'Qualitative Disclosures for AS'!E710)</f>
        <v/>
      </c>
      <c r="E21" s="90" t="str">
        <f>+IF('Qualitative Disclosures for AS'!F710="","",'Qualitative Disclosures for AS'!F710)</f>
        <v/>
      </c>
      <c r="F21" s="90" t="str">
        <f>+IF('Qualitative Disclosures for AS'!G710="","",'Qualitative Disclosures for AS'!G710)</f>
        <v/>
      </c>
      <c r="G21" s="90" t="str">
        <f>+IF('Qualitative Disclosures for AS'!H710="","",'Qualitative Disclosures for AS'!H710)</f>
        <v/>
      </c>
      <c r="H21" s="90" t="str">
        <f>+IF('Qualitative Disclosures for AS'!I710="","",'Qualitative Disclosures for AS'!I710)</f>
        <v/>
      </c>
      <c r="I21" s="87"/>
      <c r="L21" s="42" t="str">
        <f t="shared" si="0"/>
        <v>Yes</v>
      </c>
    </row>
    <row r="22" spans="2:12" x14ac:dyDescent="0.25">
      <c r="B22" s="3008"/>
      <c r="C22" s="91" t="str">
        <f>+IF('Qualitative Disclosures for AS'!D711="","",'Qualitative Disclosures for AS'!D711)</f>
        <v/>
      </c>
      <c r="D22" s="91" t="str">
        <f>+IF('Qualitative Disclosures for AS'!E711="","",'Qualitative Disclosures for AS'!E711)</f>
        <v/>
      </c>
      <c r="E22" s="91" t="str">
        <f>+IF('Qualitative Disclosures for AS'!F711="","",'Qualitative Disclosures for AS'!F711)</f>
        <v/>
      </c>
      <c r="F22" s="91" t="str">
        <f>+IF('Qualitative Disclosures for AS'!G711="","",'Qualitative Disclosures for AS'!G711)</f>
        <v/>
      </c>
      <c r="G22" s="91" t="str">
        <f>+IF('Qualitative Disclosures for AS'!H711="","",'Qualitative Disclosures for AS'!H711)</f>
        <v/>
      </c>
      <c r="H22" s="91" t="str">
        <f>+IF('Qualitative Disclosures for AS'!I711="","",'Qualitative Disclosures for AS'!I711)</f>
        <v/>
      </c>
      <c r="I22" s="87"/>
      <c r="L22" s="42" t="str">
        <f t="shared" si="0"/>
        <v>Yes</v>
      </c>
    </row>
    <row r="23" spans="2:12" x14ac:dyDescent="0.25">
      <c r="B23" s="869"/>
      <c r="C23" s="69" t="str">
        <f>+IF('Qualitative Disclosures for AS'!D712="","",'Qualitative Disclosures for AS'!D712)</f>
        <v/>
      </c>
      <c r="D23" s="69" t="str">
        <f>+IF('Qualitative Disclosures for AS'!E712="","",'Qualitative Disclosures for AS'!E712)</f>
        <v/>
      </c>
      <c r="E23" s="69" t="str">
        <f>+IF('Qualitative Disclosures for AS'!F712="","",'Qualitative Disclosures for AS'!F712)</f>
        <v/>
      </c>
      <c r="F23" s="69" t="str">
        <f>+IF('Qualitative Disclosures for AS'!G712="","",'Qualitative Disclosures for AS'!G712)</f>
        <v/>
      </c>
      <c r="G23" s="69" t="str">
        <f>+IF('Qualitative Disclosures for AS'!H712="","",'Qualitative Disclosures for AS'!H712)</f>
        <v/>
      </c>
      <c r="H23" s="69" t="str">
        <f>+IF('Qualitative Disclosures for AS'!I712="","",'Qualitative Disclosures for AS'!I712)</f>
        <v/>
      </c>
      <c r="I23" s="87"/>
      <c r="L23" s="42" t="str">
        <f t="shared" si="0"/>
        <v>Yes</v>
      </c>
    </row>
    <row r="24" spans="2:12" x14ac:dyDescent="0.25">
      <c r="B24" s="3008" t="str">
        <f>+IF('Qualitative Disclosures for AS'!C713="","",'Qualitative Disclosures for AS'!C713)</f>
        <v>Provision for other contingencies (give details)</v>
      </c>
      <c r="C24" s="90" t="str">
        <f>+IF('Qualitative Disclosures for AS'!D713="","",'Qualitative Disclosures for AS'!D713)</f>
        <v/>
      </c>
      <c r="D24" s="90" t="str">
        <f>+IF('Qualitative Disclosures for AS'!E713="","",'Qualitative Disclosures for AS'!E713)</f>
        <v/>
      </c>
      <c r="E24" s="90" t="str">
        <f>+IF('Qualitative Disclosures for AS'!F713="","",'Qualitative Disclosures for AS'!F713)</f>
        <v/>
      </c>
      <c r="F24" s="90" t="str">
        <f>+IF('Qualitative Disclosures for AS'!G713="","",'Qualitative Disclosures for AS'!G713)</f>
        <v/>
      </c>
      <c r="G24" s="90" t="str">
        <f>+IF('Qualitative Disclosures for AS'!H713="","",'Qualitative Disclosures for AS'!H713)</f>
        <v/>
      </c>
      <c r="H24" s="90" t="str">
        <f>+IF('Qualitative Disclosures for AS'!I713="","",'Qualitative Disclosures for AS'!I713)</f>
        <v/>
      </c>
      <c r="I24" s="87"/>
      <c r="L24" s="42" t="str">
        <f t="shared" si="0"/>
        <v>Yes</v>
      </c>
    </row>
    <row r="25" spans="2:12" x14ac:dyDescent="0.25">
      <c r="B25" s="3008"/>
      <c r="C25" s="91" t="str">
        <f>+IF('Qualitative Disclosures for AS'!D714="","",'Qualitative Disclosures for AS'!D714)</f>
        <v/>
      </c>
      <c r="D25" s="91" t="str">
        <f>+IF('Qualitative Disclosures for AS'!E714="","",'Qualitative Disclosures for AS'!E714)</f>
        <v/>
      </c>
      <c r="E25" s="91" t="str">
        <f>+IF('Qualitative Disclosures for AS'!F714="","",'Qualitative Disclosures for AS'!F714)</f>
        <v/>
      </c>
      <c r="F25" s="91" t="str">
        <f>+IF('Qualitative Disclosures for AS'!G714="","",'Qualitative Disclosures for AS'!G714)</f>
        <v/>
      </c>
      <c r="G25" s="91" t="str">
        <f>+IF('Qualitative Disclosures for AS'!H714="","",'Qualitative Disclosures for AS'!H714)</f>
        <v/>
      </c>
      <c r="H25" s="91" t="str">
        <f>+IF('Qualitative Disclosures for AS'!I714="","",'Qualitative Disclosures for AS'!I714)</f>
        <v/>
      </c>
      <c r="I25" s="87"/>
      <c r="L25" s="42" t="str">
        <f t="shared" si="0"/>
        <v>Yes</v>
      </c>
    </row>
    <row r="26" spans="2:12" x14ac:dyDescent="0.25">
      <c r="B26" s="869"/>
      <c r="C26" s="69" t="str">
        <f>+IF('Qualitative Disclosures for AS'!D715="","",'Qualitative Disclosures for AS'!D715)</f>
        <v/>
      </c>
      <c r="D26" s="69" t="str">
        <f>+IF('Qualitative Disclosures for AS'!E715="","",'Qualitative Disclosures for AS'!E715)</f>
        <v/>
      </c>
      <c r="E26" s="69" t="str">
        <f>+IF('Qualitative Disclosures for AS'!F715="","",'Qualitative Disclosures for AS'!F715)</f>
        <v/>
      </c>
      <c r="F26" s="69" t="str">
        <f>+IF('Qualitative Disclosures for AS'!G715="","",'Qualitative Disclosures for AS'!G715)</f>
        <v/>
      </c>
      <c r="G26" s="69" t="str">
        <f>+IF('Qualitative Disclosures for AS'!H715="","",'Qualitative Disclosures for AS'!H715)</f>
        <v/>
      </c>
      <c r="H26" s="69" t="str">
        <f>+IF('Qualitative Disclosures for AS'!I715="","",'Qualitative Disclosures for AS'!I715)</f>
        <v/>
      </c>
      <c r="I26" s="87"/>
      <c r="L26" s="42" t="str">
        <f t="shared" si="0"/>
        <v>Yes</v>
      </c>
    </row>
    <row r="27" spans="2:12" x14ac:dyDescent="0.25">
      <c r="B27" s="3009" t="str">
        <f>+IF('Qualitative Disclosures for AS'!C716="","",'Qualitative Disclosures for AS'!C716)</f>
        <v>Total</v>
      </c>
      <c r="C27" s="92" t="str">
        <f>+IF('Qualitative Disclosures for AS'!D716="","",'Qualitative Disclosures for AS'!D716)</f>
        <v/>
      </c>
      <c r="D27" s="92" t="str">
        <f>+IF('Qualitative Disclosures for AS'!E716="","",'Qualitative Disclosures for AS'!E716)</f>
        <v/>
      </c>
      <c r="E27" s="92" t="str">
        <f>+IF('Qualitative Disclosures for AS'!F716="","",'Qualitative Disclosures for AS'!F716)</f>
        <v/>
      </c>
      <c r="F27" s="92" t="str">
        <f>+IF('Qualitative Disclosures for AS'!G716="","",'Qualitative Disclosures for AS'!G716)</f>
        <v/>
      </c>
      <c r="G27" s="92" t="str">
        <f>+IF('Qualitative Disclosures for AS'!H716="","",'Qualitative Disclosures for AS'!H716)</f>
        <v/>
      </c>
      <c r="H27" s="92" t="str">
        <f>+IF('Qualitative Disclosures for AS'!I716="","",'Qualitative Disclosures for AS'!I716)</f>
        <v/>
      </c>
      <c r="I27" s="87"/>
      <c r="L27" s="42" t="str">
        <f t="shared" si="0"/>
        <v>Yes</v>
      </c>
    </row>
    <row r="28" spans="2:12" x14ac:dyDescent="0.25">
      <c r="B28" s="3009"/>
      <c r="C28" s="93" t="str">
        <f>+IF('Qualitative Disclosures for AS'!D717="","",'Qualitative Disclosures for AS'!D717)</f>
        <v/>
      </c>
      <c r="D28" s="93" t="str">
        <f>+IF('Qualitative Disclosures for AS'!E717="","",'Qualitative Disclosures for AS'!E717)</f>
        <v/>
      </c>
      <c r="E28" s="93" t="str">
        <f>+IF('Qualitative Disclosures for AS'!F717="","",'Qualitative Disclosures for AS'!F717)</f>
        <v/>
      </c>
      <c r="F28" s="93" t="str">
        <f>+IF('Qualitative Disclosures for AS'!G717="","",'Qualitative Disclosures for AS'!G717)</f>
        <v/>
      </c>
      <c r="G28" s="93" t="str">
        <f>+IF('Qualitative Disclosures for AS'!H717="","",'Qualitative Disclosures for AS'!H717)</f>
        <v/>
      </c>
      <c r="H28" s="93" t="str">
        <f>+IF('Qualitative Disclosures for AS'!I717="","",'Qualitative Disclosures for AS'!I717)</f>
        <v/>
      </c>
      <c r="I28" s="87"/>
      <c r="L28" s="42" t="str">
        <f t="shared" si="0"/>
        <v>Yes</v>
      </c>
    </row>
    <row r="29" spans="2:12" x14ac:dyDescent="0.25">
      <c r="B29" s="955" t="str">
        <f>+IF('Qualitative Disclosures for AS'!C718="","",'Qualitative Disclosures for AS'!C718)</f>
        <v>Note: Figures in brackets relate to the previous year.</v>
      </c>
      <c r="C29" s="629"/>
      <c r="D29" s="629"/>
      <c r="E29" s="629"/>
      <c r="F29" s="629"/>
      <c r="G29" s="17"/>
      <c r="H29" s="50"/>
      <c r="I29" s="87"/>
    </row>
    <row r="30" spans="2:12" x14ac:dyDescent="0.25">
      <c r="B30" s="270"/>
      <c r="C30" s="17"/>
      <c r="D30" s="94"/>
      <c r="E30" s="17"/>
      <c r="F30" s="17"/>
      <c r="G30" s="17"/>
      <c r="H30" s="50"/>
      <c r="I30" s="87"/>
    </row>
    <row r="31" spans="2:12" ht="18" customHeight="1" thickBot="1" x14ac:dyDescent="0.3">
      <c r="B31" s="232" t="str">
        <f>+IF('Qualitative Disclosures for AS'!C720="","",'Qualitative Disclosures for AS'!C720)</f>
        <v xml:space="preserve">Of the above, the following amounts are expected to be incurred within a year: </v>
      </c>
      <c r="C31" s="31" t="str">
        <f>+IF('Qualitative Disclosures for AS'!D720="","",'Qualitative Disclosures for AS'!D720)</f>
        <v/>
      </c>
      <c r="D31" s="31" t="str">
        <f>+IF('Qualitative Disclosures for AS'!E720="","",'Qualitative Disclosures for AS'!E720)</f>
        <v/>
      </c>
      <c r="E31" s="31"/>
      <c r="F31" s="31"/>
      <c r="G31" s="31"/>
      <c r="H31" s="140"/>
      <c r="I31" s="87"/>
    </row>
    <row r="32" spans="2:12" ht="45" customHeight="1" thickBot="1" x14ac:dyDescent="0.3">
      <c r="B32" s="884" t="str">
        <f>+IF('Qualitative Disclosures for AS'!C721="","",'Qualitative Disclosures for AS'!C721)</f>
        <v>Particulars</v>
      </c>
      <c r="C32" s="885" t="str">
        <f>+IF('Qualitative Disclosures for AS'!D721="","",'Qualitative Disclosures for AS'!D721)</f>
        <v>As At 31st March 2025</v>
      </c>
      <c r="D32" s="886" t="str">
        <f>+IF('Qualitative Disclosures for AS'!E721="","",'Qualitative Disclosures for AS'!E721)</f>
        <v>As At 31st March 2024</v>
      </c>
      <c r="E32" s="41"/>
      <c r="F32" s="41"/>
      <c r="G32" s="41"/>
      <c r="H32" s="50"/>
      <c r="I32" s="87"/>
    </row>
    <row r="33" spans="2:12" x14ac:dyDescent="0.25">
      <c r="B33" s="3008" t="str">
        <f>+IF('Qualitative Disclosures for AS'!C722="","",'Qualitative Disclosures for AS'!C722)</f>
        <v>Provision for warranty</v>
      </c>
      <c r="C33" s="48" t="str">
        <f>+IF('Qualitative Disclosures for AS'!D722="","",'Qualitative Disclosures for AS'!D722)</f>
        <v/>
      </c>
      <c r="D33" s="887" t="str">
        <f>+IF('Qualitative Disclosures for AS'!E722="","",'Qualitative Disclosures for AS'!E722)</f>
        <v/>
      </c>
      <c r="E33" s="41"/>
      <c r="F33" s="41"/>
      <c r="G33" s="41"/>
      <c r="H33" s="50"/>
      <c r="I33" s="87"/>
      <c r="L33" s="42" t="str">
        <f>IF(AND(C33=0,D33=0),"No","Yes")</f>
        <v>Yes</v>
      </c>
    </row>
    <row r="34" spans="2:12" x14ac:dyDescent="0.25">
      <c r="B34" s="3008" t="str">
        <f>+IF('Qualitative Disclosures for AS'!C723="","",'Qualitative Disclosures for AS'!C723)</f>
        <v/>
      </c>
      <c r="C34" s="48" t="str">
        <f>+IF('Qualitative Disclosures for AS'!D723="","",'Qualitative Disclosures for AS'!D723)</f>
        <v/>
      </c>
      <c r="D34" s="887" t="str">
        <f>+IF('Qualitative Disclosures for AS'!E723="","",'Qualitative Disclosures for AS'!E723)</f>
        <v/>
      </c>
      <c r="E34" s="41"/>
      <c r="F34" s="41"/>
      <c r="G34" s="41"/>
      <c r="H34" s="50"/>
      <c r="I34" s="87"/>
      <c r="L34" s="42" t="str">
        <f>IF(AND(C34=0,D34=0),"No","Yes")</f>
        <v>Yes</v>
      </c>
    </row>
    <row r="35" spans="2:12" x14ac:dyDescent="0.25">
      <c r="B35" s="3008" t="str">
        <f>+IF('Qualitative Disclosures for AS'!C724="","",'Qualitative Disclosures for AS'!C724)</f>
        <v>Provision for estimated losses on onerous contracts</v>
      </c>
      <c r="C35" s="48" t="str">
        <f>+IF('Qualitative Disclosures for AS'!D724="","",'Qualitative Disclosures for AS'!D724)</f>
        <v/>
      </c>
      <c r="D35" s="887" t="str">
        <f>+IF('Qualitative Disclosures for AS'!E724="","",'Qualitative Disclosures for AS'!E724)</f>
        <v/>
      </c>
      <c r="E35" s="41"/>
      <c r="F35" s="41"/>
      <c r="G35" s="41"/>
      <c r="H35" s="50"/>
      <c r="I35" s="87"/>
      <c r="L35" s="42" t="str">
        <f>IF(AND(C35=0,D35=0),"No","Yes")</f>
        <v>Yes</v>
      </c>
    </row>
    <row r="36" spans="2:12" x14ac:dyDescent="0.25">
      <c r="B36" s="3008" t="str">
        <f>+IF('Qualitative Disclosures for AS'!C725="","",'Qualitative Disclosures for AS'!C725)</f>
        <v/>
      </c>
      <c r="C36" s="48" t="str">
        <f>+IF('Qualitative Disclosures for AS'!D725="","",'Qualitative Disclosures for AS'!D725)</f>
        <v/>
      </c>
      <c r="D36" s="887" t="str">
        <f>+IF('Qualitative Disclosures for AS'!E725="","",'Qualitative Disclosures for AS'!E725)</f>
        <v/>
      </c>
      <c r="E36" s="41"/>
      <c r="F36" s="41"/>
      <c r="G36" s="41"/>
      <c r="H36" s="50"/>
      <c r="I36" s="87"/>
      <c r="L36" s="42" t="str">
        <f>IF(AND(C36=0,D36=0),"No","Yes")</f>
        <v>Yes</v>
      </c>
    </row>
    <row r="37" spans="2:12" ht="17.45" customHeight="1" thickBot="1" x14ac:dyDescent="0.3">
      <c r="B37" s="888" t="str">
        <f>+IF('Qualitative Disclosures for AS'!C726="","",'Qualitative Disclosures for AS'!C726)</f>
        <v>Provision for other contingencies (give details)</v>
      </c>
      <c r="C37" s="889" t="str">
        <f>+IF('Qualitative Disclosures for AS'!D726="","",'Qualitative Disclosures for AS'!D726)</f>
        <v/>
      </c>
      <c r="D37" s="890" t="str">
        <f>+IF('Qualitative Disclosures for AS'!E726="","",'Qualitative Disclosures for AS'!E726)</f>
        <v/>
      </c>
      <c r="E37" s="97"/>
      <c r="F37" s="97"/>
      <c r="G37" s="97"/>
      <c r="H37" s="98"/>
      <c r="I37" s="87"/>
      <c r="L37" s="42" t="str">
        <f>IF(AND(C37=0,D37=0),"No","Yes")</f>
        <v>Yes</v>
      </c>
    </row>
    <row r="38" spans="2:12" ht="17.45" customHeight="1" thickBot="1" x14ac:dyDescent="0.3">
      <c r="B38" s="1100"/>
      <c r="C38" s="1101"/>
      <c r="D38" s="1101"/>
      <c r="E38" s="79"/>
      <c r="F38" s="79"/>
      <c r="G38" s="79"/>
      <c r="H38" s="79"/>
      <c r="I38" s="112"/>
    </row>
    <row r="39" spans="2:12" ht="24.95" hidden="1" customHeight="1" thickBot="1" x14ac:dyDescent="0.3">
      <c r="B39" s="3095" t="s">
        <v>611</v>
      </c>
      <c r="C39" s="3096"/>
      <c r="D39" s="3096"/>
      <c r="E39" s="3096"/>
      <c r="F39" s="3096"/>
      <c r="G39" s="3096"/>
      <c r="H39" s="3096"/>
      <c r="I39" s="3097"/>
    </row>
  </sheetData>
  <sheetProtection formatCells="0" formatColumns="0" formatRows="0"/>
  <mergeCells count="9">
    <mergeCell ref="B33:B34"/>
    <mergeCell ref="B35:B36"/>
    <mergeCell ref="B39:I39"/>
    <mergeCell ref="B13:I14"/>
    <mergeCell ref="B16:H16"/>
    <mergeCell ref="B18:B19"/>
    <mergeCell ref="B21:B22"/>
    <mergeCell ref="B27:B28"/>
    <mergeCell ref="B24:B25"/>
  </mergeCells>
  <pageMargins left="0.5" right="0.5" top="0.5" bottom="0.5" header="0.5" footer="0.5"/>
  <pageSetup scale="59" fitToHeight="0" orientation="landscape"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B8:L108"/>
  <sheetViews>
    <sheetView showGridLines="0" view="pageBreakPreview" zoomScale="80" zoomScaleNormal="90" zoomScaleSheetLayoutView="80" workbookViewId="0"/>
  </sheetViews>
  <sheetFormatPr defaultColWidth="9.140625" defaultRowHeight="16.5" x14ac:dyDescent="0.25"/>
  <cols>
    <col min="1" max="1" width="3.7109375" style="41" customWidth="1"/>
    <col min="2" max="2" width="5.42578125" style="81" customWidth="1"/>
    <col min="3" max="3" width="50.28515625" style="41" customWidth="1"/>
    <col min="4" max="5" width="22.7109375" style="41" customWidth="1"/>
    <col min="6" max="6" width="21.7109375" style="41" customWidth="1"/>
    <col min="7" max="7" width="21.28515625" style="41" customWidth="1"/>
    <col min="8" max="16384" width="9.140625" style="41"/>
  </cols>
  <sheetData>
    <row r="8" spans="2:12" x14ac:dyDescent="0.25">
      <c r="B8" s="40" t="str">
        <f>Company_Name</f>
        <v>Sample Company</v>
      </c>
      <c r="C8" s="40"/>
    </row>
    <row r="9" spans="2:12" x14ac:dyDescent="0.25">
      <c r="B9" s="17" t="s">
        <v>90</v>
      </c>
      <c r="C9" s="17"/>
    </row>
    <row r="10" spans="2:12" x14ac:dyDescent="0.3">
      <c r="B10" s="39"/>
      <c r="C10" s="39"/>
    </row>
    <row r="11" spans="2:12" x14ac:dyDescent="0.25">
      <c r="B11" s="178" t="str">
        <f>IF(L11="Yes","Note " &amp; MID('AS 15 Disclosures'!C11,6,2)+1 &amp; " Disclosures on Employee share based payments","Note " &amp; MID('AS 15 Disclosures'!C11,6,2) &amp; " Disclosures on Employee share based payments")</f>
        <v>Note 22 Disclosures on Employee share based payments</v>
      </c>
      <c r="C11" s="17"/>
      <c r="E11" s="178"/>
      <c r="L11" s="42" t="str" cm="1">
        <f t="array" ref="L11">IFERROR(INDEX(L12:L88, MATCH(TRUE,L12:L88="Yes",0)),"No")</f>
        <v>Yes</v>
      </c>
    </row>
    <row r="12" spans="2:12" ht="17.25" thickBot="1" x14ac:dyDescent="0.3">
      <c r="C12" s="17"/>
    </row>
    <row r="13" spans="2:12" ht="39.950000000000003" customHeight="1" x14ac:dyDescent="0.25">
      <c r="B13" s="967" t="str">
        <f>+IF('Qualitative Disclosures for AS'!C733="","",'Qualitative Disclosures for AS'!C733)</f>
        <v>Note</v>
      </c>
      <c r="C13" s="3001" t="str">
        <f>+IF('Qualitative Disclosures for AS'!D733="","",'Qualitative Disclosures for AS'!D733)</f>
        <v>Particulars</v>
      </c>
      <c r="D13" s="3001" t="str">
        <f>+IF('Qualitative Disclosures for AS'!E733="","",'Qualitative Disclosures for AS'!E733)</f>
        <v/>
      </c>
      <c r="E13" s="3001" t="str">
        <f>+IF('Qualitative Disclosures for AS'!F733="","",'Qualitative Disclosures for AS'!F733)</f>
        <v/>
      </c>
      <c r="F13" s="3001" t="str">
        <f>+IF('Qualitative Disclosures for AS'!G733="","",'Qualitative Disclosures for AS'!G733)</f>
        <v/>
      </c>
      <c r="G13" s="3002" t="str">
        <f>+IF('Qualitative Disclosures for AS'!H733="","",'Qualitative Disclosures for AS'!H733)</f>
        <v/>
      </c>
    </row>
    <row r="14" spans="2:12" x14ac:dyDescent="0.25">
      <c r="B14" s="891" t="str">
        <f>+IF('Qualitative Disclosures for AS'!C734="","",'Qualitative Disclosures for AS'!C734)</f>
        <v>22</v>
      </c>
      <c r="C14" s="42" t="str">
        <f>+IF('Qualitative Disclosures for AS'!D734="","",'Qualitative Disclosures for AS'!D734)</f>
        <v>Employee Stock Option Scheme</v>
      </c>
      <c r="D14" s="41" t="str">
        <f>+IF('Qualitative Disclosures for AS'!E734="","",'Qualitative Disclosures for AS'!E734)</f>
        <v/>
      </c>
      <c r="E14" s="41" t="str">
        <f>+IF('Qualitative Disclosures for AS'!F734="","",'Qualitative Disclosures for AS'!F734)</f>
        <v/>
      </c>
      <c r="F14" s="41" t="str">
        <f>+IF('Qualitative Disclosures for AS'!G734="","",'Qualitative Disclosures for AS'!G734)</f>
        <v/>
      </c>
      <c r="G14" s="43" t="str">
        <f>+IF('Qualitative Disclosures for AS'!H734="","",'Qualitative Disclosures for AS'!H734)</f>
        <v/>
      </c>
    </row>
    <row r="15" spans="2:12" x14ac:dyDescent="0.25">
      <c r="B15" s="968" t="str">
        <f>+IF('Qualitative Disclosures for AS'!C735="","",'Qualitative Disclosures for AS'!C735)</f>
        <v/>
      </c>
      <c r="C15" s="41" t="str">
        <f>+IF('Qualitative Disclosures for AS'!D735="","",'Qualitative Disclosures for AS'!D735)</f>
        <v/>
      </c>
      <c r="D15" s="41" t="str">
        <f>+IF('Qualitative Disclosures for AS'!E735="","",'Qualitative Disclosures for AS'!E735)</f>
        <v/>
      </c>
      <c r="E15" s="41" t="str">
        <f>+IF('Qualitative Disclosures for AS'!F735="","",'Qualitative Disclosures for AS'!F735)</f>
        <v/>
      </c>
      <c r="F15" s="41" t="str">
        <f>+IF('Qualitative Disclosures for AS'!G735="","",'Qualitative Disclosures for AS'!G735)</f>
        <v/>
      </c>
      <c r="G15" s="43" t="str">
        <f>+IF('Qualitative Disclosures for AS'!H735="","",'Qualitative Disclosures for AS'!H735)</f>
        <v/>
      </c>
    </row>
    <row r="16" spans="2:12" ht="39.950000000000003" customHeight="1" x14ac:dyDescent="0.25">
      <c r="B16" s="968" t="str">
        <f>+IF('Qualitative Disclosures for AS'!C736="","",'Qualitative Disclosures for AS'!C736)</f>
        <v>a)</v>
      </c>
      <c r="C16" s="2942" t="str">
        <f>+IF('Qualitative Disclosures for AS'!D736="","",'Qualitative Disclosures for AS'!D736)</f>
        <v xml:space="preserve">In the extraordinary general meeting held on  ____, the shareholders approved the issue of ________ options under the Scheme titled “_________ ESOP ____” (ESOP A). </v>
      </c>
      <c r="D16" s="2942" t="str">
        <f>+IF('Qualitative Disclosures for AS'!E736="","",'Qualitative Disclosures for AS'!E736)</f>
        <v/>
      </c>
      <c r="E16" s="2942" t="str">
        <f>+IF('Qualitative Disclosures for AS'!F736="","",'Qualitative Disclosures for AS'!F736)</f>
        <v/>
      </c>
      <c r="F16" s="2942" t="str">
        <f>+IF('Qualitative Disclosures for AS'!G736="","",'Qualitative Disclosures for AS'!G736)</f>
        <v/>
      </c>
      <c r="G16" s="3005" t="str">
        <f>+IF('Qualitative Disclosures for AS'!H736="","",'Qualitative Disclosures for AS'!H736)</f>
        <v/>
      </c>
    </row>
    <row r="17" spans="2:7" ht="39.950000000000003" customHeight="1" x14ac:dyDescent="0.25">
      <c r="B17" s="968" t="str">
        <f>+IF('Qualitative Disclosures for AS'!C737="","",'Qualitative Disclosures for AS'!C737)</f>
        <v/>
      </c>
      <c r="C17" s="2942" t="str">
        <f>+IF('Qualitative Disclosures for AS'!D737="","",'Qualitative Disclosures for AS'!D737)</f>
        <v>The ESOP A allows the issue of options to employees of the Company and its subsidiaries (whether in India or abroad). Each option comprises one underlying equity share.</v>
      </c>
      <c r="D17" s="2942" t="str">
        <f>+IF('Qualitative Disclosures for AS'!E737="","",'Qualitative Disclosures for AS'!E737)</f>
        <v/>
      </c>
      <c r="E17" s="2942" t="str">
        <f>+IF('Qualitative Disclosures for AS'!F737="","",'Qualitative Disclosures for AS'!F737)</f>
        <v/>
      </c>
      <c r="F17" s="2942" t="str">
        <f>+IF('Qualitative Disclosures for AS'!G737="","",'Qualitative Disclosures for AS'!G737)</f>
        <v/>
      </c>
      <c r="G17" s="3005" t="str">
        <f>+IF('Qualitative Disclosures for AS'!H737="","",'Qualitative Disclosures for AS'!H737)</f>
        <v/>
      </c>
    </row>
    <row r="18" spans="2:7" ht="54.95" customHeight="1" x14ac:dyDescent="0.25">
      <c r="B18" s="968" t="str">
        <f>+IF('Qualitative Disclosures for AS'!C738="","",'Qualitative Disclosures for AS'!C738)</f>
        <v/>
      </c>
      <c r="C18" s="2942" t="str">
        <f>+IF('Qualitative Disclosures for AS'!D738="","",'Qualitative Disclosures for AS'!D738)</f>
        <v>As per the Scheme, the Remuneration / Compensation Committee grants the options to the employees deemed eligible. The exercise price of each option shall not be less than 85 percent of the “Market Price” as defined in the Scheme. The options granted vest over a period of __ years from the date of the grant in proportions specified in the Scheme. Options may be exercised within __ days of vesting.</v>
      </c>
      <c r="D18" s="2942" t="str">
        <f>+IF('Qualitative Disclosures for AS'!E738="","",'Qualitative Disclosures for AS'!E738)</f>
        <v/>
      </c>
      <c r="E18" s="2942" t="str">
        <f>+IF('Qualitative Disclosures for AS'!F738="","",'Qualitative Disclosures for AS'!F738)</f>
        <v/>
      </c>
      <c r="F18" s="2942" t="str">
        <f>+IF('Qualitative Disclosures for AS'!G738="","",'Qualitative Disclosures for AS'!G738)</f>
        <v/>
      </c>
      <c r="G18" s="3005" t="str">
        <f>+IF('Qualitative Disclosures for AS'!H738="","",'Qualitative Disclosures for AS'!H738)</f>
        <v/>
      </c>
    </row>
    <row r="19" spans="2:7" ht="39.950000000000003" customHeight="1" x14ac:dyDescent="0.25">
      <c r="B19" s="968" t="str">
        <f>+IF('Qualitative Disclosures for AS'!C739="","",'Qualitative Disclosures for AS'!C739)</f>
        <v/>
      </c>
      <c r="C19" s="2942" t="str">
        <f>+IF('Qualitative Disclosures for AS'!D739="","",'Qualitative Disclosures for AS'!D739)</f>
        <v>The difference between the fair price of the share underlying the options granted on the date of grant of option and the exercise price of the option (being the intrinsic value of the option) representing Stock compensation expense is expensed over the vesting period.</v>
      </c>
      <c r="D19" s="2942" t="str">
        <f>+IF('Qualitative Disclosures for AS'!E739="","",'Qualitative Disclosures for AS'!E739)</f>
        <v/>
      </c>
      <c r="E19" s="2942" t="str">
        <f>+IF('Qualitative Disclosures for AS'!F739="","",'Qualitative Disclosures for AS'!F739)</f>
        <v/>
      </c>
      <c r="F19" s="2942" t="str">
        <f>+IF('Qualitative Disclosures for AS'!G739="","",'Qualitative Disclosures for AS'!G739)</f>
        <v/>
      </c>
      <c r="G19" s="3005" t="str">
        <f>+IF('Qualitative Disclosures for AS'!H739="","",'Qualitative Disclosures for AS'!H739)</f>
        <v/>
      </c>
    </row>
    <row r="20" spans="2:7" x14ac:dyDescent="0.25">
      <c r="B20" s="968" t="str">
        <f>+IF('Qualitative Disclosures for AS'!C740="","",'Qualitative Disclosures for AS'!C740)</f>
        <v/>
      </c>
      <c r="C20" s="3006" t="str">
        <f>+IF('Qualitative Disclosures for AS'!D740="","",'Qualitative Disclosures for AS'!D740)</f>
        <v/>
      </c>
      <c r="D20" s="3006" t="str">
        <f>+IF('Qualitative Disclosures for AS'!E740="","",'Qualitative Disclosures for AS'!E740)</f>
        <v/>
      </c>
      <c r="E20" s="3006" t="str">
        <f>+IF('Qualitative Disclosures for AS'!F740="","",'Qualitative Disclosures for AS'!F740)</f>
        <v/>
      </c>
      <c r="F20" s="3006" t="str">
        <f>+IF('Qualitative Disclosures for AS'!G740="","",'Qualitative Disclosures for AS'!G740)</f>
        <v/>
      </c>
      <c r="G20" s="3007" t="str">
        <f>+IF('Qualitative Disclosures for AS'!H740="","",'Qualitative Disclosures for AS'!H740)</f>
        <v/>
      </c>
    </row>
    <row r="21" spans="2:7" ht="39.950000000000003" customHeight="1" x14ac:dyDescent="0.25">
      <c r="B21" s="968" t="str">
        <f>+IF('Qualitative Disclosures for AS'!C741="","",'Qualitative Disclosures for AS'!C741)</f>
        <v>b)</v>
      </c>
      <c r="C21" s="3003" t="str">
        <f>+IF('Qualitative Disclosures for AS'!D741="","",'Qualitative Disclosures for AS'!D741)</f>
        <v xml:space="preserve">The ESOP scheme titled “_____ ESOP ___” (ESOP B) was approved by the shareholders through postal ballot on __________. ______ options are covered under the Scheme for __________shares. </v>
      </c>
      <c r="D21" s="3003" t="str">
        <f>+IF('Qualitative Disclosures for AS'!E741="","",'Qualitative Disclosures for AS'!E741)</f>
        <v/>
      </c>
      <c r="E21" s="3003" t="str">
        <f>+IF('Qualitative Disclosures for AS'!F741="","",'Qualitative Disclosures for AS'!F741)</f>
        <v/>
      </c>
      <c r="F21" s="3003" t="str">
        <f>+IF('Qualitative Disclosures for AS'!G741="","",'Qualitative Disclosures for AS'!G741)</f>
        <v/>
      </c>
      <c r="G21" s="3004" t="str">
        <f>+IF('Qualitative Disclosures for AS'!H741="","",'Qualitative Disclosures for AS'!H741)</f>
        <v/>
      </c>
    </row>
    <row r="22" spans="2:7" ht="80.099999999999994" customHeight="1" x14ac:dyDescent="0.25">
      <c r="B22" s="968" t="str">
        <f>+IF('Qualitative Disclosures for AS'!C742="","",'Qualitative Disclosures for AS'!C742)</f>
        <v/>
      </c>
      <c r="C22" s="3003" t="str">
        <f>+IF('Qualitative Disclosures for AS'!D742="","",'Qualitative Disclosures for AS'!D742)</f>
        <v xml:space="preserve">In the previous years, the Remuneration / Compensation Committee of the Company had granted ________ options under the ESOP B to few eligible employees of the Company. During the current year, the Remuneration / Compensation Committee in its meeting held on _____,  _____ and _____ has granted _________, ________ and ________ options respectively under the ESOP B to few eligible employees of the Company. The options allotted under ESOP B are convertible into equal number of equity shares. </v>
      </c>
      <c r="D22" s="3003" t="str">
        <f>+IF('Qualitative Disclosures for AS'!E742="","",'Qualitative Disclosures for AS'!E742)</f>
        <v/>
      </c>
      <c r="E22" s="3003" t="str">
        <f>+IF('Qualitative Disclosures for AS'!F742="","",'Qualitative Disclosures for AS'!F742)</f>
        <v/>
      </c>
      <c r="F22" s="3003" t="str">
        <f>+IF('Qualitative Disclosures for AS'!G742="","",'Qualitative Disclosures for AS'!G742)</f>
        <v/>
      </c>
      <c r="G22" s="3004" t="str">
        <f>+IF('Qualitative Disclosures for AS'!H742="","",'Qualitative Disclosures for AS'!H742)</f>
        <v/>
      </c>
    </row>
    <row r="23" spans="2:7" ht="39.950000000000003" customHeight="1" x14ac:dyDescent="0.25">
      <c r="B23" s="968" t="str">
        <f>+IF('Qualitative Disclosures for AS'!C743="","",'Qualitative Disclosures for AS'!C743)</f>
        <v/>
      </c>
      <c r="C23" s="2942" t="str">
        <f>+IF('Qualitative Disclosures for AS'!D743="","",'Qualitative Disclosures for AS'!D743)</f>
        <v>The vesting period of these options range over a period of ___ years. The options may be exercised within a period of ___ days from the date of vesting.</v>
      </c>
      <c r="D23" s="2942" t="str">
        <f>+IF('Qualitative Disclosures for AS'!E743="","",'Qualitative Disclosures for AS'!E743)</f>
        <v/>
      </c>
      <c r="E23" s="2942" t="str">
        <f>+IF('Qualitative Disclosures for AS'!F743="","",'Qualitative Disclosures for AS'!F743)</f>
        <v/>
      </c>
      <c r="F23" s="2942" t="str">
        <f>+IF('Qualitative Disclosures for AS'!G743="","",'Qualitative Disclosures for AS'!G743)</f>
        <v/>
      </c>
      <c r="G23" s="3005" t="str">
        <f>+IF('Qualitative Disclosures for AS'!H743="","",'Qualitative Disclosures for AS'!H743)</f>
        <v/>
      </c>
    </row>
    <row r="24" spans="2:7" x14ac:dyDescent="0.25">
      <c r="B24" s="968" t="str">
        <f>+IF('Qualitative Disclosures for AS'!C744="","",'Qualitative Disclosures for AS'!C744)</f>
        <v/>
      </c>
      <c r="C24" s="3006" t="str">
        <f>+IF('Qualitative Disclosures for AS'!D744="","",'Qualitative Disclosures for AS'!D744)</f>
        <v/>
      </c>
      <c r="D24" s="3006" t="str">
        <f>+IF('Qualitative Disclosures for AS'!E744="","",'Qualitative Disclosures for AS'!E744)</f>
        <v/>
      </c>
      <c r="E24" s="3006" t="str">
        <f>+IF('Qualitative Disclosures for AS'!F744="","",'Qualitative Disclosures for AS'!F744)</f>
        <v/>
      </c>
      <c r="F24" s="3006" t="str">
        <f>+IF('Qualitative Disclosures for AS'!G744="","",'Qualitative Disclosures for AS'!G744)</f>
        <v/>
      </c>
      <c r="G24" s="3007" t="str">
        <f>+IF('Qualitative Disclosures for AS'!H744="","",'Qualitative Disclosures for AS'!H744)</f>
        <v/>
      </c>
    </row>
    <row r="25" spans="2:7" ht="39.950000000000003" customHeight="1" x14ac:dyDescent="0.25">
      <c r="B25" s="968" t="str">
        <f>+IF('Qualitative Disclosures for AS'!C745="","",'Qualitative Disclosures for AS'!C745)</f>
        <v>c)</v>
      </c>
      <c r="C25" s="3003" t="str">
        <f>+IF('Qualitative Disclosures for AS'!D745="","",'Qualitative Disclosures for AS'!D745)</f>
        <v>The ESOP scheme titled “_____ ESOP ___ (Directors)” [ESOP (Directors)] was approved by the shareholders through postal ballot on _____. _________ options are covered under the Scheme for _________ equity shares.</v>
      </c>
      <c r="D25" s="3003" t="str">
        <f>+IF('Qualitative Disclosures for AS'!E745="","",'Qualitative Disclosures for AS'!E745)</f>
        <v/>
      </c>
      <c r="E25" s="3003" t="str">
        <f>+IF('Qualitative Disclosures for AS'!F745="","",'Qualitative Disclosures for AS'!F745)</f>
        <v/>
      </c>
      <c r="F25" s="3003" t="str">
        <f>+IF('Qualitative Disclosures for AS'!G745="","",'Qualitative Disclosures for AS'!G745)</f>
        <v/>
      </c>
      <c r="G25" s="3004" t="str">
        <f>+IF('Qualitative Disclosures for AS'!H745="","",'Qualitative Disclosures for AS'!H745)</f>
        <v/>
      </c>
    </row>
    <row r="26" spans="2:7" ht="39.950000000000003" customHeight="1" x14ac:dyDescent="0.25">
      <c r="B26" s="968" t="str">
        <f>+IF('Qualitative Disclosures for AS'!C746="","",'Qualitative Disclosures for AS'!C746)</f>
        <v/>
      </c>
      <c r="C26" s="3003" t="str">
        <f>+IF('Qualitative Disclosures for AS'!D746="","",'Qualitative Disclosures for AS'!D746)</f>
        <v xml:space="preserve">The Remuneration / Compensation Committee of the Company, had granted ________ options under this  Scheme to few Directors of the Company. The shares covered by such options were ________ equity shares. </v>
      </c>
      <c r="D26" s="3003" t="str">
        <f>+IF('Qualitative Disclosures for AS'!E746="","",'Qualitative Disclosures for AS'!E746)</f>
        <v/>
      </c>
      <c r="E26" s="3003" t="str">
        <f>+IF('Qualitative Disclosures for AS'!F746="","",'Qualitative Disclosures for AS'!F746)</f>
        <v/>
      </c>
      <c r="F26" s="3003" t="str">
        <f>+IF('Qualitative Disclosures for AS'!G746="","",'Qualitative Disclosures for AS'!G746)</f>
        <v/>
      </c>
      <c r="G26" s="3004" t="str">
        <f>+IF('Qualitative Disclosures for AS'!H746="","",'Qualitative Disclosures for AS'!H746)</f>
        <v/>
      </c>
    </row>
    <row r="27" spans="2:7" ht="39.950000000000003" customHeight="1" x14ac:dyDescent="0.25">
      <c r="B27" s="968" t="str">
        <f>+IF('Qualitative Disclosures for AS'!C747="","",'Qualitative Disclosures for AS'!C747)</f>
        <v/>
      </c>
      <c r="C27" s="2942" t="str">
        <f>+IF('Qualitative Disclosures for AS'!D747="","",'Qualitative Disclosures for AS'!D747)</f>
        <v>The vesting period of these options range over a period of ____ years. The options may be exercised within a period of ___ days from the date of vesting.</v>
      </c>
      <c r="D27" s="2942" t="str">
        <f>+IF('Qualitative Disclosures for AS'!E747="","",'Qualitative Disclosures for AS'!E747)</f>
        <v/>
      </c>
      <c r="E27" s="2942" t="str">
        <f>+IF('Qualitative Disclosures for AS'!F747="","",'Qualitative Disclosures for AS'!F747)</f>
        <v/>
      </c>
      <c r="F27" s="2942" t="str">
        <f>+IF('Qualitative Disclosures for AS'!G747="","",'Qualitative Disclosures for AS'!G747)</f>
        <v/>
      </c>
      <c r="G27" s="3005" t="str">
        <f>+IF('Qualitative Disclosures for AS'!H747="","",'Qualitative Disclosures for AS'!H747)</f>
        <v/>
      </c>
    </row>
    <row r="28" spans="2:7" x14ac:dyDescent="0.25">
      <c r="B28" s="968" t="str">
        <f>+IF('Qualitative Disclosures for AS'!C748="","",'Qualitative Disclosures for AS'!C748)</f>
        <v/>
      </c>
      <c r="C28" s="3" t="str">
        <f>+IF('Qualitative Disclosures for AS'!D748="","",'Qualitative Disclosures for AS'!D748)</f>
        <v/>
      </c>
      <c r="D28" s="3" t="str">
        <f>+IF('Qualitative Disclosures for AS'!E748="","",'Qualitative Disclosures for AS'!E748)</f>
        <v/>
      </c>
      <c r="E28" s="3" t="str">
        <f>+IF('Qualitative Disclosures for AS'!F748="","",'Qualitative Disclosures for AS'!F748)</f>
        <v/>
      </c>
      <c r="F28" s="3" t="str">
        <f>+IF('Qualitative Disclosures for AS'!G748="","",'Qualitative Disclosures for AS'!G748)</f>
        <v/>
      </c>
      <c r="G28" s="44" t="str">
        <f>+IF('Qualitative Disclosures for AS'!H748="","",'Qualitative Disclosures for AS'!H748)</f>
        <v/>
      </c>
    </row>
    <row r="29" spans="2:7" x14ac:dyDescent="0.25">
      <c r="B29" s="968" t="str">
        <f>+IF('Qualitative Disclosures for AS'!C749="","",'Qualitative Disclosures for AS'!C749)</f>
        <v>d)</v>
      </c>
      <c r="C29" s="41" t="str">
        <f>+IF('Qualitative Disclosures for AS'!D749="","",'Qualitative Disclosures for AS'!D749)</f>
        <v>Employee stock options details as on the balance sheet date are as follows:</v>
      </c>
      <c r="D29" s="41" t="str">
        <f>+IF('Qualitative Disclosures for AS'!E749="","",'Qualitative Disclosures for AS'!E749)</f>
        <v/>
      </c>
      <c r="E29" s="41" t="str">
        <f>+IF('Qualitative Disclosures for AS'!F749="","",'Qualitative Disclosures for AS'!F749)</f>
        <v/>
      </c>
      <c r="F29" s="41" t="str">
        <f>+IF('Qualitative Disclosures for AS'!G749="","",'Qualitative Disclosures for AS'!G749)</f>
        <v/>
      </c>
      <c r="G29" s="43" t="str">
        <f>+IF('Qualitative Disclosures for AS'!H749="","",'Qualitative Disclosures for AS'!H749)</f>
        <v/>
      </c>
    </row>
    <row r="30" spans="2:7" x14ac:dyDescent="0.25">
      <c r="B30" s="968"/>
      <c r="G30" s="43"/>
    </row>
    <row r="31" spans="2:7" ht="39.950000000000003" customHeight="1" x14ac:dyDescent="0.25">
      <c r="B31" s="968"/>
      <c r="C31" s="2999" t="str">
        <f>+'Qualitative Disclosures for AS'!D751</f>
        <v>Particulars</v>
      </c>
      <c r="D31" s="2828" t="str">
        <f>+'Qualitative Disclosures for AS'!E751</f>
        <v xml:space="preserve">During the year ended 
31  March, </v>
      </c>
      <c r="E31" s="2829">
        <f>+'Qualitative Disclosures for AS'!F751</f>
        <v>0</v>
      </c>
      <c r="F31" s="2828" t="str">
        <f>+'Qualitative Disclosures for AS'!G751</f>
        <v xml:space="preserve">During the year ended 
31  March, </v>
      </c>
      <c r="G31" s="3098">
        <f>+'Qualitative Disclosures for AS'!H751</f>
        <v>0</v>
      </c>
    </row>
    <row r="32" spans="2:7" ht="54" customHeight="1" x14ac:dyDescent="0.25">
      <c r="B32" s="968"/>
      <c r="C32" s="3000"/>
      <c r="D32" s="314" t="str">
        <f>+'Qualitative Disclosures for AS'!E752</f>
        <v>Options 
(Numbers)</v>
      </c>
      <c r="E32" s="314" t="str">
        <f>+'Qualitative Disclosures for AS'!F752</f>
        <v>Weighted average exercise price per option (`)</v>
      </c>
      <c r="F32" s="314" t="str">
        <f>+'Qualitative Disclosures for AS'!G752</f>
        <v>Options 
(Numbers)</v>
      </c>
      <c r="G32" s="892" t="str">
        <f>+'Qualitative Disclosures for AS'!H752</f>
        <v>Weighted average exercise price per option (`)</v>
      </c>
    </row>
    <row r="33" spans="2:12" x14ac:dyDescent="0.25">
      <c r="B33" s="968"/>
      <c r="C33" s="47" t="str">
        <f>+'Qualitative Disclosures for AS'!D753</f>
        <v>Option outstanding at the beginning of the year:</v>
      </c>
      <c r="D33" s="48" t="str">
        <f>+IF('Qualitative Disclosures for AS'!E753="","",'Qualitative Disclosures for AS'!E753)</f>
        <v/>
      </c>
      <c r="E33" s="48" t="str">
        <f>+IF('Qualitative Disclosures for AS'!F753="","",'Qualitative Disclosures for AS'!F753)</f>
        <v/>
      </c>
      <c r="F33" s="48" t="str">
        <f>+IF('Qualitative Disclosures for AS'!G753="","",'Qualitative Disclosures for AS'!G753)</f>
        <v/>
      </c>
      <c r="G33" s="49" t="str">
        <f>+IF('Qualitative Disclosures for AS'!H753="","",'Qualitative Disclosures for AS'!H753)</f>
        <v/>
      </c>
      <c r="L33" s="42" t="str">
        <f>IF(AND(D33=0,E33=0,F33=0,G33=0,H33=0,I33=0),"No","Yes")</f>
        <v>Yes</v>
      </c>
    </row>
    <row r="34" spans="2:12" x14ac:dyDescent="0.25">
      <c r="B34" s="968"/>
      <c r="C34" s="50" t="str">
        <f>+'Qualitative Disclosures for AS'!D754</f>
        <v xml:space="preserve">  - ESOP A</v>
      </c>
      <c r="D34" s="51" t="str">
        <f>+IF('Qualitative Disclosures for AS'!E754="","",'Qualitative Disclosures for AS'!E754)</f>
        <v/>
      </c>
      <c r="E34" s="52" t="str">
        <f>+IF('Qualitative Disclosures for AS'!F754="","",'Qualitative Disclosures for AS'!F754)</f>
        <v/>
      </c>
      <c r="F34" s="51" t="str">
        <f>+IF('Qualitative Disclosures for AS'!G754="","",'Qualitative Disclosures for AS'!G754)</f>
        <v/>
      </c>
      <c r="G34" s="53" t="str">
        <f>+IF('Qualitative Disclosures for AS'!H754="","",'Qualitative Disclosures for AS'!H754)</f>
        <v/>
      </c>
      <c r="L34" s="42" t="str">
        <f t="shared" ref="L34:L62" si="0">IF(AND(D34=0,E34=0,F34=0,G34=0,H34=0,I34=0),"No","Yes")</f>
        <v>Yes</v>
      </c>
    </row>
    <row r="35" spans="2:12" x14ac:dyDescent="0.25">
      <c r="B35" s="968"/>
      <c r="C35" s="50" t="str">
        <f>+'Qualitative Disclosures for AS'!D755</f>
        <v xml:space="preserve">  - ESOP B</v>
      </c>
      <c r="D35" s="51" t="str">
        <f>+IF('Qualitative Disclosures for AS'!E755="","",'Qualitative Disclosures for AS'!E755)</f>
        <v/>
      </c>
      <c r="E35" s="52" t="str">
        <f>+IF('Qualitative Disclosures for AS'!F755="","",'Qualitative Disclosures for AS'!F755)</f>
        <v/>
      </c>
      <c r="F35" s="51" t="str">
        <f>+IF('Qualitative Disclosures for AS'!G755="","",'Qualitative Disclosures for AS'!G755)</f>
        <v/>
      </c>
      <c r="G35" s="53" t="str">
        <f>+IF('Qualitative Disclosures for AS'!H755="","",'Qualitative Disclosures for AS'!H755)</f>
        <v/>
      </c>
      <c r="L35" s="42" t="str">
        <f t="shared" si="0"/>
        <v>Yes</v>
      </c>
    </row>
    <row r="36" spans="2:12" x14ac:dyDescent="0.25">
      <c r="B36" s="968"/>
      <c r="C36" s="50" t="str">
        <f>+'Qualitative Disclosures for AS'!D756</f>
        <v xml:space="preserve">  - ESOP (Director)</v>
      </c>
      <c r="D36" s="51" t="str">
        <f>+IF('Qualitative Disclosures for AS'!E756="","",'Qualitative Disclosures for AS'!E756)</f>
        <v/>
      </c>
      <c r="E36" s="52" t="str">
        <f>+IF('Qualitative Disclosures for AS'!F756="","",'Qualitative Disclosures for AS'!F756)</f>
        <v/>
      </c>
      <c r="F36" s="54" t="str">
        <f>+IF('Qualitative Disclosures for AS'!G756="","",'Qualitative Disclosures for AS'!G756)</f>
        <v/>
      </c>
      <c r="G36" s="55" t="str">
        <f>+IF('Qualitative Disclosures for AS'!H756="","",'Qualitative Disclosures for AS'!H756)</f>
        <v/>
      </c>
      <c r="L36" s="42" t="str">
        <f t="shared" si="0"/>
        <v>Yes</v>
      </c>
    </row>
    <row r="37" spans="2:12" x14ac:dyDescent="0.25">
      <c r="B37" s="968"/>
      <c r="C37" s="50" t="str">
        <f>+'Qualitative Disclosures for AS'!D757</f>
        <v>Granted during the year:</v>
      </c>
      <c r="D37" s="52" t="str">
        <f>+IF('Qualitative Disclosures for AS'!E757="","",'Qualitative Disclosures for AS'!E757)</f>
        <v/>
      </c>
      <c r="E37" s="52" t="str">
        <f>+IF('Qualitative Disclosures for AS'!F757="","",'Qualitative Disclosures for AS'!F757)</f>
        <v/>
      </c>
      <c r="F37" s="52" t="str">
        <f>+IF('Qualitative Disclosures for AS'!G757="","",'Qualitative Disclosures for AS'!G757)</f>
        <v/>
      </c>
      <c r="G37" s="53" t="str">
        <f>+IF('Qualitative Disclosures for AS'!H757="","",'Qualitative Disclosures for AS'!H757)</f>
        <v/>
      </c>
      <c r="L37" s="42" t="str">
        <f t="shared" si="0"/>
        <v>Yes</v>
      </c>
    </row>
    <row r="38" spans="2:12" x14ac:dyDescent="0.25">
      <c r="B38" s="968"/>
      <c r="C38" s="50" t="str">
        <f>+'Qualitative Disclosures for AS'!D758</f>
        <v xml:space="preserve">  - ESOP A</v>
      </c>
      <c r="D38" s="54" t="str">
        <f>+IF('Qualitative Disclosures for AS'!E758="","",'Qualitative Disclosures for AS'!E758)</f>
        <v/>
      </c>
      <c r="E38" s="54" t="str">
        <f>+IF('Qualitative Disclosures for AS'!F758="","",'Qualitative Disclosures for AS'!F758)</f>
        <v/>
      </c>
      <c r="F38" s="54" t="str">
        <f>+IF('Qualitative Disclosures for AS'!G758="","",'Qualitative Disclosures for AS'!G758)</f>
        <v/>
      </c>
      <c r="G38" s="55" t="str">
        <f>+IF('Qualitative Disclosures for AS'!H758="","",'Qualitative Disclosures for AS'!H758)</f>
        <v/>
      </c>
      <c r="L38" s="42" t="str">
        <f t="shared" si="0"/>
        <v>Yes</v>
      </c>
    </row>
    <row r="39" spans="2:12" x14ac:dyDescent="0.25">
      <c r="B39" s="968"/>
      <c r="C39" s="50" t="str">
        <f>+'Qualitative Disclosures for AS'!D759</f>
        <v xml:space="preserve">  - ESOP B</v>
      </c>
      <c r="D39" s="51" t="str">
        <f>+IF('Qualitative Disclosures for AS'!E759="","",'Qualitative Disclosures for AS'!E759)</f>
        <v/>
      </c>
      <c r="E39" s="52" t="str">
        <f>+IF('Qualitative Disclosures for AS'!F759="","",'Qualitative Disclosures for AS'!F759)</f>
        <v/>
      </c>
      <c r="F39" s="51" t="str">
        <f>+IF('Qualitative Disclosures for AS'!G759="","",'Qualitative Disclosures for AS'!G759)</f>
        <v/>
      </c>
      <c r="G39" s="53" t="str">
        <f>+IF('Qualitative Disclosures for AS'!H759="","",'Qualitative Disclosures for AS'!H759)</f>
        <v/>
      </c>
      <c r="L39" s="42" t="str">
        <f t="shared" si="0"/>
        <v>Yes</v>
      </c>
    </row>
    <row r="40" spans="2:12" x14ac:dyDescent="0.25">
      <c r="B40" s="968"/>
      <c r="C40" s="50" t="str">
        <f>+'Qualitative Disclosures for AS'!D760</f>
        <v xml:space="preserve">  - ESOP (Director)</v>
      </c>
      <c r="D40" s="54" t="str">
        <f>+IF('Qualitative Disclosures for AS'!E760="","",'Qualitative Disclosures for AS'!E760)</f>
        <v/>
      </c>
      <c r="E40" s="54" t="str">
        <f>+IF('Qualitative Disclosures for AS'!F760="","",'Qualitative Disclosures for AS'!F760)</f>
        <v/>
      </c>
      <c r="F40" s="51" t="str">
        <f>+IF('Qualitative Disclosures for AS'!G760="","",'Qualitative Disclosures for AS'!G760)</f>
        <v/>
      </c>
      <c r="G40" s="53" t="str">
        <f>+IF('Qualitative Disclosures for AS'!H760="","",'Qualitative Disclosures for AS'!H760)</f>
        <v/>
      </c>
      <c r="L40" s="42" t="str">
        <f t="shared" si="0"/>
        <v>Yes</v>
      </c>
    </row>
    <row r="41" spans="2:12" x14ac:dyDescent="0.25">
      <c r="B41" s="968"/>
      <c r="C41" s="50" t="str">
        <f>+'Qualitative Disclosures for AS'!D761</f>
        <v>Vested during the year:</v>
      </c>
      <c r="D41" s="52" t="str">
        <f>+IF('Qualitative Disclosures for AS'!E761="","",'Qualitative Disclosures for AS'!E761)</f>
        <v/>
      </c>
      <c r="E41" s="52" t="str">
        <f>+IF('Qualitative Disclosures for AS'!F761="","",'Qualitative Disclosures for AS'!F761)</f>
        <v/>
      </c>
      <c r="F41" s="52" t="str">
        <f>+IF('Qualitative Disclosures for AS'!G761="","",'Qualitative Disclosures for AS'!G761)</f>
        <v/>
      </c>
      <c r="G41" s="53" t="str">
        <f>+IF('Qualitative Disclosures for AS'!H761="","",'Qualitative Disclosures for AS'!H761)</f>
        <v/>
      </c>
      <c r="L41" s="42" t="str">
        <f t="shared" si="0"/>
        <v>Yes</v>
      </c>
    </row>
    <row r="42" spans="2:12" x14ac:dyDescent="0.25">
      <c r="B42" s="968"/>
      <c r="C42" s="50" t="str">
        <f>+'Qualitative Disclosures for AS'!D762</f>
        <v xml:space="preserve">  - ESOP A</v>
      </c>
      <c r="D42" s="51" t="str">
        <f>+IF('Qualitative Disclosures for AS'!E762="","",'Qualitative Disclosures for AS'!E762)</f>
        <v/>
      </c>
      <c r="E42" s="52" t="str">
        <f>+IF('Qualitative Disclosures for AS'!F762="","",'Qualitative Disclosures for AS'!F762)</f>
        <v/>
      </c>
      <c r="F42" s="51" t="str">
        <f>+IF('Qualitative Disclosures for AS'!G762="","",'Qualitative Disclosures for AS'!G762)</f>
        <v/>
      </c>
      <c r="G42" s="53" t="str">
        <f>+IF('Qualitative Disclosures for AS'!H762="","",'Qualitative Disclosures for AS'!H762)</f>
        <v/>
      </c>
      <c r="L42" s="42" t="str">
        <f t="shared" si="0"/>
        <v>Yes</v>
      </c>
    </row>
    <row r="43" spans="2:12" x14ac:dyDescent="0.25">
      <c r="B43" s="968"/>
      <c r="C43" s="50" t="str">
        <f>+'Qualitative Disclosures for AS'!D763</f>
        <v xml:space="preserve">  - ESOP B</v>
      </c>
      <c r="D43" s="51" t="str">
        <f>+IF('Qualitative Disclosures for AS'!E763="","",'Qualitative Disclosures for AS'!E763)</f>
        <v/>
      </c>
      <c r="E43" s="52" t="str">
        <f>+IF('Qualitative Disclosures for AS'!F763="","",'Qualitative Disclosures for AS'!F763)</f>
        <v/>
      </c>
      <c r="F43" s="51" t="str">
        <f>+IF('Qualitative Disclosures for AS'!G763="","",'Qualitative Disclosures for AS'!G763)</f>
        <v/>
      </c>
      <c r="G43" s="53" t="str">
        <f>+IF('Qualitative Disclosures for AS'!H763="","",'Qualitative Disclosures for AS'!H763)</f>
        <v/>
      </c>
      <c r="L43" s="42" t="str">
        <f t="shared" si="0"/>
        <v>Yes</v>
      </c>
    </row>
    <row r="44" spans="2:12" x14ac:dyDescent="0.25">
      <c r="B44" s="968"/>
      <c r="C44" s="50" t="str">
        <f>+'Qualitative Disclosures for AS'!D764</f>
        <v xml:space="preserve">  - ESOP (Director)</v>
      </c>
      <c r="D44" s="51" t="str">
        <f>+IF('Qualitative Disclosures for AS'!E764="","",'Qualitative Disclosures for AS'!E764)</f>
        <v/>
      </c>
      <c r="E44" s="52" t="str">
        <f>+IF('Qualitative Disclosures for AS'!F764="","",'Qualitative Disclosures for AS'!F764)</f>
        <v/>
      </c>
      <c r="F44" s="54" t="str">
        <f>+IF('Qualitative Disclosures for AS'!G764="","",'Qualitative Disclosures for AS'!G764)</f>
        <v/>
      </c>
      <c r="G44" s="55" t="str">
        <f>+IF('Qualitative Disclosures for AS'!H764="","",'Qualitative Disclosures for AS'!H764)</f>
        <v/>
      </c>
      <c r="L44" s="42" t="str">
        <f t="shared" si="0"/>
        <v>Yes</v>
      </c>
    </row>
    <row r="45" spans="2:12" x14ac:dyDescent="0.25">
      <c r="B45" s="968"/>
      <c r="C45" s="50" t="str">
        <f>+'Qualitative Disclosures for AS'!D765</f>
        <v>Exercised during the year:</v>
      </c>
      <c r="D45" s="52" t="str">
        <f>+IF('Qualitative Disclosures for AS'!E765="","",'Qualitative Disclosures for AS'!E765)</f>
        <v/>
      </c>
      <c r="E45" s="52" t="str">
        <f>+IF('Qualitative Disclosures for AS'!F765="","",'Qualitative Disclosures for AS'!F765)</f>
        <v/>
      </c>
      <c r="F45" s="52" t="str">
        <f>+IF('Qualitative Disclosures for AS'!G765="","",'Qualitative Disclosures for AS'!G765)</f>
        <v/>
      </c>
      <c r="G45" s="53" t="str">
        <f>+IF('Qualitative Disclosures for AS'!H765="","",'Qualitative Disclosures for AS'!H765)</f>
        <v/>
      </c>
      <c r="L45" s="42" t="str">
        <f t="shared" si="0"/>
        <v>Yes</v>
      </c>
    </row>
    <row r="46" spans="2:12" x14ac:dyDescent="0.25">
      <c r="B46" s="968"/>
      <c r="C46" s="50" t="str">
        <f>+'Qualitative Disclosures for AS'!D766</f>
        <v xml:space="preserve">  - ESOP A</v>
      </c>
      <c r="D46" s="51" t="str">
        <f>+IF('Qualitative Disclosures for AS'!E766="","",'Qualitative Disclosures for AS'!E766)</f>
        <v/>
      </c>
      <c r="E46" s="52" t="str">
        <f>+IF('Qualitative Disclosures for AS'!F766="","",'Qualitative Disclosures for AS'!F766)</f>
        <v/>
      </c>
      <c r="F46" s="51" t="str">
        <f>+IF('Qualitative Disclosures for AS'!G766="","",'Qualitative Disclosures for AS'!G766)</f>
        <v/>
      </c>
      <c r="G46" s="53" t="str">
        <f>+IF('Qualitative Disclosures for AS'!H766="","",'Qualitative Disclosures for AS'!H766)</f>
        <v/>
      </c>
      <c r="L46" s="42" t="str">
        <f t="shared" si="0"/>
        <v>Yes</v>
      </c>
    </row>
    <row r="47" spans="2:12" x14ac:dyDescent="0.25">
      <c r="B47" s="968"/>
      <c r="C47" s="50" t="str">
        <f>+'Qualitative Disclosures for AS'!D767</f>
        <v xml:space="preserve">  - ESOP B</v>
      </c>
      <c r="D47" s="51" t="str">
        <f>+IF('Qualitative Disclosures for AS'!E767="","",'Qualitative Disclosures for AS'!E767)</f>
        <v/>
      </c>
      <c r="E47" s="52" t="str">
        <f>+IF('Qualitative Disclosures for AS'!F767="","",'Qualitative Disclosures for AS'!F767)</f>
        <v/>
      </c>
      <c r="F47" s="51" t="str">
        <f>+IF('Qualitative Disclosures for AS'!G767="","",'Qualitative Disclosures for AS'!G767)</f>
        <v/>
      </c>
      <c r="G47" s="53" t="str">
        <f>+IF('Qualitative Disclosures for AS'!H767="","",'Qualitative Disclosures for AS'!H767)</f>
        <v/>
      </c>
      <c r="L47" s="42" t="str">
        <f t="shared" si="0"/>
        <v>Yes</v>
      </c>
    </row>
    <row r="48" spans="2:12" x14ac:dyDescent="0.25">
      <c r="B48" s="968"/>
      <c r="C48" s="50" t="str">
        <f>+'Qualitative Disclosures for AS'!D768</f>
        <v xml:space="preserve">  - ESOP (Director)</v>
      </c>
      <c r="D48" s="51" t="str">
        <f>+IF('Qualitative Disclosures for AS'!E768="","",'Qualitative Disclosures for AS'!E768)</f>
        <v/>
      </c>
      <c r="E48" s="52" t="str">
        <f>+IF('Qualitative Disclosures for AS'!F768="","",'Qualitative Disclosures for AS'!F768)</f>
        <v/>
      </c>
      <c r="F48" s="54" t="str">
        <f>+IF('Qualitative Disclosures for AS'!G768="","",'Qualitative Disclosures for AS'!G768)</f>
        <v/>
      </c>
      <c r="G48" s="55" t="str">
        <f>+IF('Qualitative Disclosures for AS'!H768="","",'Qualitative Disclosures for AS'!H768)</f>
        <v/>
      </c>
      <c r="L48" s="42" t="str">
        <f t="shared" si="0"/>
        <v>Yes</v>
      </c>
    </row>
    <row r="49" spans="2:12" x14ac:dyDescent="0.25">
      <c r="B49" s="968"/>
      <c r="C49" s="50" t="str">
        <f>+'Qualitative Disclosures for AS'!D769</f>
        <v>Lapsed during the year:</v>
      </c>
      <c r="D49" s="52" t="str">
        <f>+IF('Qualitative Disclosures for AS'!E769="","",'Qualitative Disclosures for AS'!E769)</f>
        <v/>
      </c>
      <c r="E49" s="52" t="str">
        <f>+IF('Qualitative Disclosures for AS'!F769="","",'Qualitative Disclosures for AS'!F769)</f>
        <v/>
      </c>
      <c r="F49" s="52" t="str">
        <f>+IF('Qualitative Disclosures for AS'!G769="","",'Qualitative Disclosures for AS'!G769)</f>
        <v/>
      </c>
      <c r="G49" s="53" t="str">
        <f>+IF('Qualitative Disclosures for AS'!H769="","",'Qualitative Disclosures for AS'!H769)</f>
        <v/>
      </c>
      <c r="L49" s="42" t="str">
        <f t="shared" si="0"/>
        <v>Yes</v>
      </c>
    </row>
    <row r="50" spans="2:12" x14ac:dyDescent="0.25">
      <c r="B50" s="968"/>
      <c r="C50" s="50" t="str">
        <f>+'Qualitative Disclosures for AS'!D770</f>
        <v xml:space="preserve">  - ESOP A</v>
      </c>
      <c r="D50" s="51" t="str">
        <f>+IF('Qualitative Disclosures for AS'!E770="","",'Qualitative Disclosures for AS'!E770)</f>
        <v/>
      </c>
      <c r="E50" s="52" t="str">
        <f>+IF('Qualitative Disclosures for AS'!F770="","",'Qualitative Disclosures for AS'!F770)</f>
        <v/>
      </c>
      <c r="F50" s="51" t="str">
        <f>+IF('Qualitative Disclosures for AS'!G770="","",'Qualitative Disclosures for AS'!G770)</f>
        <v/>
      </c>
      <c r="G50" s="53" t="str">
        <f>+IF('Qualitative Disclosures for AS'!H770="","",'Qualitative Disclosures for AS'!H770)</f>
        <v/>
      </c>
      <c r="L50" s="42" t="str">
        <f t="shared" si="0"/>
        <v>Yes</v>
      </c>
    </row>
    <row r="51" spans="2:12" x14ac:dyDescent="0.25">
      <c r="B51" s="968"/>
      <c r="C51" s="50" t="str">
        <f>+'Qualitative Disclosures for AS'!D771</f>
        <v xml:space="preserve">  - ESOP B</v>
      </c>
      <c r="D51" s="51" t="str">
        <f>+IF('Qualitative Disclosures for AS'!E771="","",'Qualitative Disclosures for AS'!E771)</f>
        <v/>
      </c>
      <c r="E51" s="52" t="str">
        <f>+IF('Qualitative Disclosures for AS'!F771="","",'Qualitative Disclosures for AS'!F771)</f>
        <v/>
      </c>
      <c r="F51" s="51" t="str">
        <f>+IF('Qualitative Disclosures for AS'!G771="","",'Qualitative Disclosures for AS'!G771)</f>
        <v/>
      </c>
      <c r="G51" s="53" t="str">
        <f>+IF('Qualitative Disclosures for AS'!H771="","",'Qualitative Disclosures for AS'!H771)</f>
        <v/>
      </c>
      <c r="L51" s="42" t="str">
        <f t="shared" si="0"/>
        <v>Yes</v>
      </c>
    </row>
    <row r="52" spans="2:12" x14ac:dyDescent="0.25">
      <c r="B52" s="968"/>
      <c r="C52" s="50" t="str">
        <f>+'Qualitative Disclosures for AS'!D772</f>
        <v xml:space="preserve">  - ESOP (Director)</v>
      </c>
      <c r="D52" s="51" t="str">
        <f>+IF('Qualitative Disclosures for AS'!E772="","",'Qualitative Disclosures for AS'!E772)</f>
        <v/>
      </c>
      <c r="E52" s="52" t="str">
        <f>+IF('Qualitative Disclosures for AS'!F772="","",'Qualitative Disclosures for AS'!F772)</f>
        <v/>
      </c>
      <c r="F52" s="54" t="str">
        <f>+IF('Qualitative Disclosures for AS'!G772="","",'Qualitative Disclosures for AS'!G772)</f>
        <v/>
      </c>
      <c r="G52" s="55" t="str">
        <f>+IF('Qualitative Disclosures for AS'!H772="","",'Qualitative Disclosures for AS'!H772)</f>
        <v/>
      </c>
      <c r="L52" s="42" t="str">
        <f t="shared" si="0"/>
        <v>Yes</v>
      </c>
    </row>
    <row r="53" spans="2:12" x14ac:dyDescent="0.25">
      <c r="B53" s="968"/>
      <c r="C53" s="50" t="str">
        <f>+'Qualitative Disclosures for AS'!D773</f>
        <v>Options outstanding at the end of the year:</v>
      </c>
      <c r="D53" s="52" t="str">
        <f>+IF('Qualitative Disclosures for AS'!E773="","",'Qualitative Disclosures for AS'!E773)</f>
        <v/>
      </c>
      <c r="E53" s="52" t="str">
        <f>+IF('Qualitative Disclosures for AS'!F773="","",'Qualitative Disclosures for AS'!F773)</f>
        <v/>
      </c>
      <c r="F53" s="52" t="str">
        <f>+IF('Qualitative Disclosures for AS'!G773="","",'Qualitative Disclosures for AS'!G773)</f>
        <v/>
      </c>
      <c r="G53" s="53" t="str">
        <f>+IF('Qualitative Disclosures for AS'!H773="","",'Qualitative Disclosures for AS'!H773)</f>
        <v/>
      </c>
      <c r="L53" s="42" t="str">
        <f t="shared" si="0"/>
        <v>Yes</v>
      </c>
    </row>
    <row r="54" spans="2:12" x14ac:dyDescent="0.25">
      <c r="B54" s="968"/>
      <c r="C54" s="50" t="str">
        <f>+'Qualitative Disclosures for AS'!D774</f>
        <v xml:space="preserve">  - ESOP A</v>
      </c>
      <c r="D54" s="51" t="str">
        <f>+IF('Qualitative Disclosures for AS'!E774="","",'Qualitative Disclosures for AS'!E774)</f>
        <v/>
      </c>
      <c r="E54" s="52" t="str">
        <f>+IF('Qualitative Disclosures for AS'!F774="","",'Qualitative Disclosures for AS'!F774)</f>
        <v/>
      </c>
      <c r="F54" s="51" t="str">
        <f>+IF('Qualitative Disclosures for AS'!G774="","",'Qualitative Disclosures for AS'!G774)</f>
        <v/>
      </c>
      <c r="G54" s="53" t="str">
        <f>+IF('Qualitative Disclosures for AS'!H774="","",'Qualitative Disclosures for AS'!H774)</f>
        <v/>
      </c>
      <c r="L54" s="42" t="str">
        <f t="shared" si="0"/>
        <v>Yes</v>
      </c>
    </row>
    <row r="55" spans="2:12" x14ac:dyDescent="0.25">
      <c r="B55" s="968"/>
      <c r="C55" s="50" t="str">
        <f>+'Qualitative Disclosures for AS'!D775</f>
        <v xml:space="preserve">  - ESOP B</v>
      </c>
      <c r="D55" s="51" t="str">
        <f>+IF('Qualitative Disclosures for AS'!E775="","",'Qualitative Disclosures for AS'!E775)</f>
        <v/>
      </c>
      <c r="E55" s="52" t="str">
        <f>+IF('Qualitative Disclosures for AS'!F775="","",'Qualitative Disclosures for AS'!F775)</f>
        <v/>
      </c>
      <c r="F55" s="51" t="str">
        <f>+IF('Qualitative Disclosures for AS'!G775="","",'Qualitative Disclosures for AS'!G775)</f>
        <v/>
      </c>
      <c r="G55" s="53" t="str">
        <f>+IF('Qualitative Disclosures for AS'!H775="","",'Qualitative Disclosures for AS'!H775)</f>
        <v/>
      </c>
      <c r="L55" s="42" t="str">
        <f t="shared" si="0"/>
        <v>Yes</v>
      </c>
    </row>
    <row r="56" spans="2:12" x14ac:dyDescent="0.25">
      <c r="B56" s="968"/>
      <c r="C56" s="50" t="str">
        <f>+'Qualitative Disclosures for AS'!D776</f>
        <v xml:space="preserve">  - ESOP (Director)</v>
      </c>
      <c r="D56" s="51" t="str">
        <f>+IF('Qualitative Disclosures for AS'!E776="","",'Qualitative Disclosures for AS'!E776)</f>
        <v/>
      </c>
      <c r="E56" s="52" t="str">
        <f>+IF('Qualitative Disclosures for AS'!F776="","",'Qualitative Disclosures for AS'!F776)</f>
        <v/>
      </c>
      <c r="F56" s="51" t="str">
        <f>+IF('Qualitative Disclosures for AS'!G776="","",'Qualitative Disclosures for AS'!G776)</f>
        <v/>
      </c>
      <c r="G56" s="53" t="str">
        <f>+IF('Qualitative Disclosures for AS'!H776="","",'Qualitative Disclosures for AS'!H776)</f>
        <v/>
      </c>
      <c r="L56" s="42" t="str">
        <f t="shared" si="0"/>
        <v>Yes</v>
      </c>
    </row>
    <row r="57" spans="2:12" x14ac:dyDescent="0.25">
      <c r="B57" s="968"/>
      <c r="C57" s="50" t="str">
        <f>+'Qualitative Disclosures for AS'!D777</f>
        <v xml:space="preserve">Options available for grant: </v>
      </c>
      <c r="D57" s="52" t="str">
        <f>+IF('Qualitative Disclosures for AS'!E777="","",'Qualitative Disclosures for AS'!E777)</f>
        <v/>
      </c>
      <c r="E57" s="52" t="str">
        <f>+IF('Qualitative Disclosures for AS'!F777="","",'Qualitative Disclosures for AS'!F777)</f>
        <v/>
      </c>
      <c r="F57" s="52" t="str">
        <f>+IF('Qualitative Disclosures for AS'!G777="","",'Qualitative Disclosures for AS'!G777)</f>
        <v/>
      </c>
      <c r="G57" s="53" t="str">
        <f>+IF('Qualitative Disclosures for AS'!H777="","",'Qualitative Disclosures for AS'!H777)</f>
        <v/>
      </c>
      <c r="L57" s="42" t="str">
        <f t="shared" si="0"/>
        <v>Yes</v>
      </c>
    </row>
    <row r="58" spans="2:12" x14ac:dyDescent="0.25">
      <c r="B58" s="968"/>
      <c r="C58" s="50" t="str">
        <f>+'Qualitative Disclosures for AS'!D778</f>
        <v xml:space="preserve">  - ESOP A</v>
      </c>
      <c r="D58" s="51" t="str">
        <f>+IF('Qualitative Disclosures for AS'!E778="","",'Qualitative Disclosures for AS'!E778)</f>
        <v/>
      </c>
      <c r="E58" s="54" t="str">
        <f>+IF('Qualitative Disclosures for AS'!F778="","",'Qualitative Disclosures for AS'!F778)</f>
        <v/>
      </c>
      <c r="F58" s="51" t="str">
        <f>+IF('Qualitative Disclosures for AS'!G778="","",'Qualitative Disclosures for AS'!G778)</f>
        <v/>
      </c>
      <c r="G58" s="55" t="str">
        <f>+IF('Qualitative Disclosures for AS'!H778="","",'Qualitative Disclosures for AS'!H778)</f>
        <v/>
      </c>
      <c r="L58" s="42" t="str">
        <f t="shared" si="0"/>
        <v>Yes</v>
      </c>
    </row>
    <row r="59" spans="2:12" x14ac:dyDescent="0.25">
      <c r="B59" s="968"/>
      <c r="C59" s="50" t="str">
        <f>+'Qualitative Disclosures for AS'!D779</f>
        <v xml:space="preserve">  - ESOP B</v>
      </c>
      <c r="D59" s="51" t="str">
        <f>+IF('Qualitative Disclosures for AS'!E779="","",'Qualitative Disclosures for AS'!E779)</f>
        <v/>
      </c>
      <c r="E59" s="54" t="str">
        <f>+IF('Qualitative Disclosures for AS'!F779="","",'Qualitative Disclosures for AS'!F779)</f>
        <v/>
      </c>
      <c r="F59" s="51" t="str">
        <f>+IF('Qualitative Disclosures for AS'!G779="","",'Qualitative Disclosures for AS'!G779)</f>
        <v/>
      </c>
      <c r="G59" s="55" t="str">
        <f>+IF('Qualitative Disclosures for AS'!H779="","",'Qualitative Disclosures for AS'!H779)</f>
        <v/>
      </c>
      <c r="L59" s="42" t="str">
        <f t="shared" si="0"/>
        <v>Yes</v>
      </c>
    </row>
    <row r="60" spans="2:12" x14ac:dyDescent="0.25">
      <c r="B60" s="968"/>
      <c r="C60" s="50" t="str">
        <f>+'Qualitative Disclosures for AS'!D780</f>
        <v xml:space="preserve">  - ESOP (Director)</v>
      </c>
      <c r="D60" s="51" t="str">
        <f>+IF('Qualitative Disclosures for AS'!E780="","",'Qualitative Disclosures for AS'!E780)</f>
        <v/>
      </c>
      <c r="E60" s="54" t="str">
        <f>+IF('Qualitative Disclosures for AS'!F780="","",'Qualitative Disclosures for AS'!F780)</f>
        <v/>
      </c>
      <c r="F60" s="51" t="str">
        <f>+IF('Qualitative Disclosures for AS'!G780="","",'Qualitative Disclosures for AS'!G780)</f>
        <v/>
      </c>
      <c r="G60" s="55" t="str">
        <f>+IF('Qualitative Disclosures for AS'!H780="","",'Qualitative Disclosures for AS'!H780)</f>
        <v/>
      </c>
      <c r="L60" s="42" t="str">
        <f t="shared" si="0"/>
        <v>Yes</v>
      </c>
    </row>
    <row r="61" spans="2:12" ht="49.5" x14ac:dyDescent="0.25">
      <c r="B61" s="968"/>
      <c r="C61" s="56" t="str">
        <f>+'Qualitative Disclosures for AS'!D781</f>
        <v>The weighted average share price at the date of exercise for stock options exercised during the year</v>
      </c>
      <c r="D61" s="51" t="str">
        <f>+IF('Qualitative Disclosures for AS'!E781="","",'Qualitative Disclosures for AS'!E781)</f>
        <v/>
      </c>
      <c r="E61" s="54" t="str">
        <f>+IF('Qualitative Disclosures for AS'!F781="","",'Qualitative Disclosures for AS'!F781)</f>
        <v/>
      </c>
      <c r="F61" s="51" t="str">
        <f>+IF('Qualitative Disclosures for AS'!G781="","",'Qualitative Disclosures for AS'!G781)</f>
        <v/>
      </c>
      <c r="G61" s="55" t="str">
        <f>+IF('Qualitative Disclosures for AS'!H781="","",'Qualitative Disclosures for AS'!H781)</f>
        <v/>
      </c>
      <c r="L61" s="42" t="str">
        <f t="shared" si="0"/>
        <v>Yes</v>
      </c>
    </row>
    <row r="62" spans="2:12" ht="35.1" customHeight="1" x14ac:dyDescent="0.25">
      <c r="B62" s="968"/>
      <c r="C62" s="56" t="str">
        <f>+'Qualitative Disclosures for AS'!D782</f>
        <v>Range of exercise price for options outstanding at the end of the year</v>
      </c>
      <c r="D62" s="57" t="str">
        <f>+IF('Qualitative Disclosures for AS'!E782="","",'Qualitative Disclosures for AS'!E782)</f>
        <v/>
      </c>
      <c r="E62" s="58" t="str">
        <f>+IF('Qualitative Disclosures for AS'!F782="","",'Qualitative Disclosures for AS'!F782)</f>
        <v/>
      </c>
      <c r="F62" s="57" t="str">
        <f>+IF('Qualitative Disclosures for AS'!G782="","",'Qualitative Disclosures for AS'!G782)</f>
        <v/>
      </c>
      <c r="G62" s="59" t="str">
        <f>+IF('Qualitative Disclosures for AS'!H782="","",'Qualitative Disclosures for AS'!H782)</f>
        <v/>
      </c>
      <c r="L62" s="42" t="str">
        <f t="shared" si="0"/>
        <v>Yes</v>
      </c>
    </row>
    <row r="63" spans="2:12" ht="35.1" customHeight="1" thickBot="1" x14ac:dyDescent="0.35">
      <c r="B63" s="969"/>
      <c r="C63" s="2" t="str">
        <f>+'Qualitative Disclosures for AS'!D783</f>
        <v>Weighted average remaining contractual life for options outstanding as at 31 March, 20X2 _______ (As at 31 March, 20X1 ________).</v>
      </c>
      <c r="D63" s="60"/>
      <c r="E63" s="61"/>
      <c r="F63" s="60"/>
      <c r="G63" s="62"/>
      <c r="L63" s="42" t="str" cm="1">
        <f t="array" ref="L63">IFERROR(INDEX(L33:L62, MATCH(TRUE,L33:L62="Yes",0)),"No")</f>
        <v>Yes</v>
      </c>
    </row>
    <row r="64" spans="2:12" x14ac:dyDescent="0.25">
      <c r="D64" s="63"/>
      <c r="E64" s="64"/>
      <c r="F64" s="63"/>
      <c r="G64" s="64"/>
    </row>
    <row r="66" spans="2:12" x14ac:dyDescent="0.25">
      <c r="C66" s="17" t="str">
        <f>B11 &amp; " contd."</f>
        <v>Note 22 Disclosures on Employee share based payments contd.</v>
      </c>
    </row>
    <row r="67" spans="2:12" ht="17.25" thickBot="1" x14ac:dyDescent="0.3">
      <c r="C67" s="17"/>
    </row>
    <row r="68" spans="2:12" ht="39.950000000000003" customHeight="1" x14ac:dyDescent="0.25">
      <c r="B68" s="967" t="str">
        <f>+IF('Qualitative Disclosures for AS'!C788="","",'Qualitative Disclosures for AS'!C788)</f>
        <v>Note</v>
      </c>
      <c r="C68" s="3001" t="str">
        <f>+IF('Qualitative Disclosures for AS'!D788="","",'Qualitative Disclosures for AS'!D788)</f>
        <v>Particulars</v>
      </c>
      <c r="D68" s="3001" t="str">
        <f>+IF('Qualitative Disclosures for AS'!E788="","",'Qualitative Disclosures for AS'!E788)</f>
        <v/>
      </c>
      <c r="E68" s="3001" t="str">
        <f>+IF('Qualitative Disclosures for AS'!F788="","",'Qualitative Disclosures for AS'!F788)</f>
        <v/>
      </c>
      <c r="F68" s="3001" t="str">
        <f>+IF('Qualitative Disclosures for AS'!G788="","",'Qualitative Disclosures for AS'!G788)</f>
        <v/>
      </c>
      <c r="G68" s="3002" t="str">
        <f>+IF('Qualitative Disclosures for AS'!H788="","",'Qualitative Disclosures for AS'!H788)</f>
        <v/>
      </c>
    </row>
    <row r="69" spans="2:12" ht="31.9" customHeight="1" x14ac:dyDescent="0.25">
      <c r="B69" s="968" t="str">
        <f>+IF('Qualitative Disclosures for AS'!C789="","",'Qualitative Disclosures for AS'!C789)</f>
        <v>e)</v>
      </c>
      <c r="C69" s="3003" t="str">
        <f>+IF('Qualitative Disclosures for AS'!D789="","",'Qualitative Disclosures for AS'!D789)</f>
        <v>The impact on Earnings per Share if the ‘fair value’ of the options (on the date of the grant) were considered instead of the ‘intrinsic value’ is as under:</v>
      </c>
      <c r="D69" s="3003" t="str">
        <f>+IF('Qualitative Disclosures for AS'!E789="","",'Qualitative Disclosures for AS'!E789)</f>
        <v/>
      </c>
      <c r="E69" s="3003" t="str">
        <f>+IF('Qualitative Disclosures for AS'!F789="","",'Qualitative Disclosures for AS'!F789)</f>
        <v/>
      </c>
      <c r="F69" s="3003" t="str">
        <f>+IF('Qualitative Disclosures for AS'!G789="","",'Qualitative Disclosures for AS'!G789)</f>
        <v/>
      </c>
      <c r="G69" s="3004" t="str">
        <f>+IF('Qualitative Disclosures for AS'!H789="","",'Qualitative Disclosures for AS'!H789)</f>
        <v/>
      </c>
    </row>
    <row r="70" spans="2:12" ht="30" customHeight="1" x14ac:dyDescent="0.25">
      <c r="B70" s="968" t="str">
        <f>+IF('Qualitative Disclosures for AS'!C790="","",'Qualitative Disclosures for AS'!C790)</f>
        <v/>
      </c>
      <c r="C70" s="65" t="str">
        <f>+IF('Qualitative Disclosures for AS'!D790="","",'Qualitative Disclosures for AS'!D790)</f>
        <v>Particulars</v>
      </c>
      <c r="D70" s="46" t="str">
        <f>+IF('Qualitative Disclosures for AS'!E790="","",'Qualitative Disclosures for AS'!E790)</f>
        <v>As At 31st March 2025</v>
      </c>
      <c r="E70" s="46" t="str">
        <f>+IF('Qualitative Disclosures for AS'!F790="","",'Qualitative Disclosures for AS'!F790)</f>
        <v>As At 31st March 2024</v>
      </c>
      <c r="F70" s="41" t="str">
        <f>+IF('Qualitative Disclosures for AS'!G790="","",'Qualitative Disclosures for AS'!G790)</f>
        <v/>
      </c>
      <c r="G70" s="43" t="str">
        <f>+IF('Qualitative Disclosures for AS'!H790="","",'Qualitative Disclosures for AS'!H790)</f>
        <v/>
      </c>
    </row>
    <row r="71" spans="2:12" x14ac:dyDescent="0.25">
      <c r="B71" s="968" t="str">
        <f>+IF('Qualitative Disclosures for AS'!C791="","",'Qualitative Disclosures for AS'!C791)</f>
        <v/>
      </c>
      <c r="C71" s="66" t="str">
        <f>+IF('Qualitative Disclosures for AS'!D791="","",'Qualitative Disclosures for AS'!D791)</f>
        <v xml:space="preserve">Profit / (Loss) (as reported) </v>
      </c>
      <c r="D71" s="67" t="str">
        <f>+IF('Qualitative Disclosures for AS'!E791="","",'Qualitative Disclosures for AS'!E791)</f>
        <v/>
      </c>
      <c r="E71" s="68" t="str">
        <f>+IF('Qualitative Disclosures for AS'!F791="","",'Qualitative Disclosures for AS'!F791)</f>
        <v/>
      </c>
      <c r="F71" s="41" t="str">
        <f>+IF('Qualitative Disclosures for AS'!G791="","",'Qualitative Disclosures for AS'!G791)</f>
        <v/>
      </c>
      <c r="G71" s="43" t="str">
        <f>+IF('Qualitative Disclosures for AS'!H791="","",'Qualitative Disclosures for AS'!H791)</f>
        <v/>
      </c>
      <c r="L71" s="42" t="str">
        <f t="shared" ref="L71:L79" si="1">IF(AND(D71=0,E71=0,F71=0,G71=0,H71=0,I71=0),"No","Yes")</f>
        <v>Yes</v>
      </c>
    </row>
    <row r="72" spans="2:12" ht="33" x14ac:dyDescent="0.25">
      <c r="B72" s="968" t="str">
        <f>+IF('Qualitative Disclosures for AS'!C792="","",'Qualitative Disclosures for AS'!C792)</f>
        <v/>
      </c>
      <c r="C72" s="47" t="str">
        <f>+IF('Qualitative Disclosures for AS'!D792="","",'Qualitative Disclosures for AS'!D792)</f>
        <v xml:space="preserve">Add / (Less): stock based employee compensation (intrinsic value) </v>
      </c>
      <c r="D72" s="69" t="str">
        <f>+IF('Qualitative Disclosures for AS'!E792="","",'Qualitative Disclosures for AS'!E792)</f>
        <v/>
      </c>
      <c r="E72" s="70" t="str">
        <f>+IF('Qualitative Disclosures for AS'!F792="","",'Qualitative Disclosures for AS'!F792)</f>
        <v/>
      </c>
      <c r="F72" s="41" t="str">
        <f>+IF('Qualitative Disclosures for AS'!G792="","",'Qualitative Disclosures for AS'!G792)</f>
        <v/>
      </c>
      <c r="G72" s="43" t="str">
        <f>+IF('Qualitative Disclosures for AS'!H792="","",'Qualitative Disclosures for AS'!H792)</f>
        <v/>
      </c>
      <c r="L72" s="42" t="str">
        <f t="shared" si="1"/>
        <v>Yes</v>
      </c>
    </row>
    <row r="73" spans="2:12" ht="49.5" x14ac:dyDescent="0.25">
      <c r="B73" s="968" t="str">
        <f>+IF('Qualitative Disclosures for AS'!C793="","",'Qualitative Disclosures for AS'!C793)</f>
        <v/>
      </c>
      <c r="C73" s="47" t="str">
        <f>+IF('Qualitative Disclosures for AS'!D793="","",'Qualitative Disclosures for AS'!D793)</f>
        <v xml:space="preserve">Add / (Less): stock based compensation expenses determined under fair value method for the grants issued (See note (f) below) </v>
      </c>
      <c r="D73" s="69" t="str">
        <f>+IF('Qualitative Disclosures for AS'!E793="","",'Qualitative Disclosures for AS'!E793)</f>
        <v/>
      </c>
      <c r="E73" s="70" t="str">
        <f>+IF('Qualitative Disclosures for AS'!F793="","",'Qualitative Disclosures for AS'!F793)</f>
        <v/>
      </c>
      <c r="F73" s="41" t="str">
        <f>+IF('Qualitative Disclosures for AS'!G793="","",'Qualitative Disclosures for AS'!G793)</f>
        <v/>
      </c>
      <c r="G73" s="43" t="str">
        <f>+IF('Qualitative Disclosures for AS'!H793="","",'Qualitative Disclosures for AS'!H793)</f>
        <v/>
      </c>
      <c r="L73" s="42" t="str">
        <f t="shared" si="1"/>
        <v>Yes</v>
      </c>
    </row>
    <row r="74" spans="2:12" x14ac:dyDescent="0.25">
      <c r="B74" s="968" t="str">
        <f>+IF('Qualitative Disclosures for AS'!C794="","",'Qualitative Disclosures for AS'!C794)</f>
        <v/>
      </c>
      <c r="C74" s="47" t="str">
        <f>+IF('Qualitative Disclosures for AS'!D794="","",'Qualitative Disclosures for AS'!D794)</f>
        <v xml:space="preserve">Net Profit / (Loss) (proforma) </v>
      </c>
      <c r="D74" s="69" t="str">
        <f>+IF('Qualitative Disclosures for AS'!E794="","",'Qualitative Disclosures for AS'!E794)</f>
        <v/>
      </c>
      <c r="E74" s="70" t="str">
        <f>+IF('Qualitative Disclosures for AS'!F794="","",'Qualitative Disclosures for AS'!F794)</f>
        <v/>
      </c>
      <c r="F74" s="41" t="str">
        <f>+IF('Qualitative Disclosures for AS'!G794="","",'Qualitative Disclosures for AS'!G794)</f>
        <v/>
      </c>
      <c r="G74" s="43" t="str">
        <f>+IF('Qualitative Disclosures for AS'!H794="","",'Qualitative Disclosures for AS'!H794)</f>
        <v/>
      </c>
      <c r="L74" s="42" t="str">
        <f t="shared" si="1"/>
        <v>Yes</v>
      </c>
    </row>
    <row r="75" spans="2:12" x14ac:dyDescent="0.25">
      <c r="B75" s="968" t="str">
        <f>+IF('Qualitative Disclosures for AS'!C795="","",'Qualitative Disclosures for AS'!C795)</f>
        <v/>
      </c>
      <c r="C75" s="47" t="str">
        <f>+IF('Qualitative Disclosures for AS'!D795="","",'Qualitative Disclosures for AS'!D795)</f>
        <v/>
      </c>
      <c r="D75" s="69" t="str">
        <f>+IF('Qualitative Disclosures for AS'!E795="","",'Qualitative Disclosures for AS'!E795)</f>
        <v/>
      </c>
      <c r="E75" s="71" t="str">
        <f>+IF('Qualitative Disclosures for AS'!F795="","",'Qualitative Disclosures for AS'!F795)</f>
        <v/>
      </c>
      <c r="F75" s="41" t="str">
        <f>+IF('Qualitative Disclosures for AS'!G795="","",'Qualitative Disclosures for AS'!G795)</f>
        <v/>
      </c>
      <c r="G75" s="43" t="str">
        <f>+IF('Qualitative Disclosures for AS'!H795="","",'Qualitative Disclosures for AS'!H795)</f>
        <v/>
      </c>
      <c r="L75" s="42" t="str">
        <f t="shared" si="1"/>
        <v>Yes</v>
      </c>
    </row>
    <row r="76" spans="2:12" x14ac:dyDescent="0.25">
      <c r="B76" s="968" t="str">
        <f>+IF('Qualitative Disclosures for AS'!C796="","",'Qualitative Disclosures for AS'!C796)</f>
        <v/>
      </c>
      <c r="C76" s="47" t="str">
        <f>+IF('Qualitative Disclosures for AS'!D796="","",'Qualitative Disclosures for AS'!D796)</f>
        <v xml:space="preserve">Basic earnings per share (as reported) </v>
      </c>
      <c r="D76" s="69" t="str">
        <f>+IF('Qualitative Disclosures for AS'!E796="","",'Qualitative Disclosures for AS'!E796)</f>
        <v/>
      </c>
      <c r="E76" s="71" t="str">
        <f>+IF('Qualitative Disclosures for AS'!F796="","",'Qualitative Disclosures for AS'!F796)</f>
        <v/>
      </c>
      <c r="F76" s="41" t="str">
        <f>+IF('Qualitative Disclosures for AS'!G796="","",'Qualitative Disclosures for AS'!G796)</f>
        <v/>
      </c>
      <c r="G76" s="43" t="str">
        <f>+IF('Qualitative Disclosures for AS'!H796="","",'Qualitative Disclosures for AS'!H796)</f>
        <v/>
      </c>
      <c r="L76" s="42" t="str">
        <f t="shared" si="1"/>
        <v>Yes</v>
      </c>
    </row>
    <row r="77" spans="2:12" x14ac:dyDescent="0.25">
      <c r="B77" s="968" t="str">
        <f>+IF('Qualitative Disclosures for AS'!C797="","",'Qualitative Disclosures for AS'!C797)</f>
        <v/>
      </c>
      <c r="C77" s="47" t="str">
        <f>+IF('Qualitative Disclosures for AS'!D797="","",'Qualitative Disclosures for AS'!D797)</f>
        <v xml:space="preserve">Basic earnings per share (proforma) </v>
      </c>
      <c r="D77" s="72" t="str">
        <f>+IF('Qualitative Disclosures for AS'!E797="","",'Qualitative Disclosures for AS'!E797)</f>
        <v/>
      </c>
      <c r="E77" s="47" t="str">
        <f>+IF('Qualitative Disclosures for AS'!F797="","",'Qualitative Disclosures for AS'!F797)</f>
        <v/>
      </c>
      <c r="F77" s="41" t="str">
        <f>+IF('Qualitative Disclosures for AS'!G797="","",'Qualitative Disclosures for AS'!G797)</f>
        <v/>
      </c>
      <c r="G77" s="43" t="str">
        <f>+IF('Qualitative Disclosures for AS'!H797="","",'Qualitative Disclosures for AS'!H797)</f>
        <v/>
      </c>
      <c r="L77" s="42" t="str">
        <f t="shared" si="1"/>
        <v>Yes</v>
      </c>
    </row>
    <row r="78" spans="2:12" x14ac:dyDescent="0.25">
      <c r="B78" s="968" t="str">
        <f>+IF('Qualitative Disclosures for AS'!C798="","",'Qualitative Disclosures for AS'!C798)</f>
        <v/>
      </c>
      <c r="C78" s="47" t="str">
        <f>+IF('Qualitative Disclosures for AS'!D798="","",'Qualitative Disclosures for AS'!D798)</f>
        <v xml:space="preserve">Diluted earnings per share (as reported) </v>
      </c>
      <c r="D78" s="69" t="str">
        <f>+IF('Qualitative Disclosures for AS'!E798="","",'Qualitative Disclosures for AS'!E798)</f>
        <v/>
      </c>
      <c r="E78" s="71" t="str">
        <f>+IF('Qualitative Disclosures for AS'!F798="","",'Qualitative Disclosures for AS'!F798)</f>
        <v/>
      </c>
      <c r="F78" s="41" t="str">
        <f>+IF('Qualitative Disclosures for AS'!G798="","",'Qualitative Disclosures for AS'!G798)</f>
        <v/>
      </c>
      <c r="G78" s="43" t="str">
        <f>+IF('Qualitative Disclosures for AS'!H798="","",'Qualitative Disclosures for AS'!H798)</f>
        <v/>
      </c>
      <c r="L78" s="42" t="str">
        <f t="shared" si="1"/>
        <v>Yes</v>
      </c>
    </row>
    <row r="79" spans="2:12" x14ac:dyDescent="0.25">
      <c r="B79" s="968" t="str">
        <f>+IF('Qualitative Disclosures for AS'!C799="","",'Qualitative Disclosures for AS'!C799)</f>
        <v/>
      </c>
      <c r="C79" s="73" t="str">
        <f>+IF('Qualitative Disclosures for AS'!D799="","",'Qualitative Disclosures for AS'!D799)</f>
        <v xml:space="preserve">Diluted earnings per share (proforma) </v>
      </c>
      <c r="D79" s="74" t="str">
        <f>+IF('Qualitative Disclosures for AS'!E799="","",'Qualitative Disclosures for AS'!E799)</f>
        <v/>
      </c>
      <c r="E79" s="73" t="str">
        <f>+IF('Qualitative Disclosures for AS'!F799="","",'Qualitative Disclosures for AS'!F799)</f>
        <v/>
      </c>
      <c r="F79" s="41" t="str">
        <f>+IF('Qualitative Disclosures for AS'!G799="","",'Qualitative Disclosures for AS'!G799)</f>
        <v/>
      </c>
      <c r="G79" s="43" t="str">
        <f>+IF('Qualitative Disclosures for AS'!H799="","",'Qualitative Disclosures for AS'!H799)</f>
        <v/>
      </c>
      <c r="L79" s="42" t="str">
        <f t="shared" si="1"/>
        <v>Yes</v>
      </c>
    </row>
    <row r="80" spans="2:12" x14ac:dyDescent="0.25">
      <c r="B80" s="968" t="str">
        <f>+IF('Qualitative Disclosures for AS'!C800="","",'Qualitative Disclosures for AS'!C800)</f>
        <v/>
      </c>
      <c r="C80" s="41" t="str">
        <f>+IF('Qualitative Disclosures for AS'!D800="","",'Qualitative Disclosures for AS'!D800)</f>
        <v/>
      </c>
      <c r="D80" s="41" t="str">
        <f>+IF('Qualitative Disclosures for AS'!E800="","",'Qualitative Disclosures for AS'!E800)</f>
        <v/>
      </c>
      <c r="E80" s="41" t="str">
        <f>+IF('Qualitative Disclosures for AS'!F800="","",'Qualitative Disclosures for AS'!F800)</f>
        <v/>
      </c>
      <c r="F80" s="41" t="str">
        <f>+IF('Qualitative Disclosures for AS'!G800="","",'Qualitative Disclosures for AS'!G800)</f>
        <v/>
      </c>
      <c r="G80" s="43" t="str">
        <f>+IF('Qualitative Disclosures for AS'!H800="","",'Qualitative Disclosures for AS'!H800)</f>
        <v/>
      </c>
      <c r="L80" s="42" t="str" cm="1">
        <f t="array" ref="L80">IFERROR(INDEX(L71:L79, MATCH(TRUE,L71:L79="Yes",0)),"No")</f>
        <v>Yes</v>
      </c>
    </row>
    <row r="81" spans="2:12" x14ac:dyDescent="0.25">
      <c r="B81" s="968" t="str">
        <f>+IF('Qualitative Disclosures for AS'!C801="","",'Qualitative Disclosures for AS'!C801)</f>
        <v>f)</v>
      </c>
      <c r="C81" s="3003" t="str">
        <f>+IF('Qualitative Disclosures for AS'!D801="","",'Qualitative Disclosures for AS'!D801)</f>
        <v xml:space="preserve">The fair value of the options has been determined under the Black-Scholes model. The assumptions used in this model for calculating fair value are as below: </v>
      </c>
      <c r="D81" s="3003" t="str">
        <f>+IF('Qualitative Disclosures for AS'!E801="","",'Qualitative Disclosures for AS'!E801)</f>
        <v/>
      </c>
      <c r="E81" s="3003" t="str">
        <f>+IF('Qualitative Disclosures for AS'!F801="","",'Qualitative Disclosures for AS'!F801)</f>
        <v/>
      </c>
      <c r="F81" s="3003" t="str">
        <f>+IF('Qualitative Disclosures for AS'!G801="","",'Qualitative Disclosures for AS'!G801)</f>
        <v/>
      </c>
      <c r="G81" s="3004" t="str">
        <f>+IF('Qualitative Disclosures for AS'!H801="","",'Qualitative Disclosures for AS'!H801)</f>
        <v/>
      </c>
    </row>
    <row r="82" spans="2:12" x14ac:dyDescent="0.25">
      <c r="B82" s="968" t="str">
        <f>+IF('Qualitative Disclosures for AS'!C802="","",'Qualitative Disclosures for AS'!C802)</f>
        <v/>
      </c>
      <c r="C82" s="41" t="str">
        <f>+IF('Qualitative Disclosures for AS'!D802="","",'Qualitative Disclosures for AS'!D802)</f>
        <v/>
      </c>
      <c r="D82" s="41" t="str">
        <f>+IF('Qualitative Disclosures for AS'!E802="","",'Qualitative Disclosures for AS'!E802)</f>
        <v/>
      </c>
      <c r="E82" s="41" t="str">
        <f>+IF('Qualitative Disclosures for AS'!F802="","",'Qualitative Disclosures for AS'!F802)</f>
        <v/>
      </c>
      <c r="F82" s="41" t="str">
        <f>+IF('Qualitative Disclosures for AS'!G802="","",'Qualitative Disclosures for AS'!G802)</f>
        <v/>
      </c>
      <c r="G82" s="43" t="str">
        <f>+IF('Qualitative Disclosures for AS'!H802="","",'Qualitative Disclosures for AS'!H802)</f>
        <v/>
      </c>
    </row>
    <row r="83" spans="2:12" x14ac:dyDescent="0.25">
      <c r="B83" s="968" t="str">
        <f>+IF('Qualitative Disclosures for AS'!C803="","",'Qualitative Disclosures for AS'!C803)</f>
        <v/>
      </c>
      <c r="C83" s="75" t="str">
        <f>+IF('Qualitative Disclosures for AS'!D803="","",'Qualitative Disclosures for AS'!D803)</f>
        <v>Assumptions</v>
      </c>
      <c r="D83" s="46" t="str">
        <f>+IF('Qualitative Disclosures for AS'!E803="","",'Qualitative Disclosures for AS'!E803)</f>
        <v xml:space="preserve">31 March, </v>
      </c>
      <c r="E83" s="46" t="str">
        <f>+IF('Qualitative Disclosures for AS'!F803="","",'Qualitative Disclosures for AS'!F803)</f>
        <v xml:space="preserve">31 March, </v>
      </c>
      <c r="F83" s="41" t="str">
        <f>+IF('Qualitative Disclosures for AS'!G803="","",'Qualitative Disclosures for AS'!G803)</f>
        <v/>
      </c>
      <c r="G83" s="43" t="str">
        <f>+IF('Qualitative Disclosures for AS'!H803="","",'Qualitative Disclosures for AS'!H803)</f>
        <v/>
      </c>
    </row>
    <row r="84" spans="2:12" x14ac:dyDescent="0.25">
      <c r="B84" s="968" t="str">
        <f>+IF('Qualitative Disclosures for AS'!C804="","",'Qualitative Disclosures for AS'!C804)</f>
        <v/>
      </c>
      <c r="C84" s="47" t="str">
        <f>+IF('Qualitative Disclosures for AS'!D804="","",'Qualitative Disclosures for AS'!D804)</f>
        <v>Risk Free Interest Rate</v>
      </c>
      <c r="D84" s="76" t="str">
        <f>+IF('Qualitative Disclosures for AS'!E804="","",'Qualitative Disclosures for AS'!E804)</f>
        <v/>
      </c>
      <c r="E84" s="76" t="str">
        <f>+IF('Qualitative Disclosures for AS'!F804="","",'Qualitative Disclosures for AS'!F804)</f>
        <v/>
      </c>
      <c r="F84" s="41" t="str">
        <f>+IF('Qualitative Disclosures for AS'!G804="","",'Qualitative Disclosures for AS'!G804)</f>
        <v/>
      </c>
      <c r="G84" s="43" t="str">
        <f>+IF('Qualitative Disclosures for AS'!H804="","",'Qualitative Disclosures for AS'!H804)</f>
        <v/>
      </c>
      <c r="L84" s="42" t="str">
        <f>IF(AND(D84=0,E84=0,F84=0,G84=0,H84=0,I84=0),"No","Yes")</f>
        <v>Yes</v>
      </c>
    </row>
    <row r="85" spans="2:12" x14ac:dyDescent="0.25">
      <c r="B85" s="968" t="str">
        <f>+IF('Qualitative Disclosures for AS'!C805="","",'Qualitative Disclosures for AS'!C805)</f>
        <v/>
      </c>
      <c r="C85" s="47" t="str">
        <f>+IF('Qualitative Disclosures for AS'!D805="","",'Qualitative Disclosures for AS'!D805)</f>
        <v>Expected Life</v>
      </c>
      <c r="D85" s="69" t="str">
        <f>+IF('Qualitative Disclosures for AS'!E805="","",'Qualitative Disclosures for AS'!E805)</f>
        <v/>
      </c>
      <c r="E85" s="69" t="str">
        <f>+IF('Qualitative Disclosures for AS'!F805="","",'Qualitative Disclosures for AS'!F805)</f>
        <v/>
      </c>
      <c r="F85" s="41" t="str">
        <f>+IF('Qualitative Disclosures for AS'!G805="","",'Qualitative Disclosures for AS'!G805)</f>
        <v/>
      </c>
      <c r="G85" s="43" t="str">
        <f>+IF('Qualitative Disclosures for AS'!H805="","",'Qualitative Disclosures for AS'!H805)</f>
        <v/>
      </c>
      <c r="L85" s="42" t="str">
        <f>IF(AND(D85=0,E85=0,F85=0,G85=0,H85=0,I85=0),"No","Yes")</f>
        <v>Yes</v>
      </c>
    </row>
    <row r="86" spans="2:12" x14ac:dyDescent="0.25">
      <c r="B86" s="968" t="str">
        <f>+IF('Qualitative Disclosures for AS'!C806="","",'Qualitative Disclosures for AS'!C806)</f>
        <v/>
      </c>
      <c r="C86" s="47" t="str">
        <f>+IF('Qualitative Disclosures for AS'!D806="","",'Qualitative Disclosures for AS'!D806)</f>
        <v>Expected Annual Volatility of Shares</v>
      </c>
      <c r="D86" s="77" t="str">
        <f>+IF('Qualitative Disclosures for AS'!E806="","",'Qualitative Disclosures for AS'!E806)</f>
        <v/>
      </c>
      <c r="E86" s="77" t="str">
        <f>+IF('Qualitative Disclosures for AS'!F806="","",'Qualitative Disclosures for AS'!F806)</f>
        <v/>
      </c>
      <c r="F86" s="41" t="str">
        <f>+IF('Qualitative Disclosures for AS'!G806="","",'Qualitative Disclosures for AS'!G806)</f>
        <v/>
      </c>
      <c r="G86" s="43" t="str">
        <f>+IF('Qualitative Disclosures for AS'!H806="","",'Qualitative Disclosures for AS'!H806)</f>
        <v/>
      </c>
      <c r="L86" s="42" t="str">
        <f>IF(AND(D86=0,E86=0,F86=0,G86=0,H86=0,I86=0),"No","Yes")</f>
        <v>Yes</v>
      </c>
    </row>
    <row r="87" spans="2:12" x14ac:dyDescent="0.25">
      <c r="B87" s="968" t="str">
        <f>+IF('Qualitative Disclosures for AS'!C807="","",'Qualitative Disclosures for AS'!C807)</f>
        <v/>
      </c>
      <c r="C87" s="73" t="str">
        <f>+IF('Qualitative Disclosures for AS'!D807="","",'Qualitative Disclosures for AS'!D807)</f>
        <v>Expected Dividend Yield</v>
      </c>
      <c r="D87" s="78" t="str">
        <f>+IF('Qualitative Disclosures for AS'!E807="","",'Qualitative Disclosures for AS'!E807)</f>
        <v/>
      </c>
      <c r="E87" s="78" t="str">
        <f>+IF('Qualitative Disclosures for AS'!F807="","",'Qualitative Disclosures for AS'!F807)</f>
        <v/>
      </c>
      <c r="F87" s="41" t="str">
        <f>+IF('Qualitative Disclosures for AS'!G807="","",'Qualitative Disclosures for AS'!G807)</f>
        <v/>
      </c>
      <c r="G87" s="43" t="str">
        <f>+IF('Qualitative Disclosures for AS'!H807="","",'Qualitative Disclosures for AS'!H807)</f>
        <v/>
      </c>
      <c r="L87" s="42" t="str">
        <f>IF(AND(D87=0,E87=0,F87=0,G87=0,H87=0,I87=0),"No","Yes")</f>
        <v>Yes</v>
      </c>
    </row>
    <row r="88" spans="2:12" x14ac:dyDescent="0.25">
      <c r="B88" s="968" t="str">
        <f>+IF('Qualitative Disclosures for AS'!C808="","",'Qualitative Disclosures for AS'!C808)</f>
        <v/>
      </c>
      <c r="C88" s="41" t="str">
        <f>+IF('Qualitative Disclosures for AS'!D808="","",'Qualitative Disclosures for AS'!D808)</f>
        <v/>
      </c>
      <c r="D88" s="41" t="str">
        <f>+IF('Qualitative Disclosures for AS'!E808="","",'Qualitative Disclosures for AS'!E808)</f>
        <v/>
      </c>
      <c r="E88" s="41" t="str">
        <f>+IF('Qualitative Disclosures for AS'!F808="","",'Qualitative Disclosures for AS'!F808)</f>
        <v/>
      </c>
      <c r="F88" s="41" t="str">
        <f>+IF('Qualitative Disclosures for AS'!G808="","",'Qualitative Disclosures for AS'!G808)</f>
        <v/>
      </c>
      <c r="G88" s="43" t="str">
        <f>+IF('Qualitative Disclosures for AS'!H808="","",'Qualitative Disclosures for AS'!H808)</f>
        <v/>
      </c>
      <c r="L88" s="42" t="str" cm="1">
        <f t="array" ref="L88">IFERROR(INDEX(L84:L87, MATCH(TRUE,L84:L87="Yes",0)),"No")</f>
        <v>Yes</v>
      </c>
    </row>
    <row r="89" spans="2:12" ht="17.25" thickBot="1" x14ac:dyDescent="0.3">
      <c r="B89" s="969" t="str">
        <f>+IF('Qualitative Disclosures for AS'!C809="","",'Qualitative Disclosures for AS'!C809)</f>
        <v/>
      </c>
      <c r="C89" s="79" t="str">
        <f>+IF('Qualitative Disclosures for AS'!D809="","",'Qualitative Disclosures for AS'!D809)</f>
        <v/>
      </c>
      <c r="D89" s="79" t="str">
        <f>+IF('Qualitative Disclosures for AS'!E809="","",'Qualitative Disclosures for AS'!E809)</f>
        <v/>
      </c>
      <c r="E89" s="79" t="str">
        <f>+IF('Qualitative Disclosures for AS'!F809="","",'Qualitative Disclosures for AS'!F809)</f>
        <v/>
      </c>
      <c r="F89" s="79" t="str">
        <f>+IF('Qualitative Disclosures for AS'!G809="","",'Qualitative Disclosures for AS'!G809)</f>
        <v/>
      </c>
      <c r="G89" s="80" t="str">
        <f>+IF('Qualitative Disclosures for AS'!H809="","",'Qualitative Disclosures for AS'!H809)</f>
        <v/>
      </c>
    </row>
    <row r="91" spans="2:12" x14ac:dyDescent="0.25">
      <c r="B91" s="1493"/>
      <c r="C91" s="1267"/>
      <c r="D91" s="1267"/>
      <c r="E91" s="1267"/>
      <c r="F91" s="1267"/>
      <c r="G91" s="1267"/>
      <c r="H91" s="1267"/>
      <c r="I91" s="1267"/>
    </row>
    <row r="92" spans="2:12" x14ac:dyDescent="0.25">
      <c r="B92" s="1493"/>
      <c r="C92" s="1267"/>
      <c r="D92" s="1267"/>
      <c r="E92" s="1267"/>
      <c r="F92" s="1267"/>
      <c r="G92" s="1267"/>
      <c r="H92" s="1267"/>
      <c r="I92" s="1267"/>
    </row>
    <row r="93" spans="2:12" x14ac:dyDescent="0.25">
      <c r="B93" s="1493"/>
      <c r="C93" s="1267"/>
      <c r="D93" s="1267"/>
      <c r="E93" s="1267"/>
      <c r="F93" s="1267"/>
      <c r="G93" s="1267"/>
      <c r="H93" s="1267"/>
      <c r="I93" s="1267"/>
    </row>
    <row r="94" spans="2:12" x14ac:dyDescent="0.25">
      <c r="B94" s="1493"/>
      <c r="C94" s="1267"/>
      <c r="D94" s="1267"/>
      <c r="E94" s="1267"/>
      <c r="F94" s="1267"/>
      <c r="G94" s="1267"/>
      <c r="H94" s="1267"/>
      <c r="I94" s="1267"/>
    </row>
    <row r="95" spans="2:12" x14ac:dyDescent="0.25">
      <c r="B95" s="1493"/>
      <c r="C95" s="1267"/>
      <c r="D95" s="1267"/>
      <c r="E95" s="1267"/>
      <c r="F95" s="1267"/>
      <c r="G95" s="1267"/>
      <c r="H95" s="1267"/>
      <c r="I95" s="1267"/>
    </row>
    <row r="96" spans="2:12" x14ac:dyDescent="0.25">
      <c r="B96" s="1493"/>
      <c r="C96" s="1267"/>
      <c r="D96" s="1267"/>
      <c r="E96" s="1267"/>
      <c r="F96" s="1267"/>
      <c r="G96" s="1267"/>
      <c r="H96" s="1267"/>
      <c r="I96" s="1267"/>
    </row>
    <row r="97" spans="2:9" x14ac:dyDescent="0.25">
      <c r="B97" s="1493"/>
      <c r="C97" s="1267"/>
      <c r="D97" s="1267"/>
      <c r="E97" s="1267"/>
      <c r="F97" s="1267"/>
      <c r="G97" s="1267"/>
      <c r="H97" s="1267"/>
      <c r="I97" s="1267"/>
    </row>
    <row r="98" spans="2:9" x14ac:dyDescent="0.25">
      <c r="B98" s="1493"/>
      <c r="C98" s="1267"/>
      <c r="D98" s="1267"/>
      <c r="E98" s="1267"/>
      <c r="F98" s="1267"/>
      <c r="G98" s="1267"/>
      <c r="H98" s="1267"/>
      <c r="I98" s="1267"/>
    </row>
    <row r="99" spans="2:9" x14ac:dyDescent="0.25">
      <c r="B99" s="1493"/>
      <c r="C99" s="1267"/>
      <c r="D99" s="1267"/>
      <c r="E99" s="1267"/>
      <c r="F99" s="1267"/>
      <c r="G99" s="1267"/>
      <c r="H99" s="1267"/>
      <c r="I99" s="1267"/>
    </row>
    <row r="100" spans="2:9" x14ac:dyDescent="0.25">
      <c r="B100" s="1493"/>
      <c r="C100" s="1267"/>
      <c r="D100" s="1267"/>
      <c r="E100" s="1267"/>
      <c r="F100" s="1267"/>
      <c r="G100" s="1267"/>
      <c r="H100" s="1267"/>
      <c r="I100" s="1267"/>
    </row>
    <row r="101" spans="2:9" x14ac:dyDescent="0.25">
      <c r="B101" s="1493"/>
      <c r="C101" s="1267"/>
      <c r="D101" s="1267"/>
      <c r="E101" s="1267"/>
      <c r="F101" s="1267"/>
      <c r="G101" s="1267"/>
      <c r="H101" s="1267"/>
      <c r="I101" s="1267"/>
    </row>
    <row r="102" spans="2:9" x14ac:dyDescent="0.25">
      <c r="B102" s="1493"/>
      <c r="C102" s="1267"/>
      <c r="D102" s="1267"/>
      <c r="E102" s="1267"/>
      <c r="F102" s="1267"/>
      <c r="G102" s="1267"/>
      <c r="H102" s="1267"/>
      <c r="I102" s="1267"/>
    </row>
    <row r="103" spans="2:9" x14ac:dyDescent="0.25">
      <c r="B103" s="1493"/>
      <c r="C103" s="1267"/>
      <c r="D103" s="1267"/>
      <c r="E103" s="1267"/>
      <c r="F103" s="1267"/>
      <c r="G103" s="1267"/>
      <c r="H103" s="1267"/>
      <c r="I103" s="1267"/>
    </row>
    <row r="104" spans="2:9" x14ac:dyDescent="0.25">
      <c r="B104" s="1493"/>
      <c r="C104" s="1267"/>
      <c r="D104" s="1267"/>
      <c r="E104" s="1267"/>
      <c r="F104" s="1267"/>
      <c r="G104" s="1267"/>
      <c r="H104" s="1267"/>
      <c r="I104" s="1267"/>
    </row>
    <row r="105" spans="2:9" x14ac:dyDescent="0.25">
      <c r="B105" s="1493"/>
      <c r="C105" s="1267"/>
      <c r="D105" s="1267"/>
      <c r="E105" s="1267"/>
      <c r="F105" s="1267"/>
      <c r="G105" s="1267"/>
      <c r="H105" s="1267"/>
      <c r="I105" s="1267"/>
    </row>
    <row r="106" spans="2:9" x14ac:dyDescent="0.25">
      <c r="B106" s="1493"/>
      <c r="C106" s="1267"/>
      <c r="D106" s="1267"/>
      <c r="E106" s="1267"/>
      <c r="F106" s="1267"/>
      <c r="G106" s="1267"/>
      <c r="H106" s="1267"/>
      <c r="I106" s="1267"/>
    </row>
    <row r="107" spans="2:9" x14ac:dyDescent="0.25">
      <c r="B107" s="1493"/>
      <c r="C107" s="1267"/>
      <c r="D107" s="1267"/>
      <c r="E107" s="1267"/>
      <c r="F107" s="1267"/>
      <c r="G107" s="1267"/>
      <c r="H107" s="1267"/>
      <c r="I107" s="1267"/>
    </row>
    <row r="108" spans="2:9" x14ac:dyDescent="0.25">
      <c r="B108" s="1493"/>
      <c r="C108" s="1267"/>
      <c r="D108" s="1267"/>
      <c r="E108" s="1267"/>
      <c r="F108" s="1267"/>
      <c r="G108" s="1267"/>
      <c r="H108" s="1267"/>
      <c r="I108" s="1267"/>
    </row>
  </sheetData>
  <sheetProtection formatCells="0" formatColumns="0" formatRows="0"/>
  <mergeCells count="19">
    <mergeCell ref="C26:G26"/>
    <mergeCell ref="C13:G13"/>
    <mergeCell ref="C16:G16"/>
    <mergeCell ref="C17:G17"/>
    <mergeCell ref="C18:G18"/>
    <mergeCell ref="C19:G19"/>
    <mergeCell ref="C20:G20"/>
    <mergeCell ref="C21:G21"/>
    <mergeCell ref="C22:G22"/>
    <mergeCell ref="C23:G23"/>
    <mergeCell ref="C24:G24"/>
    <mergeCell ref="C25:G25"/>
    <mergeCell ref="C81:G81"/>
    <mergeCell ref="C27:G27"/>
    <mergeCell ref="C31:C32"/>
    <mergeCell ref="D31:E31"/>
    <mergeCell ref="F31:G31"/>
    <mergeCell ref="C68:G68"/>
    <mergeCell ref="C69:G69"/>
  </mergeCells>
  <pageMargins left="0.5" right="0.5" top="0.5" bottom="0.5" header="0.5" footer="0.5"/>
  <pageSetup scale="55" fitToHeight="0" orientation="portrait" r:id="rId1"/>
  <headerFooter alignWithMargins="0"/>
  <rowBreaks count="1" manualBreakCount="1">
    <brk id="64" max="16383" man="1"/>
  </row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2:M69"/>
  <sheetViews>
    <sheetView showGridLines="0" topLeftCell="D31" workbookViewId="0">
      <selection activeCell="K33" sqref="K33"/>
    </sheetView>
  </sheetViews>
  <sheetFormatPr defaultColWidth="8.85546875" defaultRowHeight="16.5" x14ac:dyDescent="0.3"/>
  <cols>
    <col min="1" max="1" width="3.7109375" style="1" customWidth="1"/>
    <col min="2" max="2" width="7.5703125" style="1" bestFit="1" customWidth="1"/>
    <col min="3" max="3" width="44.140625" style="1" bestFit="1" customWidth="1"/>
    <col min="4" max="4" width="22.28515625" style="1" bestFit="1" customWidth="1"/>
    <col min="5" max="6" width="17.42578125" style="1" bestFit="1" customWidth="1"/>
    <col min="7" max="8" width="17.28515625" style="1" bestFit="1" customWidth="1"/>
    <col min="9" max="9" width="8.85546875" style="1"/>
    <col min="10" max="10" width="37" style="1" bestFit="1" customWidth="1"/>
    <col min="11" max="12" width="17.28515625" style="1" bestFit="1" customWidth="1"/>
    <col min="13" max="13" width="33.7109375" style="1" customWidth="1"/>
    <col min="14" max="16384" width="8.85546875" style="1"/>
  </cols>
  <sheetData>
    <row r="2" spans="2:3" x14ac:dyDescent="0.3">
      <c r="B2" s="1812" t="s">
        <v>3790</v>
      </c>
    </row>
    <row r="4" spans="2:3" x14ac:dyDescent="0.3">
      <c r="B4" s="2590">
        <v>1</v>
      </c>
      <c r="C4" s="1812" t="s">
        <v>3310</v>
      </c>
    </row>
    <row r="5" spans="2:3" x14ac:dyDescent="0.3">
      <c r="B5" s="333"/>
    </row>
    <row r="6" spans="2:3" x14ac:dyDescent="0.3">
      <c r="B6" s="2590" t="s">
        <v>3311</v>
      </c>
      <c r="C6" s="1812" t="s">
        <v>3312</v>
      </c>
    </row>
    <row r="7" spans="2:3" x14ac:dyDescent="0.3">
      <c r="B7" s="333"/>
      <c r="C7" s="4"/>
    </row>
    <row r="8" spans="2:3" x14ac:dyDescent="0.3">
      <c r="B8" s="2589" t="s">
        <v>478</v>
      </c>
      <c r="C8" s="29" t="s">
        <v>3301</v>
      </c>
    </row>
    <row r="9" spans="2:3" x14ac:dyDescent="0.3">
      <c r="B9" s="2589" t="s">
        <v>1623</v>
      </c>
      <c r="C9" s="29" t="s">
        <v>3302</v>
      </c>
    </row>
    <row r="10" spans="2:3" x14ac:dyDescent="0.3">
      <c r="B10" s="333"/>
    </row>
    <row r="11" spans="2:3" x14ac:dyDescent="0.3">
      <c r="B11" s="2590" t="s">
        <v>3313</v>
      </c>
      <c r="C11" s="1812" t="s">
        <v>3314</v>
      </c>
    </row>
    <row r="12" spans="2:3" x14ac:dyDescent="0.3">
      <c r="B12" s="2590"/>
      <c r="C12" s="1812"/>
    </row>
    <row r="13" spans="2:3" x14ac:dyDescent="0.3">
      <c r="B13" s="2589" t="s">
        <v>3315</v>
      </c>
      <c r="C13" s="29" t="s">
        <v>3303</v>
      </c>
    </row>
    <row r="14" spans="2:3" x14ac:dyDescent="0.3">
      <c r="B14" s="2589" t="s">
        <v>3316</v>
      </c>
      <c r="C14" s="29" t="s">
        <v>3304</v>
      </c>
    </row>
    <row r="15" spans="2:3" x14ac:dyDescent="0.3">
      <c r="B15" s="2589" t="s">
        <v>3317</v>
      </c>
      <c r="C15" s="29" t="s">
        <v>3305</v>
      </c>
    </row>
    <row r="16" spans="2:3" x14ac:dyDescent="0.3">
      <c r="B16" s="2589" t="s">
        <v>3318</v>
      </c>
      <c r="C16" s="29" t="s">
        <v>3306</v>
      </c>
    </row>
    <row r="17" spans="2:13" x14ac:dyDescent="0.3">
      <c r="B17" s="2589" t="s">
        <v>3319</v>
      </c>
      <c r="C17" s="29" t="s">
        <v>2534</v>
      </c>
    </row>
    <row r="18" spans="2:13" x14ac:dyDescent="0.3">
      <c r="B18" s="2589" t="s">
        <v>3320</v>
      </c>
      <c r="C18" s="29" t="s">
        <v>2217</v>
      </c>
    </row>
    <row r="19" spans="2:13" x14ac:dyDescent="0.3">
      <c r="B19" s="333"/>
    </row>
    <row r="20" spans="2:13" x14ac:dyDescent="0.3">
      <c r="B20" s="2590" t="s">
        <v>3321</v>
      </c>
      <c r="C20" s="1812" t="s">
        <v>3322</v>
      </c>
    </row>
    <row r="21" spans="2:13" x14ac:dyDescent="0.3">
      <c r="B21" s="2590"/>
      <c r="C21" s="1812"/>
    </row>
    <row r="22" spans="2:13" x14ac:dyDescent="0.3">
      <c r="B22" s="2589" t="s">
        <v>3315</v>
      </c>
      <c r="C22" s="29" t="s">
        <v>3307</v>
      </c>
    </row>
    <row r="23" spans="2:13" x14ac:dyDescent="0.3">
      <c r="B23" s="2589" t="s">
        <v>3316</v>
      </c>
      <c r="C23" s="29" t="s">
        <v>3308</v>
      </c>
    </row>
    <row r="25" spans="2:13" x14ac:dyDescent="0.3">
      <c r="B25" s="2597" t="s">
        <v>3780</v>
      </c>
      <c r="C25" s="1813" t="s">
        <v>20</v>
      </c>
      <c r="D25" s="1813" t="s">
        <v>3323</v>
      </c>
      <c r="E25" s="1813" t="s">
        <v>3324</v>
      </c>
      <c r="F25" s="1813" t="s">
        <v>3325</v>
      </c>
      <c r="G25" s="1813" t="s">
        <v>3778</v>
      </c>
      <c r="H25" s="1813" t="s">
        <v>3779</v>
      </c>
    </row>
    <row r="26" spans="2:13" x14ac:dyDescent="0.3">
      <c r="B26" s="2592"/>
      <c r="C26" s="1713"/>
      <c r="D26" s="2592"/>
      <c r="E26" s="1713"/>
      <c r="F26" s="1713"/>
      <c r="G26" s="1713"/>
      <c r="H26" s="1713"/>
    </row>
    <row r="27" spans="2:13" x14ac:dyDescent="0.3">
      <c r="B27" s="2596" t="s">
        <v>3447</v>
      </c>
      <c r="C27" s="2591" t="s">
        <v>3326</v>
      </c>
      <c r="D27" s="2592"/>
      <c r="E27" s="183"/>
      <c r="F27" s="183"/>
      <c r="G27" s="183"/>
      <c r="H27" s="183"/>
    </row>
    <row r="28" spans="2:13" x14ac:dyDescent="0.3">
      <c r="B28" s="2596"/>
      <c r="C28" s="2591"/>
      <c r="D28" s="2592"/>
      <c r="E28" s="183"/>
      <c r="F28" s="183"/>
      <c r="G28" s="183"/>
      <c r="H28" s="183"/>
    </row>
    <row r="29" spans="2:13" x14ac:dyDescent="0.3">
      <c r="B29" s="2596" t="s">
        <v>180</v>
      </c>
      <c r="C29" s="2591" t="s">
        <v>3327</v>
      </c>
      <c r="D29" s="2592"/>
      <c r="E29" s="183"/>
      <c r="F29" s="183"/>
      <c r="G29" s="183"/>
      <c r="H29" s="183"/>
    </row>
    <row r="30" spans="2:13" x14ac:dyDescent="0.3">
      <c r="B30" s="2592"/>
      <c r="C30" s="1713"/>
      <c r="D30" s="2592"/>
      <c r="E30" s="183"/>
      <c r="F30" s="183"/>
      <c r="G30" s="183"/>
      <c r="H30" s="183"/>
      <c r="J30" s="1812" t="s">
        <v>3345</v>
      </c>
    </row>
    <row r="31" spans="2:13" x14ac:dyDescent="0.3">
      <c r="B31" s="2594" t="s">
        <v>478</v>
      </c>
      <c r="C31" s="398" t="s">
        <v>3304</v>
      </c>
      <c r="D31" s="2594" t="s">
        <v>3328</v>
      </c>
      <c r="E31" s="2595">
        <v>37025009.079999998</v>
      </c>
      <c r="F31" s="2595">
        <v>45923200</v>
      </c>
      <c r="G31" s="398"/>
      <c r="H31" s="398"/>
    </row>
    <row r="32" spans="2:13" x14ac:dyDescent="0.3">
      <c r="B32" s="2592" t="s">
        <v>1623</v>
      </c>
      <c r="C32" s="183" t="s">
        <v>3329</v>
      </c>
      <c r="D32" s="2592" t="s">
        <v>3330</v>
      </c>
      <c r="E32" s="2577">
        <v>0</v>
      </c>
      <c r="F32" s="2577">
        <v>0</v>
      </c>
      <c r="G32" s="183"/>
      <c r="H32" s="183"/>
      <c r="J32" s="1813" t="s">
        <v>20</v>
      </c>
      <c r="K32" s="1813" t="s">
        <v>3347</v>
      </c>
      <c r="L32" s="1813" t="s">
        <v>3348</v>
      </c>
      <c r="M32" s="1813" t="s">
        <v>3234</v>
      </c>
    </row>
    <row r="33" spans="2:13" x14ac:dyDescent="0.3">
      <c r="B33" s="2592" t="s">
        <v>1624</v>
      </c>
      <c r="C33" s="183" t="s">
        <v>3331</v>
      </c>
      <c r="D33" s="2592" t="s">
        <v>3330</v>
      </c>
      <c r="E33" s="2577">
        <v>83724.009999999995</v>
      </c>
      <c r="F33" s="2577">
        <v>0</v>
      </c>
      <c r="G33" s="183"/>
      <c r="H33" s="183"/>
      <c r="J33" s="390" t="s">
        <v>3784</v>
      </c>
      <c r="K33" s="2588">
        <f>+G35+G43+G63</f>
        <v>48426869.359999999</v>
      </c>
      <c r="L33" s="2588">
        <f>+H35+H43+H68</f>
        <v>76298600</v>
      </c>
      <c r="M33" s="29" t="s">
        <v>3785</v>
      </c>
    </row>
    <row r="34" spans="2:13" x14ac:dyDescent="0.3">
      <c r="B34" s="2592" t="s">
        <v>1625</v>
      </c>
      <c r="C34" s="183" t="s">
        <v>3305</v>
      </c>
      <c r="D34" s="2592" t="s">
        <v>3332</v>
      </c>
      <c r="E34" s="2577">
        <v>0</v>
      </c>
      <c r="F34" s="2577">
        <v>0</v>
      </c>
      <c r="G34" s="183"/>
      <c r="H34" s="183"/>
      <c r="J34" s="390" t="s">
        <v>3786</v>
      </c>
      <c r="K34" s="2588">
        <f>+K33/100</f>
        <v>484268.6936</v>
      </c>
      <c r="L34" s="2588">
        <f>+L33/100</f>
        <v>762986</v>
      </c>
      <c r="M34" s="29"/>
    </row>
    <row r="35" spans="2:13" x14ac:dyDescent="0.3">
      <c r="B35" s="2592" t="s">
        <v>3781</v>
      </c>
      <c r="C35" s="183" t="s">
        <v>2217</v>
      </c>
      <c r="D35" s="2592" t="s">
        <v>3333</v>
      </c>
      <c r="E35" s="2577">
        <v>0</v>
      </c>
      <c r="F35" s="2577">
        <v>7282400</v>
      </c>
      <c r="G35" s="2577">
        <f>+SUM(E31:E35)</f>
        <v>37108733.089999996</v>
      </c>
      <c r="H35" s="1811">
        <f>+SUM(F31:F35)</f>
        <v>53205600</v>
      </c>
    </row>
    <row r="36" spans="2:13" x14ac:dyDescent="0.3">
      <c r="B36" s="2592" t="s">
        <v>3782</v>
      </c>
      <c r="C36" s="183" t="s">
        <v>3306</v>
      </c>
      <c r="D36" s="2592"/>
      <c r="E36" s="2577">
        <v>0</v>
      </c>
      <c r="F36" s="2577">
        <v>0</v>
      </c>
      <c r="G36" s="2577"/>
      <c r="H36" s="1811"/>
      <c r="J36" s="1812" t="s">
        <v>3346</v>
      </c>
    </row>
    <row r="37" spans="2:13" x14ac:dyDescent="0.3">
      <c r="B37" s="2593" t="s">
        <v>3783</v>
      </c>
      <c r="C37" s="184" t="s">
        <v>2534</v>
      </c>
      <c r="D37" s="2593"/>
      <c r="E37" s="2307">
        <v>0</v>
      </c>
      <c r="F37" s="2307">
        <v>0</v>
      </c>
      <c r="G37" s="2307"/>
      <c r="H37" s="2587"/>
    </row>
    <row r="38" spans="2:13" x14ac:dyDescent="0.3">
      <c r="B38" s="2592"/>
      <c r="C38" s="183"/>
      <c r="D38" s="2592"/>
      <c r="E38" s="183"/>
      <c r="F38" s="2577"/>
      <c r="G38" s="183"/>
      <c r="H38" s="183"/>
      <c r="J38" s="1813" t="s">
        <v>20</v>
      </c>
      <c r="K38" s="1813" t="s">
        <v>3347</v>
      </c>
      <c r="L38" s="1813" t="s">
        <v>3348</v>
      </c>
      <c r="M38" s="1813" t="s">
        <v>3234</v>
      </c>
    </row>
    <row r="39" spans="2:13" x14ac:dyDescent="0.3">
      <c r="B39" s="2596" t="s">
        <v>9</v>
      </c>
      <c r="C39" s="2591" t="s">
        <v>3334</v>
      </c>
      <c r="D39" s="2592"/>
      <c r="E39" s="183"/>
      <c r="F39" s="2577"/>
      <c r="G39" s="183"/>
      <c r="H39" s="183"/>
      <c r="J39" s="390" t="s">
        <v>3787</v>
      </c>
      <c r="K39" s="2598">
        <f>+G51+E59</f>
        <v>46600233.549999997</v>
      </c>
      <c r="L39" s="2598">
        <f>+H51</f>
        <v>47691900</v>
      </c>
      <c r="M39" s="29" t="s">
        <v>3773</v>
      </c>
    </row>
    <row r="40" spans="2:13" x14ac:dyDescent="0.3">
      <c r="B40" s="2592" t="s">
        <v>478</v>
      </c>
      <c r="C40" s="183" t="s">
        <v>3329</v>
      </c>
      <c r="D40" s="2592" t="s">
        <v>3335</v>
      </c>
      <c r="E40" s="2577">
        <v>374720.19000000006</v>
      </c>
      <c r="F40" s="2577">
        <v>204300</v>
      </c>
      <c r="G40" s="183"/>
      <c r="H40" s="183"/>
      <c r="J40" s="390" t="s">
        <v>3788</v>
      </c>
      <c r="K40" s="2598">
        <f>+G55</f>
        <v>206108829.28999999</v>
      </c>
      <c r="L40" s="2598">
        <f>+H55</f>
        <v>176168500</v>
      </c>
      <c r="M40" s="29" t="s">
        <v>3774</v>
      </c>
    </row>
    <row r="41" spans="2:13" x14ac:dyDescent="0.3">
      <c r="B41" s="2592" t="s">
        <v>1623</v>
      </c>
      <c r="C41" s="183" t="s">
        <v>3305</v>
      </c>
      <c r="D41" s="2592" t="s">
        <v>3332</v>
      </c>
      <c r="E41" s="2577">
        <v>10277214.050000001</v>
      </c>
      <c r="F41" s="2577">
        <v>18169400</v>
      </c>
      <c r="G41" s="183"/>
      <c r="H41" s="183"/>
      <c r="J41" s="390" t="s">
        <v>3786</v>
      </c>
      <c r="K41" s="2588">
        <f>+K39/100</f>
        <v>466002.33549999999</v>
      </c>
      <c r="L41" s="2588">
        <f>+L39/100</f>
        <v>476919</v>
      </c>
      <c r="M41" s="29"/>
    </row>
    <row r="42" spans="2:13" x14ac:dyDescent="0.3">
      <c r="B42" s="2592" t="s">
        <v>1624</v>
      </c>
      <c r="C42" s="183" t="s">
        <v>2217</v>
      </c>
      <c r="D42" s="2592" t="s">
        <v>3333</v>
      </c>
      <c r="E42" s="2577">
        <v>0</v>
      </c>
      <c r="F42" s="2577">
        <v>109900</v>
      </c>
      <c r="G42" s="183"/>
      <c r="H42" s="183"/>
      <c r="J42" s="390" t="s">
        <v>3786</v>
      </c>
      <c r="K42" s="2588">
        <f>+K40/100</f>
        <v>2061088.2929</v>
      </c>
      <c r="L42" s="2588">
        <f>+L40/100</f>
        <v>1761685</v>
      </c>
      <c r="M42" s="29"/>
    </row>
    <row r="43" spans="2:13" x14ac:dyDescent="0.3">
      <c r="B43" s="2592" t="s">
        <v>1625</v>
      </c>
      <c r="C43" s="183" t="s">
        <v>3306</v>
      </c>
      <c r="D43" s="2592" t="s">
        <v>3335</v>
      </c>
      <c r="E43" s="2577">
        <v>666202.03</v>
      </c>
      <c r="F43" s="2577">
        <v>0</v>
      </c>
      <c r="G43" s="1811">
        <f>+SUM(E40:E43)</f>
        <v>11318136.27</v>
      </c>
      <c r="H43" s="1811">
        <f>+SUM(F40:F43)</f>
        <v>18483600</v>
      </c>
      <c r="J43" s="390" t="s">
        <v>3789</v>
      </c>
      <c r="K43" s="2588">
        <f>+SUM(K41:K42)</f>
        <v>2527090.6283999998</v>
      </c>
      <c r="L43" s="2588">
        <f>+SUM(L41:L42)</f>
        <v>2238604</v>
      </c>
      <c r="M43" s="29"/>
    </row>
    <row r="44" spans="2:13" x14ac:dyDescent="0.3">
      <c r="B44" s="2593"/>
      <c r="C44" s="184"/>
      <c r="D44" s="2593"/>
      <c r="E44" s="184"/>
      <c r="F44" s="2307"/>
      <c r="G44" s="184"/>
      <c r="H44" s="184"/>
    </row>
    <row r="45" spans="2:13" x14ac:dyDescent="0.3">
      <c r="B45" s="2592"/>
      <c r="C45" s="183"/>
      <c r="D45" s="2592"/>
      <c r="E45" s="183"/>
      <c r="F45" s="2577"/>
      <c r="G45" s="183"/>
      <c r="H45" s="183"/>
    </row>
    <row r="46" spans="2:13" x14ac:dyDescent="0.3">
      <c r="B46" s="2596" t="s">
        <v>3369</v>
      </c>
      <c r="C46" s="2591" t="s">
        <v>3336</v>
      </c>
      <c r="D46" s="2592"/>
      <c r="E46" s="183"/>
      <c r="F46" s="2577"/>
      <c r="G46" s="183"/>
      <c r="H46" s="183"/>
    </row>
    <row r="47" spans="2:13" x14ac:dyDescent="0.3">
      <c r="B47" s="2592" t="s">
        <v>478</v>
      </c>
      <c r="C47" s="183" t="s">
        <v>3306</v>
      </c>
      <c r="D47" s="2592" t="s">
        <v>3335</v>
      </c>
      <c r="E47" s="1811">
        <v>104856.01000000001</v>
      </c>
      <c r="F47" s="2577">
        <v>316000</v>
      </c>
      <c r="G47" s="183"/>
      <c r="H47" s="183"/>
    </row>
    <row r="48" spans="2:13" x14ac:dyDescent="0.3">
      <c r="B48" s="2592" t="s">
        <v>1623</v>
      </c>
      <c r="C48" s="183" t="s">
        <v>2534</v>
      </c>
      <c r="D48" s="2592" t="s">
        <v>3337</v>
      </c>
      <c r="E48" s="1811">
        <v>35926153.149999999</v>
      </c>
      <c r="F48" s="2577">
        <v>32700000</v>
      </c>
      <c r="G48" s="183"/>
      <c r="H48" s="183"/>
    </row>
    <row r="49" spans="2:8" x14ac:dyDescent="0.3">
      <c r="B49" s="2592" t="s">
        <v>1624</v>
      </c>
      <c r="C49" s="183" t="s">
        <v>3305</v>
      </c>
      <c r="D49" s="2592" t="s">
        <v>3332</v>
      </c>
      <c r="E49" s="1811">
        <v>9942488.6999999993</v>
      </c>
      <c r="F49" s="2577">
        <v>14675900</v>
      </c>
      <c r="G49" s="183"/>
      <c r="H49" s="183"/>
    </row>
    <row r="50" spans="2:8" x14ac:dyDescent="0.3">
      <c r="B50" s="2592" t="s">
        <v>1625</v>
      </c>
      <c r="C50" s="183" t="s">
        <v>3329</v>
      </c>
      <c r="D50" s="2592" t="s">
        <v>3330</v>
      </c>
      <c r="E50" s="2577">
        <v>0</v>
      </c>
      <c r="F50" s="2577">
        <v>0</v>
      </c>
      <c r="G50" s="183"/>
      <c r="H50" s="183"/>
    </row>
    <row r="51" spans="2:8" x14ac:dyDescent="0.3">
      <c r="B51" s="2592" t="s">
        <v>3781</v>
      </c>
      <c r="C51" s="183" t="s">
        <v>3304</v>
      </c>
      <c r="D51" s="2592" t="s">
        <v>3328</v>
      </c>
      <c r="E51" s="1811">
        <v>314289.89</v>
      </c>
      <c r="F51" s="2577">
        <v>0</v>
      </c>
      <c r="G51" s="1811">
        <f>+SUM(E47:E52)</f>
        <v>46490286.75</v>
      </c>
      <c r="H51" s="1811">
        <f>+SUM(F47:F51)</f>
        <v>47691900</v>
      </c>
    </row>
    <row r="52" spans="2:8" x14ac:dyDescent="0.3">
      <c r="B52" s="2592"/>
      <c r="C52" s="183" t="s">
        <v>2217</v>
      </c>
      <c r="D52" s="2592"/>
      <c r="E52" s="1811">
        <v>202499</v>
      </c>
      <c r="F52" s="2577"/>
      <c r="G52" s="1811"/>
      <c r="H52" s="1811"/>
    </row>
    <row r="53" spans="2:8" x14ac:dyDescent="0.3">
      <c r="B53" s="2593"/>
      <c r="C53" s="184"/>
      <c r="D53" s="2593"/>
      <c r="E53" s="184"/>
      <c r="F53" s="2307"/>
      <c r="G53" s="184"/>
      <c r="H53" s="184"/>
    </row>
    <row r="54" spans="2:8" x14ac:dyDescent="0.3">
      <c r="B54" s="2596" t="s">
        <v>3374</v>
      </c>
      <c r="C54" s="2591" t="s">
        <v>3338</v>
      </c>
      <c r="D54" s="2592"/>
      <c r="E54" s="183"/>
      <c r="F54" s="2577"/>
      <c r="G54" s="183"/>
      <c r="H54" s="183"/>
    </row>
    <row r="55" spans="2:8" x14ac:dyDescent="0.3">
      <c r="B55" s="2592" t="s">
        <v>478</v>
      </c>
      <c r="C55" s="183" t="s">
        <v>3339</v>
      </c>
      <c r="D55" s="2592" t="s">
        <v>3332</v>
      </c>
      <c r="E55" s="2577">
        <v>206108829.28999999</v>
      </c>
      <c r="F55" s="2577">
        <v>176168500</v>
      </c>
      <c r="G55" s="1811">
        <f>+E55</f>
        <v>206108829.28999999</v>
      </c>
      <c r="H55" s="1811">
        <f>+F55</f>
        <v>176168500</v>
      </c>
    </row>
    <row r="56" spans="2:8" x14ac:dyDescent="0.3">
      <c r="B56" s="2593"/>
      <c r="C56" s="184"/>
      <c r="D56" s="2593"/>
      <c r="E56" s="184"/>
      <c r="F56" s="2307"/>
      <c r="G56" s="184"/>
      <c r="H56" s="184"/>
    </row>
    <row r="57" spans="2:8" x14ac:dyDescent="0.3">
      <c r="B57" s="2592" t="s">
        <v>3380</v>
      </c>
      <c r="C57" s="2591" t="s">
        <v>752</v>
      </c>
      <c r="D57" s="2592"/>
      <c r="E57" s="183"/>
      <c r="F57" s="2577"/>
      <c r="G57" s="183"/>
      <c r="H57" s="183"/>
    </row>
    <row r="58" spans="2:8" x14ac:dyDescent="0.3">
      <c r="B58" s="2592"/>
      <c r="D58" s="2592"/>
      <c r="E58" s="183"/>
      <c r="F58" s="2577"/>
      <c r="G58" s="183"/>
      <c r="H58" s="183"/>
    </row>
    <row r="59" spans="2:8" x14ac:dyDescent="0.3">
      <c r="B59" s="2592"/>
      <c r="C59" s="183" t="s">
        <v>2217</v>
      </c>
      <c r="D59" s="2592"/>
      <c r="E59" s="1784">
        <v>109946.8</v>
      </c>
      <c r="F59" s="2577"/>
      <c r="G59" s="183"/>
      <c r="H59" s="183"/>
    </row>
    <row r="60" spans="2:8" x14ac:dyDescent="0.3">
      <c r="B60" s="2593"/>
      <c r="C60" s="184"/>
      <c r="D60" s="2593"/>
      <c r="E60" s="184"/>
      <c r="F60" s="2307"/>
      <c r="G60" s="184"/>
      <c r="H60" s="184"/>
    </row>
    <row r="61" spans="2:8" hidden="1" x14ac:dyDescent="0.3">
      <c r="B61" s="2593"/>
      <c r="C61" s="184"/>
      <c r="D61" s="2593"/>
      <c r="E61" s="184"/>
      <c r="F61" s="2307"/>
      <c r="G61" s="184"/>
      <c r="H61" s="184"/>
    </row>
    <row r="62" spans="2:8" hidden="1" x14ac:dyDescent="0.3">
      <c r="B62" s="2596" t="s">
        <v>3380</v>
      </c>
      <c r="C62" s="2591" t="s">
        <v>2517</v>
      </c>
      <c r="D62" s="2592"/>
      <c r="E62" s="183"/>
      <c r="F62" s="2577"/>
      <c r="G62" s="183"/>
      <c r="H62" s="183"/>
    </row>
    <row r="63" spans="2:8" hidden="1" x14ac:dyDescent="0.3">
      <c r="B63" s="2592" t="s">
        <v>478</v>
      </c>
      <c r="C63" s="183" t="s">
        <v>3304</v>
      </c>
      <c r="D63" s="2592" t="s">
        <v>3335</v>
      </c>
      <c r="E63" s="1811">
        <v>0</v>
      </c>
      <c r="F63" s="2577">
        <v>0</v>
      </c>
      <c r="G63" s="1811">
        <f>+E63</f>
        <v>0</v>
      </c>
      <c r="H63" s="1811">
        <f>+F63</f>
        <v>0</v>
      </c>
    </row>
    <row r="64" spans="2:8" hidden="1" x14ac:dyDescent="0.3">
      <c r="B64" s="2593"/>
      <c r="C64" s="184"/>
      <c r="D64" s="2593"/>
      <c r="E64" s="184"/>
      <c r="F64" s="2307"/>
      <c r="G64" s="184"/>
      <c r="H64" s="184"/>
    </row>
    <row r="65" spans="2:8" x14ac:dyDescent="0.3">
      <c r="B65" s="2596" t="s">
        <v>3385</v>
      </c>
      <c r="C65" s="2591" t="s">
        <v>3340</v>
      </c>
      <c r="D65" s="2592"/>
      <c r="E65" s="183"/>
      <c r="F65" s="2577"/>
      <c r="G65" s="183"/>
      <c r="H65" s="183"/>
    </row>
    <row r="66" spans="2:8" x14ac:dyDescent="0.3">
      <c r="B66" s="2596"/>
      <c r="C66" s="2591" t="s">
        <v>3341</v>
      </c>
      <c r="D66" s="2592"/>
      <c r="E66" s="183"/>
      <c r="F66" s="2577"/>
      <c r="G66" s="183"/>
      <c r="H66" s="183"/>
    </row>
    <row r="67" spans="2:8" x14ac:dyDescent="0.3">
      <c r="B67" s="2596"/>
      <c r="C67" s="2591" t="s">
        <v>3308</v>
      </c>
      <c r="D67" s="2592" t="s">
        <v>3342</v>
      </c>
      <c r="E67" s="183"/>
      <c r="F67" s="2577"/>
      <c r="G67" s="183"/>
      <c r="H67" s="183"/>
    </row>
    <row r="68" spans="2:8" x14ac:dyDescent="0.3">
      <c r="B68" s="2592"/>
      <c r="C68" s="183" t="s">
        <v>3343</v>
      </c>
      <c r="D68" s="2592"/>
      <c r="E68" s="1811">
        <v>4687453</v>
      </c>
      <c r="F68" s="2577">
        <v>4250000</v>
      </c>
      <c r="G68" s="1811">
        <f>+E68</f>
        <v>4687453</v>
      </c>
      <c r="H68" s="1811">
        <f>+F68+F69</f>
        <v>4609400</v>
      </c>
    </row>
    <row r="69" spans="2:8" x14ac:dyDescent="0.3">
      <c r="B69" s="2593"/>
      <c r="C69" s="184" t="s">
        <v>3344</v>
      </c>
      <c r="D69" s="2593"/>
      <c r="E69" s="2307">
        <v>0</v>
      </c>
      <c r="F69" s="2307">
        <v>359400</v>
      </c>
      <c r="G69" s="2587"/>
      <c r="H69" s="258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2:K19"/>
  <sheetViews>
    <sheetView showGridLines="0" workbookViewId="0"/>
  </sheetViews>
  <sheetFormatPr defaultColWidth="9.140625" defaultRowHeight="16.5" x14ac:dyDescent="0.3"/>
  <cols>
    <col min="1" max="1" width="9.140625" style="1"/>
    <col min="2" max="2" width="49.7109375" style="1" bestFit="1" customWidth="1"/>
    <col min="3" max="3" width="22.28515625" style="1" bestFit="1" customWidth="1"/>
    <col min="4" max="4" width="31.42578125" style="1" bestFit="1" customWidth="1"/>
    <col min="5" max="5" width="38.85546875" style="1" bestFit="1" customWidth="1"/>
    <col min="6" max="6" width="35.42578125" style="1" bestFit="1" customWidth="1"/>
    <col min="7" max="7" width="13.140625" style="1" bestFit="1" customWidth="1"/>
    <col min="8" max="10" width="9.140625" style="1"/>
    <col min="11" max="11" width="16.28515625" style="1" bestFit="1" customWidth="1"/>
    <col min="12" max="16384" width="9.140625" style="1"/>
  </cols>
  <sheetData>
    <row r="2" spans="2:11" x14ac:dyDescent="0.3">
      <c r="B2" s="4" t="s">
        <v>3791</v>
      </c>
    </row>
    <row r="4" spans="2:11" x14ac:dyDescent="0.3">
      <c r="B4" s="1812" t="s">
        <v>3347</v>
      </c>
    </row>
    <row r="5" spans="2:11" x14ac:dyDescent="0.3">
      <c r="B5" s="4"/>
    </row>
    <row r="6" spans="2:11" x14ac:dyDescent="0.3">
      <c r="B6" s="1813" t="s">
        <v>3555</v>
      </c>
      <c r="C6" s="1813" t="s">
        <v>3556</v>
      </c>
      <c r="D6" s="1813" t="s">
        <v>3557</v>
      </c>
      <c r="E6" s="1813" t="s">
        <v>3558</v>
      </c>
    </row>
    <row r="7" spans="2:11" x14ac:dyDescent="0.3">
      <c r="B7" s="183" t="s">
        <v>2532</v>
      </c>
      <c r="C7" s="183" t="s">
        <v>3559</v>
      </c>
      <c r="D7" s="1811">
        <v>40004404.979999997</v>
      </c>
      <c r="E7" s="2577">
        <f>+D7/100</f>
        <v>400044.04979999998</v>
      </c>
      <c r="K7" s="179"/>
    </row>
    <row r="8" spans="2:11" x14ac:dyDescent="0.3">
      <c r="B8" s="183" t="s">
        <v>2532</v>
      </c>
      <c r="C8" s="183" t="s">
        <v>3560</v>
      </c>
      <c r="D8" s="1811">
        <v>-5968271.2300000004</v>
      </c>
      <c r="E8" s="2577">
        <f>+D8/100</f>
        <v>-59682.712300000007</v>
      </c>
      <c r="K8" s="179"/>
    </row>
    <row r="9" spans="2:11" ht="33" x14ac:dyDescent="0.3">
      <c r="B9" s="2586" t="s">
        <v>3052</v>
      </c>
      <c r="C9" s="184" t="s">
        <v>3560</v>
      </c>
      <c r="D9" s="2587">
        <v>-4223881.53</v>
      </c>
      <c r="E9" s="2307">
        <f>+D9/100</f>
        <v>-42238.815300000002</v>
      </c>
      <c r="K9" s="179"/>
    </row>
    <row r="12" spans="2:11" x14ac:dyDescent="0.3">
      <c r="B12" s="1812" t="s">
        <v>3348</v>
      </c>
    </row>
    <row r="13" spans="2:11" x14ac:dyDescent="0.3">
      <c r="B13" s="4"/>
    </row>
    <row r="14" spans="2:11" x14ac:dyDescent="0.3">
      <c r="B14" s="2505" t="s">
        <v>3555</v>
      </c>
      <c r="C14" s="2505" t="s">
        <v>3556</v>
      </c>
      <c r="D14" s="2505" t="s">
        <v>3561</v>
      </c>
      <c r="E14" s="2505" t="s">
        <v>3558</v>
      </c>
    </row>
    <row r="15" spans="2:11" x14ac:dyDescent="0.3">
      <c r="B15" s="1784" t="s">
        <v>2217</v>
      </c>
      <c r="C15" s="1784" t="s">
        <v>3560</v>
      </c>
      <c r="D15" s="1784">
        <v>-690521.39</v>
      </c>
      <c r="E15" s="1784">
        <f>+D15/100</f>
        <v>-6905.2138999999997</v>
      </c>
    </row>
    <row r="16" spans="2:11" x14ac:dyDescent="0.3">
      <c r="B16" s="1784" t="s">
        <v>2219</v>
      </c>
      <c r="C16" s="1784" t="s">
        <v>3560</v>
      </c>
      <c r="D16" s="1784">
        <v>-109946.8</v>
      </c>
      <c r="E16" s="1784">
        <f t="shared" ref="E16:E19" si="0">+D16/100</f>
        <v>-1099.4680000000001</v>
      </c>
    </row>
    <row r="17" spans="2:5" x14ac:dyDescent="0.3">
      <c r="B17" s="1784" t="s">
        <v>2528</v>
      </c>
      <c r="C17" s="1784" t="s">
        <v>3560</v>
      </c>
      <c r="D17" s="1784">
        <v>-157736.71</v>
      </c>
      <c r="E17" s="1784">
        <f t="shared" si="0"/>
        <v>-1577.3670999999999</v>
      </c>
    </row>
    <row r="18" spans="2:5" x14ac:dyDescent="0.3">
      <c r="B18" s="1784" t="s">
        <v>2529</v>
      </c>
      <c r="C18" s="1784" t="s">
        <v>3559</v>
      </c>
      <c r="D18" s="1784">
        <v>13484.35</v>
      </c>
      <c r="E18" s="1784">
        <f t="shared" si="0"/>
        <v>134.84350000000001</v>
      </c>
    </row>
    <row r="19" spans="2:5" x14ac:dyDescent="0.3">
      <c r="B19" s="2296" t="s">
        <v>2532</v>
      </c>
      <c r="C19" s="2296" t="s">
        <v>3559</v>
      </c>
      <c r="D19" s="2296">
        <v>26544026.890000001</v>
      </c>
      <c r="E19" s="2296">
        <f t="shared" si="0"/>
        <v>265440.26890000002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84"/>
  <sheetViews>
    <sheetView view="pageBreakPreview" zoomScaleNormal="100" workbookViewId="0"/>
  </sheetViews>
  <sheetFormatPr defaultColWidth="9.140625" defaultRowHeight="15" x14ac:dyDescent="0.25"/>
  <cols>
    <col min="1" max="1" width="4.140625" style="1976" customWidth="1"/>
    <col min="2" max="2" width="5" style="2284" customWidth="1"/>
    <col min="3" max="3" width="15.42578125" style="2285" customWidth="1"/>
    <col min="4" max="4" width="33.5703125" style="1976" customWidth="1"/>
    <col min="5" max="5" width="28.42578125" style="1976" customWidth="1"/>
    <col min="6" max="6" width="19.28515625" style="2286" customWidth="1"/>
    <col min="7" max="7" width="20.42578125" style="1976" customWidth="1"/>
    <col min="8" max="8" width="14.28515625" style="1976" customWidth="1"/>
    <col min="9" max="9" width="16.85546875" style="1976" customWidth="1"/>
    <col min="10" max="10" width="19.5703125" style="1976" customWidth="1"/>
    <col min="11" max="16384" width="9.140625" style="1976"/>
  </cols>
  <sheetData>
    <row r="1" spans="2:10" ht="19.5" thickTop="1" x14ac:dyDescent="0.3">
      <c r="B1" s="1974"/>
      <c r="C1" s="3101" t="s">
        <v>3169</v>
      </c>
      <c r="D1" s="3102"/>
      <c r="E1" s="3102"/>
      <c r="F1" s="3102"/>
      <c r="G1" s="3103"/>
      <c r="H1" s="1975"/>
      <c r="I1" s="1975"/>
      <c r="J1" s="1975"/>
    </row>
    <row r="2" spans="2:10" ht="15.75" x14ac:dyDescent="0.25">
      <c r="B2" s="1977"/>
      <c r="C2" s="3104" t="s">
        <v>3361</v>
      </c>
      <c r="D2" s="3105"/>
      <c r="E2" s="3105"/>
      <c r="F2" s="3105"/>
      <c r="G2" s="3106"/>
    </row>
    <row r="3" spans="2:10" s="1982" customFormat="1" ht="15.75" x14ac:dyDescent="0.25">
      <c r="B3" s="1978"/>
      <c r="C3" s="1979"/>
      <c r="D3" s="3107" t="s">
        <v>3362</v>
      </c>
      <c r="E3" s="3107"/>
      <c r="F3" s="3107"/>
      <c r="G3" s="1980"/>
      <c r="H3" s="1981"/>
    </row>
    <row r="4" spans="2:10" s="1982" customFormat="1" ht="9.9499999999999993" customHeight="1" thickBot="1" x14ac:dyDescent="0.3">
      <c r="B4" s="1983"/>
      <c r="C4" s="1984"/>
      <c r="D4" s="1985"/>
      <c r="E4" s="1985"/>
      <c r="F4" s="1986"/>
      <c r="G4" s="1987"/>
      <c r="H4" s="1981"/>
    </row>
    <row r="5" spans="2:10" s="1982" customFormat="1" ht="15.75" thickTop="1" x14ac:dyDescent="0.25">
      <c r="B5" s="1983" t="s">
        <v>2</v>
      </c>
      <c r="C5" s="1988" t="s">
        <v>241</v>
      </c>
      <c r="D5" s="1989"/>
      <c r="E5" s="1989"/>
      <c r="F5" s="1986"/>
      <c r="G5" s="1990"/>
      <c r="I5" s="1991"/>
      <c r="J5" s="1992"/>
    </row>
    <row r="6" spans="2:10" s="1982" customFormat="1" ht="15.75" thickBot="1" x14ac:dyDescent="0.3">
      <c r="B6" s="1983"/>
      <c r="C6" s="1993" t="s">
        <v>3363</v>
      </c>
      <c r="D6" s="1994"/>
      <c r="E6" s="1994"/>
      <c r="F6" s="1995"/>
      <c r="G6" s="1990"/>
      <c r="I6" s="1991"/>
    </row>
    <row r="7" spans="2:10" s="1982" customFormat="1" ht="16.5" thickTop="1" thickBot="1" x14ac:dyDescent="0.3">
      <c r="B7" s="1983"/>
      <c r="C7" s="1996" t="s">
        <v>137</v>
      </c>
      <c r="D7" s="1997"/>
      <c r="E7" s="1998"/>
      <c r="F7" s="1999">
        <v>45382</v>
      </c>
      <c r="G7" s="2000">
        <v>45016</v>
      </c>
      <c r="I7" s="2001"/>
    </row>
    <row r="8" spans="2:10" s="1982" customFormat="1" ht="15.75" thickTop="1" x14ac:dyDescent="0.25">
      <c r="B8" s="1983"/>
      <c r="C8" s="2002" t="s">
        <v>3358</v>
      </c>
      <c r="D8" s="2003"/>
      <c r="E8" s="2004"/>
      <c r="F8" s="2005">
        <v>1399200</v>
      </c>
      <c r="G8" s="2006">
        <v>1399200</v>
      </c>
      <c r="I8" s="1982" t="s">
        <v>3364</v>
      </c>
    </row>
    <row r="9" spans="2:10" s="1982" customFormat="1" x14ac:dyDescent="0.25">
      <c r="B9" s="1983"/>
      <c r="C9" s="2002" t="s">
        <v>3359</v>
      </c>
      <c r="D9" s="2003"/>
      <c r="E9" s="2004"/>
      <c r="F9" s="2005">
        <v>5200</v>
      </c>
      <c r="G9" s="2006">
        <v>5200</v>
      </c>
    </row>
    <row r="10" spans="2:10" s="1982" customFormat="1" x14ac:dyDescent="0.25">
      <c r="B10" s="1983"/>
      <c r="C10" s="2002" t="s">
        <v>3360</v>
      </c>
      <c r="D10" s="2003"/>
      <c r="E10" s="2004"/>
      <c r="F10" s="2005">
        <v>201130</v>
      </c>
      <c r="G10" s="2006">
        <v>201130</v>
      </c>
    </row>
    <row r="11" spans="2:10" s="1982" customFormat="1" ht="9" customHeight="1" x14ac:dyDescent="0.25">
      <c r="B11" s="1983"/>
      <c r="C11" s="2002"/>
      <c r="D11" s="2003"/>
      <c r="E11" s="2004"/>
      <c r="F11" s="2005"/>
      <c r="G11" s="2006"/>
    </row>
    <row r="12" spans="2:10" s="1982" customFormat="1" ht="15.75" thickBot="1" x14ac:dyDescent="0.3">
      <c r="B12" s="1983"/>
      <c r="C12" s="2007"/>
      <c r="D12" s="2008"/>
      <c r="E12" s="2009"/>
      <c r="F12" s="2010">
        <v>1605530</v>
      </c>
      <c r="G12" s="2011">
        <v>1605530</v>
      </c>
    </row>
    <row r="13" spans="2:10" s="1982" customFormat="1" ht="15.75" thickTop="1" x14ac:dyDescent="0.25">
      <c r="B13" s="1983"/>
      <c r="C13" s="1993"/>
      <c r="D13" s="1994"/>
      <c r="E13" s="1994"/>
      <c r="F13" s="1995"/>
      <c r="G13" s="1990"/>
    </row>
    <row r="14" spans="2:10" s="1982" customFormat="1" x14ac:dyDescent="0.25">
      <c r="B14" s="1983" t="s">
        <v>9</v>
      </c>
      <c r="C14" s="1988" t="s">
        <v>3365</v>
      </c>
      <c r="D14" s="1989"/>
      <c r="E14" s="1989"/>
      <c r="F14" s="1986"/>
      <c r="G14" s="2012"/>
    </row>
    <row r="15" spans="2:10" s="1982" customFormat="1" ht="10.5" customHeight="1" x14ac:dyDescent="0.25">
      <c r="B15" s="1983"/>
      <c r="C15" s="1993"/>
      <c r="D15" s="1994"/>
      <c r="E15" s="1994"/>
      <c r="F15" s="1995"/>
      <c r="G15" s="2012"/>
    </row>
    <row r="16" spans="2:10" s="2014" customFormat="1" ht="15.75" thickBot="1" x14ac:dyDescent="0.3">
      <c r="B16" s="2013"/>
      <c r="C16" s="1996" t="s">
        <v>137</v>
      </c>
      <c r="D16" s="1997"/>
      <c r="E16" s="1998"/>
      <c r="F16" s="1999">
        <v>45382</v>
      </c>
      <c r="G16" s="2000">
        <v>45016</v>
      </c>
    </row>
    <row r="17" spans="1:9" s="2014" customFormat="1" ht="15.75" thickTop="1" x14ac:dyDescent="0.25">
      <c r="B17" s="2013"/>
      <c r="C17" s="2002" t="s">
        <v>3366</v>
      </c>
      <c r="D17" s="2003"/>
      <c r="E17" s="2004"/>
      <c r="F17" s="2005">
        <v>37900</v>
      </c>
      <c r="G17" s="2006">
        <v>52600</v>
      </c>
    </row>
    <row r="18" spans="1:9" s="2014" customFormat="1" x14ac:dyDescent="0.25">
      <c r="B18" s="2013"/>
      <c r="C18" s="3108" t="s">
        <v>3367</v>
      </c>
      <c r="D18" s="3109"/>
      <c r="E18" s="3110"/>
      <c r="F18" s="2015">
        <v>-1900</v>
      </c>
      <c r="G18" s="2016">
        <v>-14700</v>
      </c>
    </row>
    <row r="19" spans="1:9" s="2014" customFormat="1" ht="15.75" thickBot="1" x14ac:dyDescent="0.3">
      <c r="B19" s="2013"/>
      <c r="C19" s="2007" t="s">
        <v>3368</v>
      </c>
      <c r="D19" s="2008"/>
      <c r="E19" s="2009"/>
      <c r="F19" s="2010">
        <v>36000</v>
      </c>
      <c r="G19" s="2011">
        <v>37900</v>
      </c>
    </row>
    <row r="20" spans="1:9" s="2014" customFormat="1" ht="15.75" thickTop="1" x14ac:dyDescent="0.25">
      <c r="B20" s="2017"/>
      <c r="C20" s="2018"/>
      <c r="F20" s="2019"/>
      <c r="G20" s="2020"/>
    </row>
    <row r="21" spans="1:9" s="2014" customFormat="1" x14ac:dyDescent="0.25">
      <c r="A21" s="2003"/>
      <c r="B21" s="2021" t="s">
        <v>3369</v>
      </c>
      <c r="C21" s="2022" t="s">
        <v>3309</v>
      </c>
      <c r="D21" s="2023"/>
      <c r="E21" s="2023"/>
      <c r="F21" s="2024"/>
      <c r="G21" s="2025"/>
    </row>
    <row r="22" spans="1:9" s="2014" customFormat="1" x14ac:dyDescent="0.25">
      <c r="A22" s="2003"/>
      <c r="B22" s="2021">
        <v>1</v>
      </c>
      <c r="C22" s="2026" t="s">
        <v>3310</v>
      </c>
      <c r="D22" s="2023"/>
      <c r="E22" s="2023"/>
      <c r="F22" s="2024"/>
      <c r="G22" s="2027"/>
    </row>
    <row r="23" spans="1:9" s="2014" customFormat="1" x14ac:dyDescent="0.25">
      <c r="A23" s="2003"/>
      <c r="B23" s="2021"/>
      <c r="C23" s="2028"/>
      <c r="D23" s="2029"/>
      <c r="E23" s="2029"/>
      <c r="F23" s="2030"/>
      <c r="G23" s="2031"/>
      <c r="H23" s="2032"/>
      <c r="I23" s="2033"/>
    </row>
    <row r="24" spans="1:9" s="2014" customFormat="1" x14ac:dyDescent="0.25">
      <c r="A24" s="2003"/>
      <c r="B24" s="2021"/>
      <c r="C24" s="2034" t="s">
        <v>3370</v>
      </c>
      <c r="D24" s="2035"/>
      <c r="E24" s="2035"/>
      <c r="F24" s="2030"/>
      <c r="G24" s="2031"/>
      <c r="H24" s="2032"/>
      <c r="I24" s="2033"/>
    </row>
    <row r="25" spans="1:9" s="2014" customFormat="1" x14ac:dyDescent="0.25">
      <c r="A25" s="2003"/>
      <c r="B25" s="2021" t="s">
        <v>3315</v>
      </c>
      <c r="C25" s="2036" t="s">
        <v>3301</v>
      </c>
      <c r="D25" s="2029"/>
      <c r="E25" s="2029"/>
      <c r="F25" s="2030"/>
      <c r="G25" s="2031"/>
      <c r="H25" s="2032"/>
      <c r="I25" s="2033"/>
    </row>
    <row r="26" spans="1:9" s="2014" customFormat="1" x14ac:dyDescent="0.25">
      <c r="A26" s="2003"/>
      <c r="B26" s="2021" t="s">
        <v>3316</v>
      </c>
      <c r="C26" s="2036" t="s">
        <v>3302</v>
      </c>
      <c r="D26" s="2029"/>
      <c r="E26" s="2029"/>
      <c r="F26" s="2030"/>
      <c r="G26" s="2031"/>
      <c r="H26" s="2032"/>
      <c r="I26" s="2033"/>
    </row>
    <row r="27" spans="1:9" s="2014" customFormat="1" x14ac:dyDescent="0.25">
      <c r="A27" s="2003"/>
      <c r="B27" s="2021"/>
      <c r="C27" s="2028"/>
      <c r="D27" s="2029"/>
      <c r="E27" s="2029"/>
      <c r="F27" s="2030"/>
      <c r="G27" s="2031"/>
      <c r="H27" s="2032"/>
      <c r="I27" s="2033"/>
    </row>
    <row r="28" spans="1:9" s="2014" customFormat="1" x14ac:dyDescent="0.25">
      <c r="A28" s="2003"/>
      <c r="B28" s="2021"/>
      <c r="C28" s="2034" t="s">
        <v>3371</v>
      </c>
      <c r="D28" s="2037"/>
      <c r="E28" s="2037"/>
      <c r="F28" s="2030"/>
      <c r="G28" s="2031"/>
      <c r="H28" s="2032"/>
      <c r="I28" s="2033"/>
    </row>
    <row r="29" spans="1:9" s="2014" customFormat="1" x14ac:dyDescent="0.25">
      <c r="A29" s="2003"/>
      <c r="B29" s="2021" t="s">
        <v>3315</v>
      </c>
      <c r="C29" s="2036" t="s">
        <v>3303</v>
      </c>
      <c r="D29" s="2029"/>
      <c r="E29" s="2029"/>
      <c r="F29" s="2030"/>
      <c r="G29" s="2031"/>
      <c r="H29" s="2032"/>
      <c r="I29" s="2033"/>
    </row>
    <row r="30" spans="1:9" s="2014" customFormat="1" x14ac:dyDescent="0.25">
      <c r="A30" s="2003"/>
      <c r="B30" s="2021" t="s">
        <v>3316</v>
      </c>
      <c r="C30" s="2036" t="s">
        <v>3304</v>
      </c>
      <c r="D30" s="2029"/>
      <c r="E30" s="2037"/>
      <c r="F30" s="2030"/>
      <c r="G30" s="2031"/>
      <c r="H30" s="2032"/>
      <c r="I30" s="2033"/>
    </row>
    <row r="31" spans="1:9" s="2014" customFormat="1" x14ac:dyDescent="0.25">
      <c r="A31" s="2003"/>
      <c r="B31" s="2021" t="s">
        <v>3317</v>
      </c>
      <c r="C31" s="2036" t="s">
        <v>3305</v>
      </c>
      <c r="D31" s="2029"/>
      <c r="E31" s="2037"/>
      <c r="F31" s="2030"/>
      <c r="G31" s="2031"/>
      <c r="H31" s="2032"/>
      <c r="I31" s="2033"/>
    </row>
    <row r="32" spans="1:9" s="2014" customFormat="1" x14ac:dyDescent="0.25">
      <c r="A32" s="2003"/>
      <c r="B32" s="2021" t="s">
        <v>3318</v>
      </c>
      <c r="C32" s="2038" t="s">
        <v>3306</v>
      </c>
      <c r="D32" s="2029"/>
      <c r="E32" s="2037"/>
      <c r="F32" s="2030"/>
      <c r="G32" s="2031"/>
      <c r="H32" s="2032"/>
      <c r="I32" s="2033"/>
    </row>
    <row r="33" spans="1:10" s="2014" customFormat="1" x14ac:dyDescent="0.25">
      <c r="A33" s="2003"/>
      <c r="B33" s="2021" t="s">
        <v>3319</v>
      </c>
      <c r="C33" s="2038" t="s">
        <v>2534</v>
      </c>
      <c r="D33" s="2029"/>
      <c r="E33" s="2037"/>
      <c r="F33" s="2030"/>
      <c r="G33" s="2031"/>
      <c r="H33" s="2032"/>
      <c r="I33" s="2033"/>
    </row>
    <row r="34" spans="1:10" s="2014" customFormat="1" x14ac:dyDescent="0.25">
      <c r="A34" s="2003"/>
      <c r="B34" s="2021" t="s">
        <v>3320</v>
      </c>
      <c r="C34" s="2038" t="s">
        <v>2217</v>
      </c>
      <c r="D34" s="2029"/>
      <c r="E34" s="2037"/>
      <c r="F34" s="2030"/>
      <c r="G34" s="2031"/>
      <c r="H34" s="2032"/>
      <c r="I34" s="2033"/>
    </row>
    <row r="35" spans="1:10" s="2014" customFormat="1" x14ac:dyDescent="0.25">
      <c r="B35" s="2039"/>
      <c r="C35" s="2040"/>
      <c r="D35" s="2041"/>
      <c r="E35" s="2041"/>
      <c r="F35" s="2042"/>
      <c r="G35" s="2043"/>
      <c r="H35" s="2032"/>
      <c r="I35" s="2033"/>
    </row>
    <row r="36" spans="1:10" s="2014" customFormat="1" x14ac:dyDescent="0.25">
      <c r="B36" s="2039"/>
      <c r="C36" s="2026" t="s">
        <v>3372</v>
      </c>
      <c r="D36" s="2044"/>
      <c r="E36" s="2044"/>
      <c r="F36" s="2045"/>
      <c r="G36" s="2046"/>
    </row>
    <row r="37" spans="1:10" s="2014" customFormat="1" x14ac:dyDescent="0.25">
      <c r="B37" s="2021" t="s">
        <v>3315</v>
      </c>
      <c r="C37" s="2047" t="s">
        <v>3307</v>
      </c>
      <c r="D37" s="2044"/>
      <c r="E37" s="2044"/>
      <c r="F37" s="2045"/>
      <c r="G37" s="2046"/>
    </row>
    <row r="38" spans="1:10" s="2014" customFormat="1" x14ac:dyDescent="0.25">
      <c r="B38" s="2021" t="s">
        <v>3316</v>
      </c>
      <c r="C38" s="2047" t="s">
        <v>3308</v>
      </c>
      <c r="D38" s="2048"/>
      <c r="E38" s="2048"/>
      <c r="F38" s="2045"/>
      <c r="G38" s="2046"/>
    </row>
    <row r="39" spans="1:10" s="2014" customFormat="1" x14ac:dyDescent="0.25">
      <c r="B39" s="2039"/>
      <c r="C39" s="2049"/>
      <c r="D39" s="2048"/>
      <c r="E39" s="2048"/>
      <c r="F39" s="2045"/>
      <c r="G39" s="2046"/>
    </row>
    <row r="40" spans="1:10" s="2014" customFormat="1" x14ac:dyDescent="0.25">
      <c r="B40" s="2021">
        <v>2</v>
      </c>
      <c r="C40" s="2026" t="s">
        <v>3373</v>
      </c>
      <c r="D40" s="2035"/>
      <c r="E40" s="2050"/>
      <c r="F40" s="2051"/>
      <c r="G40" s="2052"/>
    </row>
    <row r="41" spans="1:10" s="2014" customFormat="1" x14ac:dyDescent="0.25">
      <c r="B41" s="2021"/>
      <c r="C41" s="2053"/>
      <c r="D41" s="2054"/>
      <c r="E41" s="2054"/>
      <c r="F41" s="2051"/>
      <c r="G41" s="2052"/>
    </row>
    <row r="42" spans="1:10" s="2014" customFormat="1" ht="15.75" thickBot="1" x14ac:dyDescent="0.3">
      <c r="B42" s="2021"/>
      <c r="C42" s="2055" t="s">
        <v>20</v>
      </c>
      <c r="D42" s="2056"/>
      <c r="E42" s="2057" t="s">
        <v>3323</v>
      </c>
      <c r="F42" s="2058">
        <v>45382</v>
      </c>
      <c r="G42" s="2059">
        <v>45016</v>
      </c>
      <c r="I42" s="2060"/>
    </row>
    <row r="43" spans="1:10" s="2014" customFormat="1" ht="15.75" thickTop="1" x14ac:dyDescent="0.25">
      <c r="B43" s="2021"/>
      <c r="C43" s="2061" t="s">
        <v>3326</v>
      </c>
      <c r="D43" s="2062"/>
      <c r="E43" s="2004"/>
      <c r="F43" s="2063"/>
      <c r="G43" s="2064"/>
      <c r="I43" s="2060"/>
    </row>
    <row r="44" spans="1:10" s="2014" customFormat="1" x14ac:dyDescent="0.25">
      <c r="B44" s="2021"/>
      <c r="C44" s="2065" t="s">
        <v>3327</v>
      </c>
      <c r="D44" s="2066"/>
      <c r="E44" s="2004"/>
      <c r="F44" s="2067"/>
      <c r="G44" s="2068"/>
      <c r="I44" s="2060"/>
      <c r="J44" s="2060"/>
    </row>
    <row r="45" spans="1:10" s="2014" customFormat="1" x14ac:dyDescent="0.25">
      <c r="B45" s="2021"/>
      <c r="C45" s="2069" t="s">
        <v>3304</v>
      </c>
      <c r="D45" s="2070"/>
      <c r="E45" s="2071" t="s">
        <v>3328</v>
      </c>
      <c r="F45" s="2072">
        <v>45923200</v>
      </c>
      <c r="G45" s="2073">
        <v>28531300</v>
      </c>
      <c r="I45" s="2060"/>
      <c r="J45" s="2060"/>
    </row>
    <row r="46" spans="1:10" s="2014" customFormat="1" x14ac:dyDescent="0.25">
      <c r="B46" s="2021"/>
      <c r="C46" s="2069" t="s">
        <v>3329</v>
      </c>
      <c r="D46" s="2070"/>
      <c r="E46" s="2071" t="s">
        <v>3330</v>
      </c>
      <c r="F46" s="2072">
        <v>0</v>
      </c>
      <c r="G46" s="2073">
        <v>62600</v>
      </c>
      <c r="I46" s="2060"/>
    </row>
    <row r="47" spans="1:10" s="2014" customFormat="1" x14ac:dyDescent="0.25">
      <c r="B47" s="2021"/>
      <c r="C47" s="2069" t="s">
        <v>3305</v>
      </c>
      <c r="D47" s="2070"/>
      <c r="E47" s="2071" t="s">
        <v>3332</v>
      </c>
      <c r="F47" s="2072">
        <v>0</v>
      </c>
      <c r="G47" s="2073">
        <v>367700</v>
      </c>
      <c r="I47" s="2060"/>
    </row>
    <row r="48" spans="1:10" s="2014" customFormat="1" x14ac:dyDescent="0.25">
      <c r="B48" s="2021"/>
      <c r="C48" s="2069" t="s">
        <v>2217</v>
      </c>
      <c r="D48" s="2070"/>
      <c r="E48" s="2071" t="s">
        <v>3333</v>
      </c>
      <c r="F48" s="2072">
        <v>7282400</v>
      </c>
      <c r="G48" s="2073">
        <v>0</v>
      </c>
      <c r="I48" s="2060"/>
    </row>
    <row r="49" spans="2:10" s="2014" customFormat="1" ht="10.5" customHeight="1" x14ac:dyDescent="0.25">
      <c r="B49" s="2021"/>
      <c r="C49" s="2074"/>
      <c r="D49" s="2070"/>
      <c r="E49" s="2071"/>
      <c r="F49" s="2072"/>
      <c r="G49" s="2073"/>
      <c r="I49" s="2060"/>
    </row>
    <row r="50" spans="2:10" s="2014" customFormat="1" x14ac:dyDescent="0.25">
      <c r="B50" s="2021"/>
      <c r="C50" s="2065" t="s">
        <v>3334</v>
      </c>
      <c r="D50" s="2070"/>
      <c r="E50" s="2071"/>
      <c r="F50" s="2072"/>
      <c r="G50" s="2073"/>
      <c r="I50" s="2060"/>
    </row>
    <row r="51" spans="2:10" s="2014" customFormat="1" x14ac:dyDescent="0.25">
      <c r="B51" s="2021"/>
      <c r="C51" s="2069" t="s">
        <v>3329</v>
      </c>
      <c r="D51" s="2070"/>
      <c r="E51" s="2071" t="s">
        <v>3335</v>
      </c>
      <c r="F51" s="2072">
        <v>204300</v>
      </c>
      <c r="G51" s="2073">
        <v>1738800</v>
      </c>
      <c r="I51" s="2060"/>
    </row>
    <row r="52" spans="2:10" s="2014" customFormat="1" x14ac:dyDescent="0.25">
      <c r="B52" s="2021"/>
      <c r="C52" s="2069" t="s">
        <v>3305</v>
      </c>
      <c r="D52" s="2070"/>
      <c r="E52" s="2071" t="s">
        <v>3332</v>
      </c>
      <c r="F52" s="2072">
        <v>18169400</v>
      </c>
      <c r="G52" s="2073">
        <v>8381000</v>
      </c>
      <c r="I52" s="2060"/>
    </row>
    <row r="53" spans="2:10" s="2014" customFormat="1" x14ac:dyDescent="0.25">
      <c r="B53" s="2021"/>
      <c r="C53" s="2069" t="s">
        <v>2217</v>
      </c>
      <c r="D53" s="2070"/>
      <c r="E53" s="2071" t="s">
        <v>3333</v>
      </c>
      <c r="F53" s="2072">
        <v>109900</v>
      </c>
      <c r="G53" s="2073">
        <v>0</v>
      </c>
      <c r="I53" s="2060"/>
    </row>
    <row r="54" spans="2:10" s="2014" customFormat="1" ht="11.25" customHeight="1" x14ac:dyDescent="0.25">
      <c r="B54" s="2039"/>
      <c r="C54" s="2075"/>
      <c r="D54" s="2076"/>
      <c r="E54" s="2071"/>
      <c r="F54" s="2072"/>
      <c r="G54" s="2077"/>
      <c r="I54" s="2060"/>
      <c r="J54" s="2060"/>
    </row>
    <row r="55" spans="2:10" s="2014" customFormat="1" x14ac:dyDescent="0.25">
      <c r="B55" s="2039"/>
      <c r="C55" s="3111" t="s">
        <v>3336</v>
      </c>
      <c r="D55" s="3112"/>
      <c r="E55" s="2071"/>
      <c r="F55" s="2072"/>
      <c r="G55" s="2073"/>
      <c r="I55" s="2060"/>
    </row>
    <row r="56" spans="2:10" s="2014" customFormat="1" x14ac:dyDescent="0.25">
      <c r="B56" s="2039"/>
      <c r="C56" s="2038" t="s">
        <v>3306</v>
      </c>
      <c r="D56" s="2070"/>
      <c r="E56" s="2071" t="s">
        <v>3335</v>
      </c>
      <c r="F56" s="2072">
        <v>316000</v>
      </c>
      <c r="G56" s="2073">
        <v>144400</v>
      </c>
      <c r="I56" s="2060"/>
      <c r="J56" s="2060"/>
    </row>
    <row r="57" spans="2:10" s="2014" customFormat="1" x14ac:dyDescent="0.25">
      <c r="B57" s="2039"/>
      <c r="C57" s="2069" t="s">
        <v>2534</v>
      </c>
      <c r="D57" s="2070"/>
      <c r="E57" s="2071" t="s">
        <v>3337</v>
      </c>
      <c r="F57" s="2072">
        <v>32700000</v>
      </c>
      <c r="G57" s="2073">
        <v>8735900</v>
      </c>
      <c r="I57" s="2060"/>
      <c r="J57" s="2060"/>
    </row>
    <row r="58" spans="2:10" s="2014" customFormat="1" x14ac:dyDescent="0.25">
      <c r="B58" s="2039"/>
      <c r="C58" s="2069" t="s">
        <v>3305</v>
      </c>
      <c r="D58" s="2070"/>
      <c r="E58" s="2071" t="s">
        <v>3332</v>
      </c>
      <c r="F58" s="2072">
        <v>14675900</v>
      </c>
      <c r="G58" s="2073">
        <v>5292300</v>
      </c>
      <c r="I58" s="2060"/>
      <c r="J58" s="2060"/>
    </row>
    <row r="59" spans="2:10" s="2014" customFormat="1" x14ac:dyDescent="0.25">
      <c r="B59" s="2039"/>
      <c r="C59" s="2069" t="s">
        <v>3329</v>
      </c>
      <c r="D59" s="2070"/>
      <c r="E59" s="2071" t="s">
        <v>3330</v>
      </c>
      <c r="F59" s="2072"/>
      <c r="G59" s="2073">
        <v>7000</v>
      </c>
      <c r="I59" s="2060"/>
      <c r="J59" s="2060"/>
    </row>
    <row r="60" spans="2:10" s="2014" customFormat="1" ht="11.25" customHeight="1" x14ac:dyDescent="0.25">
      <c r="B60" s="2039"/>
      <c r="C60" s="2078"/>
      <c r="D60" s="2079"/>
      <c r="E60" s="2080"/>
      <c r="F60" s="2081"/>
      <c r="G60" s="2077"/>
      <c r="I60" s="2060"/>
      <c r="J60" s="2060"/>
    </row>
    <row r="61" spans="2:10" s="2014" customFormat="1" x14ac:dyDescent="0.25">
      <c r="B61" s="2039"/>
      <c r="C61" s="3111" t="s">
        <v>3338</v>
      </c>
      <c r="D61" s="3112"/>
      <c r="E61" s="2071"/>
      <c r="F61" s="2081"/>
      <c r="G61" s="2077"/>
      <c r="I61" s="2060"/>
    </row>
    <row r="62" spans="2:10" s="2014" customFormat="1" x14ac:dyDescent="0.25">
      <c r="B62" s="2039"/>
      <c r="C62" s="2069" t="s">
        <v>3339</v>
      </c>
      <c r="D62" s="2082"/>
      <c r="E62" s="2071" t="s">
        <v>3332</v>
      </c>
      <c r="F62" s="2072">
        <v>176168500</v>
      </c>
      <c r="G62" s="2077">
        <v>146213900</v>
      </c>
      <c r="I62" s="2060"/>
      <c r="J62" s="2060"/>
    </row>
    <row r="63" spans="2:10" s="2014" customFormat="1" ht="10.5" customHeight="1" x14ac:dyDescent="0.25">
      <c r="B63" s="2039"/>
      <c r="C63" s="2078"/>
      <c r="D63" s="2079"/>
      <c r="E63" s="2080"/>
      <c r="F63" s="2081"/>
      <c r="G63" s="2077"/>
      <c r="I63" s="2060"/>
    </row>
    <row r="64" spans="2:10" s="2003" customFormat="1" x14ac:dyDescent="0.25">
      <c r="B64" s="2021"/>
      <c r="C64" s="2083" t="s">
        <v>3340</v>
      </c>
      <c r="D64" s="2084"/>
      <c r="E64" s="2071"/>
      <c r="F64" s="2072"/>
      <c r="G64" s="2077"/>
      <c r="I64" s="2085"/>
    </row>
    <row r="65" spans="2:9" s="2003" customFormat="1" x14ac:dyDescent="0.25">
      <c r="B65" s="2021"/>
      <c r="C65" s="2086" t="s">
        <v>3341</v>
      </c>
      <c r="D65" s="2087"/>
      <c r="E65" s="2071"/>
      <c r="F65" s="2088"/>
      <c r="G65" s="2077"/>
      <c r="I65" s="2085"/>
    </row>
    <row r="66" spans="2:9" s="2003" customFormat="1" x14ac:dyDescent="0.25">
      <c r="B66" s="2021"/>
      <c r="C66" s="2089" t="s">
        <v>3308</v>
      </c>
      <c r="D66" s="2076"/>
      <c r="E66" s="2071" t="s">
        <v>3342</v>
      </c>
      <c r="F66" s="2072"/>
      <c r="G66" s="2077"/>
      <c r="I66" s="2085"/>
    </row>
    <row r="67" spans="2:9" s="2003" customFormat="1" x14ac:dyDescent="0.25">
      <c r="B67" s="2021"/>
      <c r="C67" s="2002" t="s">
        <v>3343</v>
      </c>
      <c r="D67" s="2076"/>
      <c r="E67" s="2071"/>
      <c r="F67" s="2072">
        <v>4250000</v>
      </c>
      <c r="G67" s="2077">
        <v>3726300</v>
      </c>
      <c r="I67" s="2085"/>
    </row>
    <row r="68" spans="2:9" s="2003" customFormat="1" x14ac:dyDescent="0.25">
      <c r="B68" s="2021"/>
      <c r="C68" s="2002" t="s">
        <v>3344</v>
      </c>
      <c r="D68" s="2076"/>
      <c r="E68" s="2071"/>
      <c r="F68" s="2072">
        <v>359400</v>
      </c>
      <c r="G68" s="2077">
        <v>242200</v>
      </c>
      <c r="I68" s="2085"/>
    </row>
    <row r="69" spans="2:9" s="2003" customFormat="1" ht="7.5" customHeight="1" thickBot="1" x14ac:dyDescent="0.3">
      <c r="B69" s="2090"/>
      <c r="C69" s="2091"/>
      <c r="D69" s="2092"/>
      <c r="E69" s="2093"/>
      <c r="F69" s="2094"/>
      <c r="G69" s="2095"/>
      <c r="I69" s="2085"/>
    </row>
    <row r="70" spans="2:9" s="2003" customFormat="1" ht="7.5" customHeight="1" thickTop="1" x14ac:dyDescent="0.25">
      <c r="B70" s="2096"/>
      <c r="C70" s="2097"/>
      <c r="D70" s="2098"/>
      <c r="E70" s="2099"/>
      <c r="F70" s="2100"/>
      <c r="G70" s="2101"/>
      <c r="I70" s="2085"/>
    </row>
    <row r="71" spans="2:9" s="2003" customFormat="1" x14ac:dyDescent="0.25">
      <c r="B71" s="2021" t="s">
        <v>3374</v>
      </c>
      <c r="C71" s="2102" t="s">
        <v>3375</v>
      </c>
      <c r="D71" s="1985"/>
      <c r="E71" s="1985"/>
      <c r="F71" s="1986"/>
      <c r="G71" s="1990"/>
      <c r="I71" s="2085"/>
    </row>
    <row r="72" spans="2:9" s="2003" customFormat="1" ht="7.5" customHeight="1" x14ac:dyDescent="0.25">
      <c r="B72" s="2021"/>
      <c r="C72" s="1984"/>
      <c r="D72" s="1985"/>
      <c r="E72" s="1985"/>
      <c r="F72" s="1986"/>
      <c r="G72" s="1990"/>
      <c r="I72" s="2085"/>
    </row>
    <row r="73" spans="2:9" s="1994" customFormat="1" ht="15" customHeight="1" thickBot="1" x14ac:dyDescent="0.3">
      <c r="B73" s="1983"/>
      <c r="C73" s="3113" t="s">
        <v>20</v>
      </c>
      <c r="D73" s="3114"/>
      <c r="E73" s="3115"/>
      <c r="F73" s="2103">
        <v>45382</v>
      </c>
      <c r="G73" s="2104">
        <v>45016</v>
      </c>
    </row>
    <row r="74" spans="2:9" s="1994" customFormat="1" ht="15" customHeight="1" thickTop="1" x14ac:dyDescent="0.25">
      <c r="B74" s="1983"/>
      <c r="C74" s="3116" t="s">
        <v>3376</v>
      </c>
      <c r="D74" s="3117"/>
      <c r="E74" s="2105"/>
      <c r="F74" s="2106"/>
      <c r="G74" s="1990"/>
    </row>
    <row r="75" spans="2:9" s="1994" customFormat="1" ht="15" customHeight="1" x14ac:dyDescent="0.25">
      <c r="B75" s="1983"/>
      <c r="C75" s="3118" t="s">
        <v>3377</v>
      </c>
      <c r="D75" s="3119"/>
      <c r="E75" s="2105"/>
      <c r="F75" s="2109">
        <v>47691900</v>
      </c>
      <c r="G75" s="2110">
        <v>14179600</v>
      </c>
    </row>
    <row r="76" spans="2:9" s="1994" customFormat="1" ht="15.75" customHeight="1" x14ac:dyDescent="0.25">
      <c r="B76" s="1983"/>
      <c r="C76" s="3118" t="s">
        <v>3338</v>
      </c>
      <c r="D76" s="3119"/>
      <c r="E76" s="2105"/>
      <c r="F76" s="2109">
        <v>176168500</v>
      </c>
      <c r="G76" s="2110">
        <v>146213900</v>
      </c>
    </row>
    <row r="77" spans="2:9" s="1994" customFormat="1" ht="15.75" customHeight="1" x14ac:dyDescent="0.25">
      <c r="B77" s="1983"/>
      <c r="C77" s="2107"/>
      <c r="D77" s="2108"/>
      <c r="E77" s="2105"/>
      <c r="F77" s="2109"/>
      <c r="G77" s="2110"/>
    </row>
    <row r="78" spans="2:9" s="1994" customFormat="1" ht="15" customHeight="1" x14ac:dyDescent="0.25">
      <c r="B78" s="1983"/>
      <c r="C78" s="3116" t="s">
        <v>3378</v>
      </c>
      <c r="D78" s="3117"/>
      <c r="E78" s="2105"/>
      <c r="F78" s="2109"/>
      <c r="G78" s="2110"/>
    </row>
    <row r="79" spans="2:9" s="1994" customFormat="1" ht="15" customHeight="1" x14ac:dyDescent="0.25">
      <c r="B79" s="1983"/>
      <c r="C79" s="3099" t="s">
        <v>3379</v>
      </c>
      <c r="D79" s="3100"/>
      <c r="E79" s="2111"/>
      <c r="F79" s="2112">
        <v>71689300</v>
      </c>
      <c r="G79" s="2113">
        <v>39081400</v>
      </c>
      <c r="I79" s="1989"/>
    </row>
    <row r="80" spans="2:9" s="1982" customFormat="1" ht="15" customHeight="1" x14ac:dyDescent="0.25">
      <c r="B80" s="2114"/>
      <c r="C80" s="2115"/>
      <c r="D80" s="2116"/>
      <c r="E80" s="2116"/>
      <c r="F80" s="2117"/>
      <c r="G80" s="2118"/>
    </row>
    <row r="81" spans="2:20" s="1994" customFormat="1" ht="15" customHeight="1" x14ac:dyDescent="0.25">
      <c r="B81" s="1983" t="s">
        <v>3380</v>
      </c>
      <c r="C81" s="2102" t="s">
        <v>3381</v>
      </c>
      <c r="D81" s="2119"/>
      <c r="E81" s="2119"/>
      <c r="F81" s="1986"/>
      <c r="G81" s="2118"/>
    </row>
    <row r="82" spans="2:20" s="1994" customFormat="1" ht="7.5" customHeight="1" x14ac:dyDescent="0.25">
      <c r="B82" s="1983"/>
      <c r="C82" s="1984"/>
      <c r="D82" s="1985"/>
      <c r="E82" s="1985"/>
      <c r="F82" s="1986"/>
      <c r="G82" s="2118"/>
    </row>
    <row r="83" spans="2:20" s="1994" customFormat="1" ht="15" customHeight="1" thickBot="1" x14ac:dyDescent="0.3">
      <c r="B83" s="1983"/>
      <c r="C83" s="2055" t="s">
        <v>20</v>
      </c>
      <c r="D83" s="2120"/>
      <c r="E83" s="2121"/>
      <c r="F83" s="2122">
        <v>45382</v>
      </c>
      <c r="G83" s="2123">
        <v>45016</v>
      </c>
    </row>
    <row r="84" spans="2:20" s="1994" customFormat="1" ht="15" customHeight="1" thickTop="1" x14ac:dyDescent="0.25">
      <c r="B84" s="1983"/>
      <c r="C84" s="2002" t="s">
        <v>3382</v>
      </c>
      <c r="D84" s="2003"/>
      <c r="E84" s="2004"/>
      <c r="F84" s="2088">
        <v>20934500</v>
      </c>
      <c r="G84" s="2124">
        <v>20196800</v>
      </c>
    </row>
    <row r="85" spans="2:20" s="2003" customFormat="1" ht="15" customHeight="1" x14ac:dyDescent="0.25">
      <c r="B85" s="2125"/>
      <c r="C85" s="2126" t="s">
        <v>3383</v>
      </c>
      <c r="D85" s="2127"/>
      <c r="E85" s="2128"/>
      <c r="F85" s="2088">
        <v>150000</v>
      </c>
      <c r="G85" s="2077">
        <v>150000</v>
      </c>
    </row>
    <row r="86" spans="2:20" s="2003" customFormat="1" ht="15" customHeight="1" x14ac:dyDescent="0.25">
      <c r="B86" s="2125"/>
      <c r="C86" s="2129" t="s">
        <v>3384</v>
      </c>
      <c r="D86" s="2050"/>
      <c r="E86" s="2130"/>
      <c r="F86" s="2088">
        <v>100</v>
      </c>
      <c r="G86" s="2124">
        <v>100</v>
      </c>
    </row>
    <row r="87" spans="2:20" s="2003" customFormat="1" x14ac:dyDescent="0.25">
      <c r="B87" s="2125"/>
      <c r="C87" s="2131" t="s">
        <v>109</v>
      </c>
      <c r="D87" s="2132"/>
      <c r="E87" s="2133"/>
      <c r="F87" s="2134">
        <v>139.56333333333333</v>
      </c>
      <c r="G87" s="2135">
        <v>134.64533333333333</v>
      </c>
      <c r="I87" s="2136"/>
      <c r="J87" s="2136"/>
      <c r="S87" s="2136"/>
      <c r="T87" s="2136"/>
    </row>
    <row r="88" spans="2:20" s="2003" customFormat="1" ht="15" customHeight="1" x14ac:dyDescent="0.25">
      <c r="B88" s="2125"/>
      <c r="C88" s="2137"/>
      <c r="D88" s="2138"/>
      <c r="E88" s="2138"/>
      <c r="F88" s="2139"/>
      <c r="G88" s="2140"/>
      <c r="I88" s="2136"/>
      <c r="J88" s="2136"/>
      <c r="S88" s="2136"/>
      <c r="T88" s="2136"/>
    </row>
    <row r="89" spans="2:20" s="2003" customFormat="1" ht="15" customHeight="1" x14ac:dyDescent="0.25">
      <c r="B89" s="1978" t="s">
        <v>3385</v>
      </c>
      <c r="C89" s="2141" t="s">
        <v>3386</v>
      </c>
      <c r="D89" s="2142"/>
      <c r="E89" s="2142"/>
      <c r="F89" s="2143" t="s">
        <v>19</v>
      </c>
      <c r="G89" s="2140" t="s">
        <v>19</v>
      </c>
      <c r="I89" s="2136"/>
      <c r="J89" s="2136"/>
      <c r="S89" s="2136"/>
      <c r="T89" s="2136"/>
    </row>
    <row r="90" spans="2:20" s="2136" customFormat="1" ht="6.75" customHeight="1" x14ac:dyDescent="0.25">
      <c r="B90" s="2144"/>
      <c r="C90" s="2145"/>
      <c r="D90" s="2146"/>
      <c r="E90" s="2146"/>
      <c r="F90" s="2146"/>
      <c r="G90" s="2147"/>
    </row>
    <row r="91" spans="2:20" s="2003" customFormat="1" ht="15.75" thickBot="1" x14ac:dyDescent="0.3">
      <c r="B91" s="2125"/>
      <c r="C91" s="2055" t="s">
        <v>20</v>
      </c>
      <c r="D91" s="2148"/>
      <c r="E91" s="2056"/>
      <c r="F91" s="2122">
        <v>45382</v>
      </c>
      <c r="G91" s="2000">
        <v>45016</v>
      </c>
      <c r="I91" s="2136"/>
      <c r="J91" s="2136"/>
      <c r="S91" s="2136"/>
      <c r="T91" s="2136"/>
    </row>
    <row r="92" spans="2:20" s="2003" customFormat="1" ht="15" customHeight="1" thickTop="1" x14ac:dyDescent="0.25">
      <c r="B92" s="1978"/>
      <c r="C92" s="2053" t="s">
        <v>3387</v>
      </c>
      <c r="D92" s="2054"/>
      <c r="E92" s="2149"/>
      <c r="F92" s="2072">
        <v>1000000</v>
      </c>
      <c r="G92" s="2077">
        <v>1000000</v>
      </c>
    </row>
    <row r="93" spans="2:20" s="2003" customFormat="1" ht="15" customHeight="1" x14ac:dyDescent="0.25">
      <c r="B93" s="2021"/>
      <c r="C93" s="2150" t="s">
        <v>3388</v>
      </c>
      <c r="D93" s="2151"/>
      <c r="E93" s="2152"/>
      <c r="F93" s="2153">
        <v>403500</v>
      </c>
      <c r="G93" s="2154">
        <v>492500</v>
      </c>
      <c r="I93" s="2136"/>
      <c r="J93" s="2136"/>
      <c r="S93" s="2136"/>
      <c r="T93" s="2136"/>
    </row>
    <row r="94" spans="2:20" s="2003" customFormat="1" ht="15" customHeight="1" x14ac:dyDescent="0.25">
      <c r="B94" s="2021"/>
      <c r="C94" s="2155" t="s">
        <v>35</v>
      </c>
      <c r="D94" s="2156"/>
      <c r="E94" s="2157"/>
      <c r="F94" s="2158">
        <v>1403500</v>
      </c>
      <c r="G94" s="2159">
        <v>1492500</v>
      </c>
      <c r="I94" s="2136"/>
      <c r="J94" s="2136"/>
      <c r="S94" s="2136"/>
      <c r="T94" s="2136"/>
    </row>
    <row r="95" spans="2:20" s="2014" customFormat="1" ht="15" customHeight="1" x14ac:dyDescent="0.25">
      <c r="B95" s="2160"/>
      <c r="C95" s="1984"/>
      <c r="D95" s="1985"/>
      <c r="E95" s="1985"/>
      <c r="F95" s="1986"/>
      <c r="G95" s="2161"/>
      <c r="I95" s="1976"/>
      <c r="J95" s="1976"/>
      <c r="S95" s="1976"/>
      <c r="T95" s="1976"/>
    </row>
    <row r="96" spans="2:20" s="2014" customFormat="1" ht="15" customHeight="1" x14ac:dyDescent="0.25">
      <c r="B96" s="2160" t="s">
        <v>3389</v>
      </c>
      <c r="C96" s="3125" t="s">
        <v>3390</v>
      </c>
      <c r="D96" s="3126"/>
      <c r="E96" s="3126"/>
      <c r="F96" s="3126"/>
      <c r="G96" s="3127"/>
      <c r="H96" s="2003"/>
    </row>
    <row r="97" spans="2:10" s="2014" customFormat="1" ht="9" customHeight="1" x14ac:dyDescent="0.25">
      <c r="B97" s="2021"/>
      <c r="C97" s="2162"/>
      <c r="D97" s="2163"/>
      <c r="E97" s="2163"/>
      <c r="F97" s="2164"/>
      <c r="G97" s="2165"/>
      <c r="H97" s="2003"/>
      <c r="J97" s="2166"/>
    </row>
    <row r="98" spans="2:10" s="2014" customFormat="1" ht="31.5" customHeight="1" x14ac:dyDescent="0.25">
      <c r="B98" s="2021"/>
      <c r="C98" s="3128" t="s">
        <v>3391</v>
      </c>
      <c r="D98" s="3129"/>
      <c r="E98" s="3129"/>
      <c r="F98" s="3129"/>
      <c r="G98" s="3130"/>
      <c r="H98" s="2003"/>
    </row>
    <row r="99" spans="2:10" s="2014" customFormat="1" ht="15" customHeight="1" x14ac:dyDescent="0.25">
      <c r="B99" s="2021"/>
      <c r="C99" s="2167"/>
      <c r="D99" s="2168"/>
      <c r="E99" s="2168"/>
      <c r="F99" s="2168"/>
      <c r="G99" s="2169"/>
      <c r="H99" s="2003"/>
    </row>
    <row r="100" spans="2:10" s="2014" customFormat="1" ht="15" customHeight="1" x14ac:dyDescent="0.25">
      <c r="B100" s="2021"/>
      <c r="C100" s="3131" t="s">
        <v>3392</v>
      </c>
      <c r="D100" s="3132"/>
      <c r="E100" s="3132"/>
      <c r="F100" s="3132"/>
      <c r="G100" s="3133"/>
      <c r="H100" s="2003"/>
    </row>
    <row r="101" spans="2:10" s="2014" customFormat="1" ht="11.25" customHeight="1" x14ac:dyDescent="0.25">
      <c r="B101" s="2021"/>
      <c r="C101" s="3134" t="s">
        <v>3393</v>
      </c>
      <c r="D101" s="3135"/>
      <c r="E101" s="3136"/>
      <c r="F101" s="3140">
        <v>45382</v>
      </c>
      <c r="G101" s="3142">
        <v>45016</v>
      </c>
      <c r="H101" s="2003"/>
    </row>
    <row r="102" spans="2:10" s="2014" customFormat="1" ht="7.5" customHeight="1" x14ac:dyDescent="0.25">
      <c r="B102" s="2021"/>
      <c r="C102" s="3137"/>
      <c r="D102" s="3138"/>
      <c r="E102" s="3139"/>
      <c r="F102" s="3141"/>
      <c r="G102" s="3143"/>
      <c r="H102" s="2003"/>
    </row>
    <row r="103" spans="2:10" s="2014" customFormat="1" ht="15" customHeight="1" x14ac:dyDescent="0.25">
      <c r="B103" s="2021"/>
      <c r="C103" s="3144" t="s">
        <v>3394</v>
      </c>
      <c r="D103" s="3145"/>
      <c r="E103" s="3145"/>
      <c r="F103" s="2170"/>
      <c r="G103" s="2171"/>
    </row>
    <row r="104" spans="2:10" s="2014" customFormat="1" ht="9.75" customHeight="1" x14ac:dyDescent="0.25">
      <c r="B104" s="2021"/>
      <c r="C104" s="2162"/>
      <c r="D104" s="2163"/>
      <c r="E104" s="2163"/>
      <c r="F104" s="2172"/>
      <c r="G104" s="2165"/>
    </row>
    <row r="105" spans="2:10" s="2014" customFormat="1" ht="15" customHeight="1" x14ac:dyDescent="0.25">
      <c r="B105" s="2021"/>
      <c r="C105" s="2173" t="s">
        <v>3395</v>
      </c>
      <c r="D105" s="2163"/>
      <c r="E105" s="2163"/>
      <c r="F105" s="2174">
        <v>4578200</v>
      </c>
      <c r="G105" s="2124">
        <v>4245100</v>
      </c>
    </row>
    <row r="106" spans="2:10" s="2014" customFormat="1" ht="15" customHeight="1" x14ac:dyDescent="0.25">
      <c r="B106" s="2021"/>
      <c r="C106" s="2173" t="s">
        <v>3396</v>
      </c>
      <c r="D106" s="2163"/>
      <c r="E106" s="2163"/>
      <c r="F106" s="2174">
        <v>337900</v>
      </c>
      <c r="G106" s="2124">
        <v>249300</v>
      </c>
    </row>
    <row r="107" spans="2:10" s="2014" customFormat="1" ht="15" customHeight="1" x14ac:dyDescent="0.25">
      <c r="B107" s="2021"/>
      <c r="C107" s="2173" t="s">
        <v>3397</v>
      </c>
      <c r="D107" s="2163"/>
      <c r="E107" s="2163"/>
      <c r="F107" s="2174">
        <v>2170600</v>
      </c>
      <c r="G107" s="2124">
        <v>1824800</v>
      </c>
    </row>
    <row r="108" spans="2:10" s="2014" customFormat="1" ht="15" customHeight="1" x14ac:dyDescent="0.25">
      <c r="B108" s="2021"/>
      <c r="C108" s="2173" t="s">
        <v>3398</v>
      </c>
      <c r="D108" s="2163"/>
      <c r="E108" s="2163"/>
      <c r="F108" s="2175">
        <v>0</v>
      </c>
      <c r="G108" s="2176">
        <v>0</v>
      </c>
    </row>
    <row r="109" spans="2:10" s="2014" customFormat="1" ht="15" customHeight="1" x14ac:dyDescent="0.25">
      <c r="B109" s="2021"/>
      <c r="C109" s="2173" t="s">
        <v>3399</v>
      </c>
      <c r="D109" s="2163"/>
      <c r="E109" s="2163"/>
      <c r="F109" s="2175">
        <v>0</v>
      </c>
      <c r="G109" s="2176">
        <v>0</v>
      </c>
    </row>
    <row r="110" spans="2:10" s="2014" customFormat="1" ht="15" customHeight="1" x14ac:dyDescent="0.25">
      <c r="B110" s="2021"/>
      <c r="C110" s="2173" t="s">
        <v>3400</v>
      </c>
      <c r="D110" s="2163"/>
      <c r="E110" s="2163"/>
      <c r="F110" s="2174">
        <v>0</v>
      </c>
      <c r="G110" s="2124">
        <v>0</v>
      </c>
    </row>
    <row r="111" spans="2:10" s="2014" customFormat="1" ht="15" customHeight="1" x14ac:dyDescent="0.25">
      <c r="B111" s="2021"/>
      <c r="C111" s="2173" t="s">
        <v>3401</v>
      </c>
      <c r="D111" s="2163"/>
      <c r="E111" s="2163"/>
      <c r="F111" s="2174">
        <v>0</v>
      </c>
      <c r="G111" s="2124">
        <v>0</v>
      </c>
    </row>
    <row r="112" spans="2:10" s="2014" customFormat="1" ht="15" customHeight="1" x14ac:dyDescent="0.25">
      <c r="B112" s="2021"/>
      <c r="C112" s="2173" t="s">
        <v>3402</v>
      </c>
      <c r="D112" s="2163"/>
      <c r="E112" s="2163"/>
      <c r="F112" s="2174">
        <v>0</v>
      </c>
      <c r="G112" s="2124">
        <v>0</v>
      </c>
    </row>
    <row r="113" spans="2:7" s="2014" customFormat="1" ht="15" customHeight="1" x14ac:dyDescent="0.25">
      <c r="B113" s="2021"/>
      <c r="C113" s="2173" t="s">
        <v>3403</v>
      </c>
      <c r="D113" s="2163"/>
      <c r="E113" s="2163"/>
      <c r="F113" s="2174">
        <v>0</v>
      </c>
      <c r="G113" s="2124">
        <v>0</v>
      </c>
    </row>
    <row r="114" spans="2:7" s="2014" customFormat="1" ht="15" customHeight="1" x14ac:dyDescent="0.25">
      <c r="B114" s="2021"/>
      <c r="C114" s="2173" t="s">
        <v>3404</v>
      </c>
      <c r="D114" s="2163"/>
      <c r="E114" s="2163"/>
      <c r="F114" s="2174">
        <v>0</v>
      </c>
      <c r="G114" s="2177">
        <v>-1574000</v>
      </c>
    </row>
    <row r="115" spans="2:7" s="2014" customFormat="1" ht="15" customHeight="1" x14ac:dyDescent="0.25">
      <c r="B115" s="2021"/>
      <c r="C115" s="2173" t="s">
        <v>3405</v>
      </c>
      <c r="D115" s="2163"/>
      <c r="E115" s="2163"/>
      <c r="F115" s="2174">
        <v>0</v>
      </c>
      <c r="G115" s="2124">
        <v>0</v>
      </c>
    </row>
    <row r="116" spans="2:7" s="2014" customFormat="1" ht="15" customHeight="1" x14ac:dyDescent="0.25">
      <c r="B116" s="2021"/>
      <c r="C116" s="2173" t="s">
        <v>3406</v>
      </c>
      <c r="D116" s="2163"/>
      <c r="E116" s="2163"/>
      <c r="F116" s="2174">
        <v>0</v>
      </c>
      <c r="G116" s="2124">
        <v>0</v>
      </c>
    </row>
    <row r="117" spans="2:7" s="2014" customFormat="1" ht="15" customHeight="1" x14ac:dyDescent="0.25">
      <c r="B117" s="2021"/>
      <c r="C117" s="2173" t="s">
        <v>3407</v>
      </c>
      <c r="D117" s="2163"/>
      <c r="E117" s="2163"/>
      <c r="F117" s="2174">
        <v>0</v>
      </c>
      <c r="G117" s="2124">
        <v>0</v>
      </c>
    </row>
    <row r="118" spans="2:7" s="2014" customFormat="1" ht="15" customHeight="1" x14ac:dyDescent="0.25">
      <c r="B118" s="2021"/>
      <c r="C118" s="2173" t="s">
        <v>3408</v>
      </c>
      <c r="D118" s="2163"/>
      <c r="E118" s="2163"/>
      <c r="F118" s="2178">
        <v>-199500</v>
      </c>
      <c r="G118" s="2177">
        <v>-167000</v>
      </c>
    </row>
    <row r="119" spans="2:7" s="2014" customFormat="1" ht="15" customHeight="1" x14ac:dyDescent="0.25">
      <c r="B119" s="2021"/>
      <c r="C119" s="2179" t="s">
        <v>3409</v>
      </c>
      <c r="D119" s="2163"/>
      <c r="E119" s="2163"/>
      <c r="F119" s="2180">
        <v>6887200</v>
      </c>
      <c r="G119" s="2181">
        <v>4578200</v>
      </c>
    </row>
    <row r="120" spans="2:7" s="2014" customFormat="1" ht="8.25" customHeight="1" x14ac:dyDescent="0.25">
      <c r="B120" s="2039"/>
      <c r="C120" s="2182"/>
      <c r="D120" s="2183"/>
      <c r="E120" s="2183"/>
      <c r="F120" s="2184"/>
      <c r="G120" s="2185"/>
    </row>
    <row r="121" spans="2:7" s="2014" customFormat="1" ht="15" customHeight="1" x14ac:dyDescent="0.25">
      <c r="B121" s="2039"/>
      <c r="C121" s="2179" t="s">
        <v>3410</v>
      </c>
      <c r="D121" s="2163"/>
      <c r="E121" s="2163"/>
      <c r="F121" s="2172"/>
      <c r="G121" s="2185"/>
    </row>
    <row r="122" spans="2:7" s="2014" customFormat="1" ht="7.5" customHeight="1" x14ac:dyDescent="0.25">
      <c r="B122" s="2039"/>
      <c r="C122" s="2173"/>
      <c r="D122" s="2163"/>
      <c r="E122" s="2163"/>
      <c r="F122" s="2172"/>
      <c r="G122" s="2185"/>
    </row>
    <row r="123" spans="2:7" s="2014" customFormat="1" ht="15" customHeight="1" x14ac:dyDescent="0.25">
      <c r="B123" s="2039"/>
      <c r="C123" s="2173" t="s">
        <v>3411</v>
      </c>
      <c r="D123" s="2163"/>
      <c r="E123" s="2163"/>
      <c r="F123" s="2174">
        <v>6452100</v>
      </c>
      <c r="G123" s="2124">
        <v>7568200</v>
      </c>
    </row>
    <row r="124" spans="2:7" s="2014" customFormat="1" ht="15" customHeight="1" x14ac:dyDescent="0.25">
      <c r="B124" s="2039"/>
      <c r="C124" s="2173" t="s">
        <v>3412</v>
      </c>
      <c r="D124" s="2163"/>
      <c r="E124" s="2163"/>
      <c r="F124" s="2186">
        <v>495300</v>
      </c>
      <c r="G124" s="2124">
        <v>410300</v>
      </c>
    </row>
    <row r="125" spans="2:7" s="2014" customFormat="1" ht="15" customHeight="1" x14ac:dyDescent="0.25">
      <c r="B125" s="2039"/>
      <c r="C125" s="2173" t="s">
        <v>3413</v>
      </c>
      <c r="D125" s="2163"/>
      <c r="E125" s="2163"/>
      <c r="F125" s="2174">
        <v>10000</v>
      </c>
      <c r="G125" s="2124">
        <v>0</v>
      </c>
    </row>
    <row r="126" spans="2:7" s="2014" customFormat="1" ht="15" customHeight="1" x14ac:dyDescent="0.25">
      <c r="B126" s="2039"/>
      <c r="C126" s="2173" t="s">
        <v>3414</v>
      </c>
      <c r="D126" s="2163"/>
      <c r="E126" s="2163"/>
      <c r="F126" s="2174">
        <v>0</v>
      </c>
      <c r="G126" s="2124">
        <v>0</v>
      </c>
    </row>
    <row r="127" spans="2:7" s="2014" customFormat="1" ht="15" customHeight="1" x14ac:dyDescent="0.25">
      <c r="B127" s="2039"/>
      <c r="C127" s="2173" t="s">
        <v>3415</v>
      </c>
      <c r="D127" s="2163"/>
      <c r="E127" s="2163"/>
      <c r="F127" s="2174">
        <v>0</v>
      </c>
      <c r="G127" s="2124">
        <v>0</v>
      </c>
    </row>
    <row r="128" spans="2:7" s="2014" customFormat="1" ht="15" customHeight="1" x14ac:dyDescent="0.25">
      <c r="B128" s="2039"/>
      <c r="C128" s="2173" t="s">
        <v>3416</v>
      </c>
      <c r="D128" s="2163"/>
      <c r="E128" s="2163"/>
      <c r="F128" s="2174">
        <v>0</v>
      </c>
      <c r="G128" s="2124">
        <v>0</v>
      </c>
    </row>
    <row r="129" spans="2:9" s="2014" customFormat="1" ht="15" customHeight="1" x14ac:dyDescent="0.25">
      <c r="B129" s="2039"/>
      <c r="C129" s="2173" t="s">
        <v>3404</v>
      </c>
      <c r="D129" s="2163"/>
      <c r="E129" s="2163"/>
      <c r="F129" s="2174">
        <v>0</v>
      </c>
      <c r="G129" s="2177">
        <v>-1574000</v>
      </c>
    </row>
    <row r="130" spans="2:9" s="2014" customFormat="1" ht="15" customHeight="1" x14ac:dyDescent="0.25">
      <c r="B130" s="2039"/>
      <c r="C130" s="2173" t="s">
        <v>3417</v>
      </c>
      <c r="D130" s="2163"/>
      <c r="E130" s="2163"/>
      <c r="F130" s="2174">
        <v>0</v>
      </c>
      <c r="G130" s="2124">
        <v>0</v>
      </c>
    </row>
    <row r="131" spans="2:9" s="2014" customFormat="1" ht="15" customHeight="1" x14ac:dyDescent="0.25">
      <c r="B131" s="2039"/>
      <c r="C131" s="2173" t="s">
        <v>3418</v>
      </c>
      <c r="D131" s="2163"/>
      <c r="E131" s="2163"/>
      <c r="F131" s="2174">
        <v>0</v>
      </c>
      <c r="G131" s="2124">
        <v>0</v>
      </c>
    </row>
    <row r="132" spans="2:9" s="2014" customFormat="1" ht="15" customHeight="1" x14ac:dyDescent="0.25">
      <c r="B132" s="2039"/>
      <c r="C132" s="2173" t="s">
        <v>3405</v>
      </c>
      <c r="D132" s="2163"/>
      <c r="E132" s="2163"/>
      <c r="F132" s="2174">
        <v>0</v>
      </c>
      <c r="G132" s="2124">
        <v>0</v>
      </c>
    </row>
    <row r="133" spans="2:9" s="2014" customFormat="1" ht="15" customHeight="1" x14ac:dyDescent="0.25">
      <c r="B133" s="2039"/>
      <c r="C133" s="2173" t="s">
        <v>3419</v>
      </c>
      <c r="D133" s="2163"/>
      <c r="E133" s="2163"/>
      <c r="F133" s="2178">
        <v>-200</v>
      </c>
      <c r="G133" s="2187">
        <v>47600</v>
      </c>
    </row>
    <row r="134" spans="2:9" s="2014" customFormat="1" ht="15" customHeight="1" x14ac:dyDescent="0.25">
      <c r="B134" s="2039"/>
      <c r="C134" s="2179" t="s">
        <v>3420</v>
      </c>
      <c r="D134" s="2163"/>
      <c r="E134" s="2163"/>
      <c r="F134" s="2180">
        <v>6957200</v>
      </c>
      <c r="G134" s="2188">
        <v>6452100</v>
      </c>
    </row>
    <row r="135" spans="2:9" s="2014" customFormat="1" ht="8.25" customHeight="1" x14ac:dyDescent="0.25">
      <c r="B135" s="2039"/>
      <c r="C135" s="2189"/>
      <c r="D135" s="2183"/>
      <c r="E135" s="2183"/>
      <c r="F135" s="2190"/>
      <c r="G135" s="2185"/>
    </row>
    <row r="136" spans="2:9" s="2014" customFormat="1" ht="15" customHeight="1" x14ac:dyDescent="0.25">
      <c r="B136" s="2039"/>
      <c r="C136" s="2179" t="s">
        <v>3421</v>
      </c>
      <c r="D136" s="2163"/>
      <c r="E136" s="2163"/>
      <c r="F136" s="2172"/>
      <c r="G136" s="2185"/>
    </row>
    <row r="137" spans="2:9" s="2014" customFormat="1" ht="6.75" customHeight="1" x14ac:dyDescent="0.25">
      <c r="B137" s="2039"/>
      <c r="C137" s="2173"/>
      <c r="D137" s="2163"/>
      <c r="E137" s="2163"/>
      <c r="F137" s="2172"/>
      <c r="G137" s="2185"/>
    </row>
    <row r="138" spans="2:9" s="2014" customFormat="1" ht="15" customHeight="1" x14ac:dyDescent="0.25">
      <c r="B138" s="2039"/>
      <c r="C138" s="2173" t="s">
        <v>3422</v>
      </c>
      <c r="D138" s="2163"/>
      <c r="E138" s="2163"/>
      <c r="F138" s="2191">
        <v>6887100</v>
      </c>
      <c r="G138" s="2124">
        <v>4578200</v>
      </c>
    </row>
    <row r="139" spans="2:9" s="2014" customFormat="1" ht="15" customHeight="1" x14ac:dyDescent="0.25">
      <c r="B139" s="2039"/>
      <c r="C139" s="2173" t="s">
        <v>3420</v>
      </c>
      <c r="D139" s="2163"/>
      <c r="E139" s="2163"/>
      <c r="F139" s="2174">
        <v>6957200</v>
      </c>
      <c r="G139" s="2124">
        <v>6452100</v>
      </c>
    </row>
    <row r="140" spans="2:9" s="2014" customFormat="1" ht="15" customHeight="1" x14ac:dyDescent="0.25">
      <c r="B140" s="2039"/>
      <c r="C140" s="2173" t="s">
        <v>3423</v>
      </c>
      <c r="D140" s="2163"/>
      <c r="E140" s="2163"/>
      <c r="F140" s="2192">
        <v>-70100</v>
      </c>
      <c r="G140" s="2187">
        <v>-1873900</v>
      </c>
    </row>
    <row r="141" spans="2:9" s="2014" customFormat="1" ht="15" customHeight="1" thickBot="1" x14ac:dyDescent="0.3">
      <c r="B141" s="2039"/>
      <c r="C141" s="2173" t="s">
        <v>3424</v>
      </c>
      <c r="D141" s="2163"/>
      <c r="E141" s="2163"/>
      <c r="F141" s="2175">
        <v>0</v>
      </c>
      <c r="G141" s="2176">
        <v>0</v>
      </c>
    </row>
    <row r="142" spans="2:9" s="2014" customFormat="1" ht="15" customHeight="1" thickBot="1" x14ac:dyDescent="0.3">
      <c r="B142" s="2193"/>
      <c r="C142" s="2194" t="s">
        <v>3425</v>
      </c>
      <c r="D142" s="2195"/>
      <c r="E142" s="2195"/>
      <c r="F142" s="2196">
        <v>-70100</v>
      </c>
      <c r="G142" s="2197">
        <v>-1873900</v>
      </c>
      <c r="I142" s="2198"/>
    </row>
    <row r="143" spans="2:9" s="2014" customFormat="1" ht="15" customHeight="1" thickTop="1" thickBot="1" x14ac:dyDescent="0.3">
      <c r="B143" s="2199"/>
      <c r="C143" s="2200"/>
      <c r="D143" s="2183"/>
      <c r="E143" s="2183"/>
      <c r="F143" s="2201"/>
      <c r="G143" s="2202"/>
    </row>
    <row r="144" spans="2:9" s="2014" customFormat="1" ht="15" customHeight="1" thickTop="1" x14ac:dyDescent="0.25">
      <c r="B144" s="2203"/>
      <c r="C144" s="2204" t="s">
        <v>3426</v>
      </c>
      <c r="D144" s="2205"/>
      <c r="E144" s="2205"/>
      <c r="F144" s="2206"/>
      <c r="G144" s="2207"/>
      <c r="H144" s="2003"/>
    </row>
    <row r="145" spans="2:8" s="2014" customFormat="1" ht="10.5" customHeight="1" x14ac:dyDescent="0.25">
      <c r="B145" s="2039"/>
      <c r="C145" s="2208"/>
      <c r="D145" s="2163"/>
      <c r="E145" s="2163"/>
      <c r="F145" s="2172"/>
      <c r="G145" s="2165"/>
      <c r="H145" s="2003"/>
    </row>
    <row r="146" spans="2:8" s="2014" customFormat="1" ht="15" customHeight="1" x14ac:dyDescent="0.25">
      <c r="B146" s="2039"/>
      <c r="C146" s="2173" t="s">
        <v>3397</v>
      </c>
      <c r="D146" s="2163"/>
      <c r="E146" s="2163"/>
      <c r="F146" s="2174">
        <v>2170600</v>
      </c>
      <c r="G146" s="2124">
        <v>1824800</v>
      </c>
      <c r="H146" s="2003"/>
    </row>
    <row r="147" spans="2:8" s="2014" customFormat="1" ht="15" customHeight="1" x14ac:dyDescent="0.25">
      <c r="B147" s="2039"/>
      <c r="C147" s="2173" t="s">
        <v>3427</v>
      </c>
      <c r="D147" s="2163"/>
      <c r="E147" s="2163"/>
      <c r="F147" s="2174">
        <v>337900</v>
      </c>
      <c r="G147" s="2124">
        <v>249300</v>
      </c>
      <c r="H147" s="2003"/>
    </row>
    <row r="148" spans="2:8" s="2014" customFormat="1" ht="15" customHeight="1" x14ac:dyDescent="0.25">
      <c r="B148" s="2039"/>
      <c r="C148" s="2209" t="s">
        <v>3398</v>
      </c>
      <c r="D148" s="2163"/>
      <c r="E148" s="2163"/>
      <c r="F148" s="2175">
        <v>0</v>
      </c>
      <c r="G148" s="2210">
        <v>0</v>
      </c>
      <c r="H148" s="2003"/>
    </row>
    <row r="149" spans="2:8" s="2014" customFormat="1" ht="15" customHeight="1" x14ac:dyDescent="0.25">
      <c r="B149" s="2039"/>
      <c r="C149" s="2209" t="s">
        <v>3412</v>
      </c>
      <c r="D149" s="2163"/>
      <c r="E149" s="2163"/>
      <c r="F149" s="2015">
        <v>-495300</v>
      </c>
      <c r="G149" s="2211">
        <v>-410300</v>
      </c>
      <c r="H149" s="2003"/>
    </row>
    <row r="150" spans="2:8" s="2014" customFormat="1" ht="15" customHeight="1" x14ac:dyDescent="0.25">
      <c r="B150" s="2039"/>
      <c r="C150" s="2173" t="s">
        <v>3428</v>
      </c>
      <c r="D150" s="2163"/>
      <c r="E150" s="2163"/>
      <c r="F150" s="2015">
        <v>-199400</v>
      </c>
      <c r="G150" s="2211">
        <v>-214600</v>
      </c>
      <c r="H150" s="2003"/>
    </row>
    <row r="151" spans="2:8" s="2014" customFormat="1" ht="15" customHeight="1" x14ac:dyDescent="0.25">
      <c r="B151" s="2039"/>
      <c r="C151" s="2173" t="s">
        <v>3429</v>
      </c>
      <c r="D151" s="2163"/>
      <c r="E151" s="2163"/>
      <c r="F151" s="2174">
        <v>0</v>
      </c>
      <c r="G151" s="2124">
        <v>0</v>
      </c>
      <c r="H151" s="2003"/>
    </row>
    <row r="152" spans="2:8" s="2014" customFormat="1" ht="15" customHeight="1" x14ac:dyDescent="0.25">
      <c r="B152" s="2039"/>
      <c r="C152" s="2173" t="s">
        <v>3430</v>
      </c>
      <c r="D152" s="2163"/>
      <c r="E152" s="2163"/>
      <c r="F152" s="2174">
        <v>0</v>
      </c>
      <c r="G152" s="2124">
        <v>0</v>
      </c>
      <c r="H152" s="2003"/>
    </row>
    <row r="153" spans="2:8" s="2014" customFormat="1" ht="15" customHeight="1" x14ac:dyDescent="0.25">
      <c r="B153" s="2039"/>
      <c r="C153" s="2173" t="s">
        <v>3431</v>
      </c>
      <c r="D153" s="2163"/>
      <c r="E153" s="2163"/>
      <c r="F153" s="2174">
        <v>0</v>
      </c>
      <c r="G153" s="2124">
        <v>0</v>
      </c>
      <c r="H153" s="2003"/>
    </row>
    <row r="154" spans="2:8" s="2014" customFormat="1" ht="15" customHeight="1" x14ac:dyDescent="0.25">
      <c r="B154" s="2039"/>
      <c r="C154" s="2173" t="s">
        <v>3432</v>
      </c>
      <c r="D154" s="2163"/>
      <c r="E154" s="2163"/>
      <c r="F154" s="2174">
        <v>0</v>
      </c>
      <c r="G154" s="2124">
        <v>0</v>
      </c>
      <c r="H154" s="2003"/>
    </row>
    <row r="155" spans="2:8" s="2014" customFormat="1" ht="15" customHeight="1" x14ac:dyDescent="0.25">
      <c r="B155" s="2039"/>
      <c r="C155" s="2179" t="s">
        <v>3426</v>
      </c>
      <c r="D155" s="2163"/>
      <c r="E155" s="2163"/>
      <c r="F155" s="2174">
        <v>1813800</v>
      </c>
      <c r="G155" s="2124">
        <v>1449200</v>
      </c>
      <c r="H155" s="2003"/>
    </row>
    <row r="156" spans="2:8" s="2014" customFormat="1" ht="11.25" customHeight="1" x14ac:dyDescent="0.25">
      <c r="B156" s="2039"/>
      <c r="C156" s="2189"/>
      <c r="D156" s="2183"/>
      <c r="E156" s="2183"/>
      <c r="F156" s="2184"/>
      <c r="G156" s="2185"/>
    </row>
    <row r="157" spans="2:8" s="2014" customFormat="1" ht="15" customHeight="1" x14ac:dyDescent="0.25">
      <c r="B157" s="2039"/>
      <c r="C157" s="2179" t="s">
        <v>435</v>
      </c>
      <c r="D157" s="2163"/>
      <c r="E157" s="2163"/>
      <c r="F157" s="2172"/>
      <c r="G157" s="2185"/>
    </row>
    <row r="158" spans="2:8" s="2014" customFormat="1" ht="7.5" customHeight="1" x14ac:dyDescent="0.25">
      <c r="B158" s="2039"/>
      <c r="C158" s="2173"/>
      <c r="D158" s="2163"/>
      <c r="E158" s="2163"/>
      <c r="F158" s="2172"/>
      <c r="G158" s="2185"/>
    </row>
    <row r="159" spans="2:8" s="2014" customFormat="1" ht="15" customHeight="1" x14ac:dyDescent="0.25">
      <c r="B159" s="2039"/>
      <c r="C159" s="2173" t="s">
        <v>3433</v>
      </c>
      <c r="D159" s="2163"/>
      <c r="E159" s="2163"/>
      <c r="F159" s="2212">
        <v>7.6700000000000004E-2</v>
      </c>
      <c r="G159" s="2213">
        <v>6.0499999999999998E-2</v>
      </c>
    </row>
    <row r="160" spans="2:8" s="2014" customFormat="1" ht="15" customHeight="1" x14ac:dyDescent="0.25">
      <c r="B160" s="2039"/>
      <c r="C160" s="2173" t="s">
        <v>3434</v>
      </c>
      <c r="D160" s="2163"/>
      <c r="E160" s="2163"/>
      <c r="F160" s="2212">
        <v>7.1199999999999999E-2</v>
      </c>
      <c r="G160" s="2213">
        <v>7.3800000000000004E-2</v>
      </c>
    </row>
    <row r="161" spans="2:10" s="2014" customFormat="1" ht="15" customHeight="1" x14ac:dyDescent="0.25">
      <c r="B161" s="2039"/>
      <c r="C161" s="2173" t="s">
        <v>3435</v>
      </c>
      <c r="D161" s="2163"/>
      <c r="E161" s="2163"/>
      <c r="F161" s="2212">
        <v>0.06</v>
      </c>
      <c r="G161" s="2213">
        <v>0.06</v>
      </c>
    </row>
    <row r="162" spans="2:10" s="2014" customFormat="1" ht="15" customHeight="1" x14ac:dyDescent="0.25">
      <c r="B162" s="2039"/>
      <c r="C162" s="2214" t="s">
        <v>3436</v>
      </c>
      <c r="D162" s="2163"/>
      <c r="E162" s="2163"/>
      <c r="F162" s="2215">
        <v>1</v>
      </c>
      <c r="G162" s="2216">
        <v>1</v>
      </c>
    </row>
    <row r="163" spans="2:10" s="2014" customFormat="1" ht="8.25" customHeight="1" x14ac:dyDescent="0.25">
      <c r="B163" s="2039"/>
      <c r="C163" s="2189"/>
      <c r="D163" s="2183"/>
      <c r="E163" s="2183"/>
      <c r="F163" s="2184"/>
      <c r="G163" s="2185"/>
    </row>
    <row r="164" spans="2:10" s="2014" customFormat="1" ht="15" customHeight="1" x14ac:dyDescent="0.25">
      <c r="B164" s="2021"/>
      <c r="C164" s="2179" t="s">
        <v>3437</v>
      </c>
      <c r="D164" s="2163"/>
      <c r="E164" s="2163"/>
      <c r="F164" s="2172"/>
      <c r="G164" s="2185"/>
      <c r="H164" s="2003"/>
      <c r="I164" s="2003"/>
      <c r="J164" s="2003"/>
    </row>
    <row r="165" spans="2:10" s="2014" customFormat="1" ht="10.5" customHeight="1" x14ac:dyDescent="0.25">
      <c r="B165" s="2021"/>
      <c r="C165" s="2173"/>
      <c r="D165" s="2163"/>
      <c r="E165" s="2163"/>
      <c r="F165" s="2172"/>
      <c r="G165" s="2185"/>
      <c r="H165" s="2003"/>
      <c r="I165" s="2003"/>
      <c r="J165" s="2003"/>
    </row>
    <row r="166" spans="2:10" s="2014" customFormat="1" ht="15" customHeight="1" x14ac:dyDescent="0.25">
      <c r="B166" s="2021"/>
      <c r="C166" s="2173" t="s">
        <v>3438</v>
      </c>
      <c r="D166" s="2163"/>
      <c r="E166" s="2163"/>
      <c r="F166" s="2174">
        <v>6887100</v>
      </c>
      <c r="G166" s="2124">
        <v>4578200</v>
      </c>
      <c r="H166" s="2003"/>
      <c r="I166" s="2003"/>
      <c r="J166" s="2003"/>
    </row>
    <row r="167" spans="2:10" s="2014" customFormat="1" ht="15" customHeight="1" x14ac:dyDescent="0.25">
      <c r="B167" s="2021"/>
      <c r="C167" s="2173" t="s">
        <v>3439</v>
      </c>
      <c r="D167" s="2163"/>
      <c r="E167" s="2163"/>
      <c r="F167" s="2174">
        <v>5913400</v>
      </c>
      <c r="G167" s="2124">
        <v>3862600</v>
      </c>
      <c r="H167" s="2003"/>
      <c r="I167" s="2003"/>
      <c r="J167" s="2003"/>
    </row>
    <row r="168" spans="2:10" s="2014" customFormat="1" ht="15" customHeight="1" x14ac:dyDescent="0.25">
      <c r="B168" s="2021"/>
      <c r="C168" s="2173" t="s">
        <v>3440</v>
      </c>
      <c r="D168" s="2163"/>
      <c r="E168" s="2163"/>
      <c r="F168" s="2174">
        <v>8082600</v>
      </c>
      <c r="G168" s="2124">
        <v>5468100</v>
      </c>
      <c r="H168" s="2003"/>
      <c r="I168" s="2003"/>
      <c r="J168" s="2003"/>
    </row>
    <row r="169" spans="2:10" s="2014" customFormat="1" ht="15" customHeight="1" x14ac:dyDescent="0.25">
      <c r="B169" s="2021"/>
      <c r="C169" s="2173" t="s">
        <v>3441</v>
      </c>
      <c r="D169" s="2163"/>
      <c r="E169" s="2163"/>
      <c r="F169" s="2174">
        <v>8126600</v>
      </c>
      <c r="G169" s="2124">
        <v>5500700</v>
      </c>
      <c r="H169" s="2003"/>
      <c r="I169" s="2003"/>
      <c r="J169" s="2003"/>
    </row>
    <row r="170" spans="2:10" s="2014" customFormat="1" ht="15" customHeight="1" x14ac:dyDescent="0.25">
      <c r="B170" s="2021"/>
      <c r="C170" s="2173" t="s">
        <v>3442</v>
      </c>
      <c r="D170" s="2163"/>
      <c r="E170" s="2163"/>
      <c r="F170" s="2174">
        <v>5864200</v>
      </c>
      <c r="G170" s="2124">
        <v>3827300</v>
      </c>
      <c r="H170" s="2003"/>
      <c r="I170" s="2003"/>
      <c r="J170" s="2003"/>
    </row>
    <row r="171" spans="2:10" s="2014" customFormat="1" ht="15" customHeight="1" x14ac:dyDescent="0.25">
      <c r="B171" s="2021"/>
      <c r="C171" s="2173" t="s">
        <v>3443</v>
      </c>
      <c r="D171" s="2163"/>
      <c r="E171" s="2163"/>
      <c r="F171" s="2174">
        <v>6931300</v>
      </c>
      <c r="G171" s="2124">
        <v>4613100</v>
      </c>
      <c r="H171" s="2003"/>
      <c r="I171" s="2003"/>
      <c r="J171" s="2003"/>
    </row>
    <row r="172" spans="2:10" s="2014" customFormat="1" ht="15" customHeight="1" x14ac:dyDescent="0.25">
      <c r="B172" s="2021"/>
      <c r="C172" s="2173" t="s">
        <v>3444</v>
      </c>
      <c r="D172" s="2163"/>
      <c r="E172" s="2163"/>
      <c r="F172" s="2174">
        <v>6825300</v>
      </c>
      <c r="G172" s="2124">
        <v>4525100</v>
      </c>
      <c r="H172" s="2003"/>
      <c r="I172" s="2003"/>
      <c r="J172" s="2003"/>
    </row>
    <row r="173" spans="2:10" s="2014" customFormat="1" ht="5.25" customHeight="1" x14ac:dyDescent="0.25">
      <c r="B173" s="2021"/>
      <c r="C173" s="2217"/>
      <c r="D173" s="2218"/>
      <c r="E173" s="2218"/>
      <c r="F173" s="2219"/>
      <c r="G173" s="2220"/>
      <c r="H173" s="2003"/>
      <c r="I173" s="2003"/>
      <c r="J173" s="2003"/>
    </row>
    <row r="174" spans="2:10" s="1982" customFormat="1" ht="9" customHeight="1" x14ac:dyDescent="0.25">
      <c r="B174" s="1983"/>
      <c r="C174" s="2022"/>
      <c r="D174" s="2023"/>
      <c r="E174" s="2023"/>
      <c r="F174" s="2221"/>
      <c r="G174" s="2222"/>
      <c r="H174" s="2223"/>
      <c r="I174" s="1994"/>
      <c r="J174" s="1994"/>
    </row>
    <row r="175" spans="2:10" s="2014" customFormat="1" ht="47.25" customHeight="1" x14ac:dyDescent="0.25">
      <c r="B175" s="2224" t="s">
        <v>3445</v>
      </c>
      <c r="C175" s="3146" t="s">
        <v>3446</v>
      </c>
      <c r="D175" s="3147"/>
      <c r="E175" s="3147"/>
      <c r="F175" s="3147"/>
      <c r="G175" s="3148"/>
      <c r="H175" s="2225"/>
      <c r="I175" s="2225"/>
      <c r="J175" s="2003"/>
    </row>
    <row r="176" spans="2:10" s="2230" customFormat="1" ht="10.5" customHeight="1" x14ac:dyDescent="0.25">
      <c r="B176" s="2226"/>
      <c r="C176" s="2227"/>
      <c r="D176" s="2223"/>
      <c r="E176" s="2223"/>
      <c r="F176" s="2228"/>
      <c r="G176" s="2161"/>
      <c r="H176" s="2229"/>
      <c r="I176" s="2229"/>
      <c r="J176" s="2229"/>
    </row>
    <row r="177" spans="2:10" s="2230" customFormat="1" ht="30.75" customHeight="1" x14ac:dyDescent="0.25">
      <c r="B177" s="2231" t="s">
        <v>3447</v>
      </c>
      <c r="C177" s="3121" t="s">
        <v>3448</v>
      </c>
      <c r="D177" s="3122"/>
      <c r="E177" s="3122"/>
      <c r="F177" s="3122"/>
      <c r="G177" s="3123"/>
      <c r="H177" s="2229"/>
      <c r="I177" s="2229"/>
      <c r="J177" s="2229"/>
    </row>
    <row r="178" spans="2:10" s="2230" customFormat="1" ht="7.15" customHeight="1" x14ac:dyDescent="0.25">
      <c r="B178" s="2226"/>
      <c r="C178" s="2235"/>
      <c r="D178" s="2236"/>
      <c r="E178" s="2236"/>
      <c r="F178" s="2237"/>
      <c r="G178" s="2238"/>
      <c r="H178" s="2229"/>
      <c r="I178" s="2229"/>
      <c r="J178" s="2229"/>
    </row>
    <row r="179" spans="2:10" s="2014" customFormat="1" ht="37.5" customHeight="1" x14ac:dyDescent="0.25">
      <c r="B179" s="2224" t="s">
        <v>3449</v>
      </c>
      <c r="C179" s="3149" t="s">
        <v>3450</v>
      </c>
      <c r="D179" s="3150"/>
      <c r="E179" s="3150"/>
      <c r="F179" s="3150"/>
      <c r="G179" s="3151"/>
      <c r="H179" s="3120"/>
      <c r="I179" s="3120"/>
      <c r="J179" s="2003"/>
    </row>
    <row r="180" spans="2:10" s="2014" customFormat="1" ht="6" customHeight="1" x14ac:dyDescent="0.25">
      <c r="B180" s="2021"/>
      <c r="C180" s="2240"/>
      <c r="D180" s="2241"/>
      <c r="E180" s="2241"/>
      <c r="F180" s="2143"/>
      <c r="G180" s="2242"/>
      <c r="H180" s="2225"/>
      <c r="I180" s="2225"/>
      <c r="J180" s="2003"/>
    </row>
    <row r="181" spans="2:10" s="2230" customFormat="1" ht="31.5" customHeight="1" x14ac:dyDescent="0.25">
      <c r="B181" s="2231" t="s">
        <v>3451</v>
      </c>
      <c r="C181" s="3121" t="s">
        <v>3452</v>
      </c>
      <c r="D181" s="3122"/>
      <c r="E181" s="3122"/>
      <c r="F181" s="3122"/>
      <c r="G181" s="3123"/>
      <c r="H181" s="3124"/>
      <c r="I181" s="3124"/>
      <c r="J181" s="2229"/>
    </row>
    <row r="182" spans="2:10" s="2014" customFormat="1" ht="8.25" customHeight="1" x14ac:dyDescent="0.25">
      <c r="B182" s="2021"/>
      <c r="C182" s="2243"/>
      <c r="D182" s="2239"/>
      <c r="E182" s="2239"/>
      <c r="F182" s="2244"/>
      <c r="G182" s="2245"/>
      <c r="H182" s="2225"/>
      <c r="I182" s="2225"/>
      <c r="J182" s="2003"/>
    </row>
    <row r="183" spans="2:10" s="2014" customFormat="1" ht="36" customHeight="1" x14ac:dyDescent="0.25">
      <c r="B183" s="2224" t="s">
        <v>3453</v>
      </c>
      <c r="C183" s="3121" t="s">
        <v>3454</v>
      </c>
      <c r="D183" s="3122"/>
      <c r="E183" s="3122"/>
      <c r="F183" s="3122"/>
      <c r="G183" s="3123"/>
      <c r="H183" s="3120"/>
      <c r="I183" s="3120"/>
      <c r="J183" s="2003"/>
    </row>
    <row r="184" spans="2:10" s="2014" customFormat="1" ht="8.25" customHeight="1" x14ac:dyDescent="0.25">
      <c r="B184" s="2224"/>
      <c r="C184" s="2232"/>
      <c r="D184" s="2233"/>
      <c r="E184" s="2233"/>
      <c r="F184" s="2233"/>
      <c r="G184" s="2234"/>
      <c r="H184" s="2239"/>
      <c r="I184" s="2239"/>
      <c r="J184" s="2003"/>
    </row>
    <row r="185" spans="2:10" s="2014" customFormat="1" x14ac:dyDescent="0.25">
      <c r="B185" s="2224" t="s">
        <v>3455</v>
      </c>
      <c r="C185" s="3152" t="s">
        <v>3456</v>
      </c>
      <c r="D185" s="3153"/>
      <c r="E185" s="3153"/>
      <c r="F185" s="3153"/>
      <c r="G185" s="3154"/>
      <c r="H185" s="2239"/>
      <c r="I185" s="2239"/>
      <c r="J185" s="2003"/>
    </row>
    <row r="186" spans="2:10" s="2014" customFormat="1" ht="33" customHeight="1" x14ac:dyDescent="0.25">
      <c r="B186" s="2224"/>
      <c r="C186" s="3121" t="s">
        <v>3457</v>
      </c>
      <c r="D186" s="3122"/>
      <c r="E186" s="3122"/>
      <c r="F186" s="3122"/>
      <c r="G186" s="3123"/>
      <c r="H186" s="2239"/>
      <c r="I186" s="2239"/>
      <c r="J186" s="2003"/>
    </row>
    <row r="187" spans="2:10" s="2250" customFormat="1" ht="15" customHeight="1" x14ac:dyDescent="0.25">
      <c r="B187" s="2246"/>
      <c r="C187" s="3155" t="s">
        <v>3458</v>
      </c>
      <c r="D187" s="3156"/>
      <c r="E187" s="3157"/>
      <c r="F187" s="2247">
        <v>45382</v>
      </c>
      <c r="G187" s="2248">
        <v>45016</v>
      </c>
      <c r="H187" s="2239"/>
      <c r="I187" s="2239"/>
      <c r="J187" s="2249"/>
    </row>
    <row r="188" spans="2:10" s="2250" customFormat="1" ht="15" customHeight="1" x14ac:dyDescent="0.25">
      <c r="B188" s="2246"/>
      <c r="C188" s="3164" t="s">
        <v>178</v>
      </c>
      <c r="D188" s="3165"/>
      <c r="E188" s="3166"/>
      <c r="F188" s="2251">
        <v>0</v>
      </c>
      <c r="G188" s="2252">
        <v>0</v>
      </c>
      <c r="H188" s="2239"/>
      <c r="I188" s="2239"/>
      <c r="J188" s="2249"/>
    </row>
    <row r="189" spans="2:10" s="2250" customFormat="1" ht="9.75" customHeight="1" x14ac:dyDescent="0.25">
      <c r="B189" s="2246"/>
      <c r="C189" s="2253"/>
      <c r="D189" s="2254"/>
      <c r="E189" s="2255"/>
      <c r="F189" s="2256"/>
      <c r="G189" s="2257"/>
      <c r="H189" s="2239"/>
      <c r="I189" s="2239"/>
      <c r="J189" s="2249"/>
    </row>
    <row r="190" spans="2:10" s="2250" customFormat="1" ht="15" customHeight="1" x14ac:dyDescent="0.25">
      <c r="B190" s="2246"/>
      <c r="C190" s="3158" t="s">
        <v>3459</v>
      </c>
      <c r="D190" s="3159"/>
      <c r="E190" s="3160"/>
      <c r="F190" s="2258">
        <v>0</v>
      </c>
      <c r="G190" s="2259">
        <v>0</v>
      </c>
      <c r="H190" s="2239"/>
      <c r="I190" s="2239"/>
      <c r="J190" s="2249"/>
    </row>
    <row r="191" spans="2:10" s="2250" customFormat="1" ht="6.75" customHeight="1" x14ac:dyDescent="0.25">
      <c r="B191" s="2246"/>
      <c r="C191" s="3161"/>
      <c r="D191" s="3162"/>
      <c r="E191" s="3163"/>
      <c r="F191" s="2256"/>
      <c r="G191" s="2260"/>
      <c r="H191" s="2239"/>
      <c r="I191" s="2239"/>
      <c r="J191" s="2249"/>
    </row>
    <row r="192" spans="2:10" s="2250" customFormat="1" ht="42.75" customHeight="1" x14ac:dyDescent="0.25">
      <c r="B192" s="2246"/>
      <c r="C192" s="3158" t="s">
        <v>3460</v>
      </c>
      <c r="D192" s="3159"/>
      <c r="E192" s="3160"/>
      <c r="F192" s="2258">
        <v>0</v>
      </c>
      <c r="G192" s="2259">
        <v>0</v>
      </c>
      <c r="H192" s="2239"/>
      <c r="I192" s="2239"/>
      <c r="J192" s="2249"/>
    </row>
    <row r="193" spans="2:10" s="2250" customFormat="1" ht="7.5" customHeight="1" x14ac:dyDescent="0.25">
      <c r="B193" s="2246"/>
      <c r="C193" s="3161"/>
      <c r="D193" s="3162"/>
      <c r="E193" s="3163"/>
      <c r="F193" s="2261"/>
      <c r="G193" s="2260"/>
      <c r="H193" s="2239"/>
      <c r="I193" s="2239"/>
      <c r="J193" s="2249"/>
    </row>
    <row r="194" spans="2:10" s="2250" customFormat="1" ht="45.75" customHeight="1" x14ac:dyDescent="0.25">
      <c r="B194" s="2246"/>
      <c r="C194" s="3158" t="s">
        <v>3461</v>
      </c>
      <c r="D194" s="3159"/>
      <c r="E194" s="3160"/>
      <c r="F194" s="2258">
        <v>0</v>
      </c>
      <c r="G194" s="2259">
        <v>0</v>
      </c>
      <c r="H194" s="2239"/>
      <c r="I194" s="2239"/>
      <c r="J194" s="2249"/>
    </row>
    <row r="195" spans="2:10" s="2250" customFormat="1" ht="9" customHeight="1" x14ac:dyDescent="0.25">
      <c r="B195" s="2246"/>
      <c r="C195" s="3161"/>
      <c r="D195" s="3162"/>
      <c r="E195" s="3163"/>
      <c r="F195" s="2261"/>
      <c r="G195" s="2260"/>
      <c r="H195" s="2239"/>
      <c r="I195" s="2239"/>
      <c r="J195" s="2249"/>
    </row>
    <row r="196" spans="2:10" s="2250" customFormat="1" ht="30" customHeight="1" x14ac:dyDescent="0.25">
      <c r="B196" s="2246"/>
      <c r="C196" s="3158" t="s">
        <v>3462</v>
      </c>
      <c r="D196" s="3159"/>
      <c r="E196" s="3160"/>
      <c r="F196" s="2258">
        <v>0</v>
      </c>
      <c r="G196" s="2259">
        <v>0</v>
      </c>
      <c r="H196" s="2239"/>
      <c r="I196" s="2239"/>
      <c r="J196" s="2249"/>
    </row>
    <row r="197" spans="2:10" s="2250" customFormat="1" ht="7.5" customHeight="1" x14ac:dyDescent="0.25">
      <c r="B197" s="2246"/>
      <c r="C197" s="3161"/>
      <c r="D197" s="3162"/>
      <c r="E197" s="3163"/>
      <c r="F197" s="2261"/>
      <c r="G197" s="2260"/>
      <c r="H197" s="2239"/>
      <c r="I197" s="2239"/>
      <c r="J197" s="2249"/>
    </row>
    <row r="198" spans="2:10" s="2250" customFormat="1" ht="57" customHeight="1" x14ac:dyDescent="0.25">
      <c r="B198" s="2246"/>
      <c r="C198" s="3169" t="s">
        <v>3463</v>
      </c>
      <c r="D198" s="3170"/>
      <c r="E198" s="3171"/>
      <c r="F198" s="2256">
        <v>0</v>
      </c>
      <c r="G198" s="2262">
        <v>0</v>
      </c>
      <c r="H198" s="2239"/>
      <c r="I198" s="2239"/>
      <c r="J198" s="2249"/>
    </row>
    <row r="199" spans="2:10" s="2250" customFormat="1" ht="10.5" customHeight="1" x14ac:dyDescent="0.25">
      <c r="B199" s="2246"/>
      <c r="C199" s="2263"/>
      <c r="D199" s="2264"/>
      <c r="E199" s="2264"/>
      <c r="F199" s="2264"/>
      <c r="G199" s="2265"/>
      <c r="H199" s="2239"/>
      <c r="I199" s="2239"/>
      <c r="J199" s="2249"/>
    </row>
    <row r="200" spans="2:10" s="2014" customFormat="1" x14ac:dyDescent="0.25">
      <c r="B200" s="2224" t="s">
        <v>3464</v>
      </c>
      <c r="C200" s="3172" t="s">
        <v>3465</v>
      </c>
      <c r="D200" s="3173"/>
      <c r="E200" s="3173"/>
      <c r="F200" s="3173"/>
      <c r="G200" s="3174"/>
      <c r="H200" s="2239"/>
      <c r="I200" s="2239"/>
      <c r="J200" s="2003"/>
    </row>
    <row r="201" spans="2:10" s="2014" customFormat="1" ht="5.25" customHeight="1" x14ac:dyDescent="0.25">
      <c r="B201" s="1983"/>
      <c r="C201" s="1984"/>
      <c r="D201" s="1985"/>
      <c r="E201" s="1985"/>
      <c r="F201" s="1986"/>
      <c r="G201" s="2118"/>
      <c r="H201" s="2239"/>
      <c r="I201" s="2239"/>
      <c r="J201" s="2003"/>
    </row>
    <row r="202" spans="2:10" s="2014" customFormat="1" x14ac:dyDescent="0.25">
      <c r="B202" s="2266"/>
      <c r="C202" s="2267"/>
      <c r="D202" s="2268"/>
      <c r="E202" s="2268"/>
      <c r="F202" s="2269"/>
      <c r="G202" s="2270"/>
      <c r="H202" s="2239"/>
      <c r="I202" s="2239"/>
      <c r="J202" s="2003"/>
    </row>
    <row r="203" spans="2:10" s="2003" customFormat="1" x14ac:dyDescent="0.25">
      <c r="B203" s="2271" t="s">
        <v>3466</v>
      </c>
      <c r="C203" s="2272"/>
      <c r="D203" s="2272"/>
      <c r="E203" s="3167" t="s">
        <v>3467</v>
      </c>
      <c r="F203" s="3167"/>
      <c r="G203" s="3168"/>
      <c r="H203" s="3120"/>
      <c r="I203" s="3120"/>
      <c r="J203" s="3120"/>
    </row>
    <row r="204" spans="2:10" s="1994" customFormat="1" ht="16.5" customHeight="1" x14ac:dyDescent="0.25">
      <c r="B204" s="2271" t="s">
        <v>3468</v>
      </c>
      <c r="C204" s="2272"/>
      <c r="D204" s="2272"/>
      <c r="E204" s="3167" t="s">
        <v>3469</v>
      </c>
      <c r="F204" s="3167"/>
      <c r="G204" s="3168"/>
    </row>
    <row r="205" spans="2:10" s="1994" customFormat="1" ht="21" customHeight="1" x14ac:dyDescent="0.25">
      <c r="B205" s="2271" t="s">
        <v>3470</v>
      </c>
      <c r="C205" s="2272"/>
      <c r="D205" s="2272"/>
      <c r="E205" s="2272"/>
      <c r="F205" s="2273"/>
      <c r="G205" s="1990"/>
      <c r="H205" s="2272"/>
    </row>
    <row r="206" spans="2:10" s="1994" customFormat="1" ht="18" customHeight="1" x14ac:dyDescent="0.25">
      <c r="B206" s="2271" t="s">
        <v>3471</v>
      </c>
      <c r="C206" s="2272"/>
      <c r="D206" s="2272"/>
      <c r="E206" s="2272"/>
      <c r="F206" s="2273"/>
      <c r="G206" s="2274"/>
      <c r="H206" s="2272"/>
    </row>
    <row r="207" spans="2:10" s="1994" customFormat="1" ht="18" customHeight="1" x14ac:dyDescent="0.25">
      <c r="B207" s="2275"/>
      <c r="C207" s="2272"/>
      <c r="D207" s="2272"/>
      <c r="E207" s="2272"/>
      <c r="F207" s="2273"/>
      <c r="G207" s="2274"/>
      <c r="H207" s="2272"/>
    </row>
    <row r="208" spans="2:10" s="2136" customFormat="1" x14ac:dyDescent="0.25">
      <c r="B208" s="2275"/>
      <c r="C208" s="2272"/>
      <c r="D208" s="2272"/>
      <c r="E208" s="2272"/>
      <c r="F208" s="2273"/>
      <c r="G208" s="2274"/>
      <c r="H208" s="2272"/>
    </row>
    <row r="209" spans="2:10" s="2136" customFormat="1" x14ac:dyDescent="0.25">
      <c r="B209" s="2271" t="s">
        <v>3472</v>
      </c>
      <c r="C209" s="2272"/>
      <c r="D209" s="2272"/>
      <c r="E209" s="2276" t="s">
        <v>3473</v>
      </c>
      <c r="F209" s="2272" t="s">
        <v>3474</v>
      </c>
      <c r="G209" s="2277"/>
      <c r="H209" s="2272"/>
    </row>
    <row r="210" spans="2:10" s="2136" customFormat="1" x14ac:dyDescent="0.25">
      <c r="B210" s="2278" t="s">
        <v>3475</v>
      </c>
      <c r="C210" s="2272"/>
      <c r="D210" s="2272"/>
      <c r="E210" s="2276" t="s">
        <v>3476</v>
      </c>
      <c r="F210" s="2272" t="s">
        <v>3476</v>
      </c>
      <c r="G210" s="2274"/>
      <c r="H210" s="2272"/>
    </row>
    <row r="211" spans="2:10" s="2136" customFormat="1" x14ac:dyDescent="0.25">
      <c r="B211" s="2271" t="s">
        <v>3477</v>
      </c>
      <c r="C211" s="2272"/>
      <c r="D211" s="2272"/>
      <c r="E211" s="2276" t="s">
        <v>3478</v>
      </c>
      <c r="F211" s="2272" t="s">
        <v>3479</v>
      </c>
      <c r="G211" s="2274"/>
      <c r="H211" s="2272"/>
    </row>
    <row r="212" spans="2:10" s="2136" customFormat="1" ht="11.25" customHeight="1" x14ac:dyDescent="0.25">
      <c r="B212" s="2271"/>
      <c r="C212" s="2272"/>
      <c r="D212" s="2272"/>
      <c r="E212" s="2279"/>
      <c r="F212" s="2272"/>
      <c r="G212" s="2277"/>
      <c r="H212" s="2272"/>
    </row>
    <row r="213" spans="2:10" s="2136" customFormat="1" x14ac:dyDescent="0.25">
      <c r="B213" s="2271" t="s">
        <v>3480</v>
      </c>
      <c r="C213" s="2272"/>
      <c r="D213" s="2272"/>
      <c r="E213" s="2276" t="s">
        <v>3481</v>
      </c>
      <c r="F213" s="2272" t="s">
        <v>3480</v>
      </c>
      <c r="G213" s="2277"/>
      <c r="H213" s="2272"/>
    </row>
    <row r="214" spans="2:10" s="2136" customFormat="1" ht="15.75" thickBot="1" x14ac:dyDescent="0.3">
      <c r="B214" s="2280" t="s">
        <v>3482</v>
      </c>
      <c r="C214" s="2281"/>
      <c r="D214" s="2281"/>
      <c r="E214" s="2282" t="s">
        <v>3483</v>
      </c>
      <c r="F214" s="2281" t="s">
        <v>3484</v>
      </c>
      <c r="G214" s="2283"/>
      <c r="H214" s="2272"/>
    </row>
    <row r="215" spans="2:10" ht="15.75" thickTop="1" x14ac:dyDescent="0.25"/>
    <row r="218" spans="2:10" ht="15.75" thickBot="1" x14ac:dyDescent="0.3"/>
    <row r="219" spans="2:10" ht="15.75" thickBot="1" x14ac:dyDescent="0.3">
      <c r="J219" s="2287"/>
    </row>
    <row r="283" spans="5:5" s="1976" customFormat="1" x14ac:dyDescent="0.25">
      <c r="E283" s="1976">
        <v>0</v>
      </c>
    </row>
    <row r="284" spans="5:5" s="1976" customFormat="1" x14ac:dyDescent="0.25">
      <c r="E284" s="1976">
        <v>0</v>
      </c>
    </row>
  </sheetData>
  <mergeCells count="44">
    <mergeCell ref="C188:E188"/>
    <mergeCell ref="E204:G204"/>
    <mergeCell ref="C196:E196"/>
    <mergeCell ref="C197:E197"/>
    <mergeCell ref="C198:E198"/>
    <mergeCell ref="C200:G200"/>
    <mergeCell ref="E203:G203"/>
    <mergeCell ref="H203:J203"/>
    <mergeCell ref="C190:E190"/>
    <mergeCell ref="C191:E191"/>
    <mergeCell ref="C192:E192"/>
    <mergeCell ref="C193:E193"/>
    <mergeCell ref="C194:E194"/>
    <mergeCell ref="C195:E195"/>
    <mergeCell ref="C183:G183"/>
    <mergeCell ref="H183:I183"/>
    <mergeCell ref="C185:G185"/>
    <mergeCell ref="C186:G186"/>
    <mergeCell ref="C187:E187"/>
    <mergeCell ref="H179:I179"/>
    <mergeCell ref="C181:G181"/>
    <mergeCell ref="H181:I181"/>
    <mergeCell ref="C96:G96"/>
    <mergeCell ref="C98:G98"/>
    <mergeCell ref="C100:G100"/>
    <mergeCell ref="C101:E102"/>
    <mergeCell ref="F101:F102"/>
    <mergeCell ref="G101:G102"/>
    <mergeCell ref="C103:E103"/>
    <mergeCell ref="C175:G175"/>
    <mergeCell ref="C177:G177"/>
    <mergeCell ref="C179:G179"/>
    <mergeCell ref="C79:D79"/>
    <mergeCell ref="C1:G1"/>
    <mergeCell ref="C2:G2"/>
    <mergeCell ref="D3:F3"/>
    <mergeCell ref="C18:E18"/>
    <mergeCell ref="C55:D55"/>
    <mergeCell ref="C61:D61"/>
    <mergeCell ref="C73:E73"/>
    <mergeCell ref="C74:D74"/>
    <mergeCell ref="C75:D75"/>
    <mergeCell ref="C76:D76"/>
    <mergeCell ref="C78:D78"/>
  </mergeCells>
  <pageMargins left="0.39" right="0.14000000000000001" top="0.54" bottom="0.46" header="0.3" footer="0.62"/>
  <pageSetup scale="62" fitToHeight="9" orientation="portrait" r:id="rId1"/>
  <rowBreaks count="1" manualBreakCount="1">
    <brk id="69" min="1" max="6"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G20"/>
  <sheetViews>
    <sheetView zoomScale="80" zoomScaleNormal="80" workbookViewId="0">
      <selection activeCell="B19" sqref="B19"/>
    </sheetView>
  </sheetViews>
  <sheetFormatPr defaultColWidth="9.140625" defaultRowHeight="16.5" x14ac:dyDescent="0.3"/>
  <cols>
    <col min="1" max="1" width="3.7109375" style="1" customWidth="1"/>
    <col min="2" max="2" width="65.7109375" style="1" bestFit="1" customWidth="1"/>
    <col min="3" max="4" width="28.42578125" style="1" bestFit="1" customWidth="1"/>
    <col min="5" max="5" width="14.140625" style="1" bestFit="1" customWidth="1"/>
    <col min="6" max="6" width="30" style="1" bestFit="1" customWidth="1"/>
    <col min="7" max="7" width="8" style="1" bestFit="1" customWidth="1"/>
    <col min="8" max="16384" width="9.140625" style="1"/>
  </cols>
  <sheetData>
    <row r="2" spans="2:7" x14ac:dyDescent="0.3">
      <c r="B2" s="1812" t="s">
        <v>3184</v>
      </c>
    </row>
    <row r="3" spans="2:7" x14ac:dyDescent="0.3">
      <c r="B3" s="1812" t="s">
        <v>3185</v>
      </c>
    </row>
    <row r="4" spans="2:7" x14ac:dyDescent="0.3">
      <c r="B4" s="1812"/>
    </row>
    <row r="5" spans="2:7" x14ac:dyDescent="0.3">
      <c r="B5" s="1812" t="s">
        <v>3186</v>
      </c>
    </row>
    <row r="6" spans="2:7" x14ac:dyDescent="0.3">
      <c r="F6" s="1790" t="s">
        <v>3197</v>
      </c>
      <c r="G6" s="1815">
        <v>0.2208</v>
      </c>
    </row>
    <row r="7" spans="2:7" x14ac:dyDescent="0.3">
      <c r="B7" s="1813" t="s">
        <v>20</v>
      </c>
      <c r="C7" s="1813" t="s">
        <v>3187</v>
      </c>
      <c r="D7" s="1813" t="s">
        <v>3188</v>
      </c>
      <c r="E7" s="1813" t="s">
        <v>3195</v>
      </c>
      <c r="F7" s="1813" t="s">
        <v>3194</v>
      </c>
      <c r="G7" s="4"/>
    </row>
    <row r="8" spans="2:7" x14ac:dyDescent="0.3">
      <c r="B8" s="183"/>
      <c r="C8" s="183"/>
      <c r="D8" s="183"/>
      <c r="E8" s="183"/>
      <c r="F8" s="183"/>
    </row>
    <row r="9" spans="2:7" x14ac:dyDescent="0.3">
      <c r="B9" s="183" t="s">
        <v>3189</v>
      </c>
      <c r="C9" s="183"/>
      <c r="D9" s="183"/>
      <c r="E9" s="183"/>
      <c r="F9" s="183"/>
    </row>
    <row r="10" spans="2:7" x14ac:dyDescent="0.3">
      <c r="B10" s="183"/>
      <c r="C10" s="183"/>
      <c r="D10" s="183"/>
      <c r="E10" s="183"/>
      <c r="F10" s="183"/>
    </row>
    <row r="11" spans="2:7" x14ac:dyDescent="0.3">
      <c r="B11" s="183" t="s">
        <v>3190</v>
      </c>
      <c r="C11" s="1784">
        <v>337572.94249999995</v>
      </c>
      <c r="D11" s="1810">
        <v>214585.2936634667</v>
      </c>
      <c r="E11" s="183"/>
      <c r="F11" s="183"/>
    </row>
    <row r="12" spans="2:7" x14ac:dyDescent="0.3">
      <c r="B12" s="183" t="s">
        <v>3191</v>
      </c>
      <c r="C12" s="1784">
        <f>+(FAR!W46)*100</f>
        <v>240382.09999999998</v>
      </c>
      <c r="D12" s="1810">
        <v>57500</v>
      </c>
      <c r="E12" s="183"/>
      <c r="F12" s="183"/>
    </row>
    <row r="13" spans="2:7" x14ac:dyDescent="0.3">
      <c r="B13" s="183" t="s">
        <v>1153</v>
      </c>
      <c r="C13" s="1811">
        <f>+C11-C12</f>
        <v>97190.84249999997</v>
      </c>
      <c r="D13" s="1811">
        <f>+D11-D12</f>
        <v>157085.2936634667</v>
      </c>
      <c r="E13" s="1784">
        <f>-C13*$G$6</f>
        <v>-21459.738023999995</v>
      </c>
      <c r="F13" s="183"/>
    </row>
    <row r="14" spans="2:7" x14ac:dyDescent="0.3">
      <c r="B14" s="183"/>
      <c r="C14" s="1811"/>
      <c r="D14" s="1811"/>
      <c r="E14" s="1784"/>
      <c r="F14" s="183"/>
    </row>
    <row r="15" spans="2:7" x14ac:dyDescent="0.3">
      <c r="B15" s="183" t="s">
        <v>3192</v>
      </c>
      <c r="C15" s="1784">
        <v>88362.333333333256</v>
      </c>
      <c r="D15" s="1784">
        <v>0</v>
      </c>
      <c r="E15" s="1784">
        <f>-C15*$G$6</f>
        <v>-19510.403199999982</v>
      </c>
      <c r="F15" s="183"/>
    </row>
    <row r="16" spans="2:7" x14ac:dyDescent="0.3">
      <c r="B16" s="183"/>
      <c r="C16" s="183"/>
      <c r="D16" s="1784"/>
      <c r="E16" s="1784"/>
      <c r="F16" s="183"/>
    </row>
    <row r="17" spans="2:6" x14ac:dyDescent="0.3">
      <c r="B17" s="183" t="s">
        <v>3093</v>
      </c>
      <c r="C17" s="1784">
        <v>3343429</v>
      </c>
      <c r="D17" s="1784">
        <v>0</v>
      </c>
      <c r="E17" s="1784">
        <f>-C17*$G$6</f>
        <v>-738229.12320000003</v>
      </c>
      <c r="F17" s="183"/>
    </row>
    <row r="18" spans="2:6" x14ac:dyDescent="0.3">
      <c r="B18" s="183"/>
      <c r="C18" s="183"/>
      <c r="D18" s="183"/>
      <c r="E18" s="183"/>
      <c r="F18" s="183"/>
    </row>
    <row r="19" spans="2:6" x14ac:dyDescent="0.3">
      <c r="B19" s="390" t="s">
        <v>3196</v>
      </c>
      <c r="C19" s="390"/>
      <c r="D19" s="390"/>
      <c r="E19" s="1814">
        <f>+SUM(E13:E17)/100</f>
        <v>-7791.9926442400001</v>
      </c>
      <c r="F19" s="390"/>
    </row>
    <row r="20" spans="2:6" x14ac:dyDescent="0.3">
      <c r="B20" s="4" t="s">
        <v>3198</v>
      </c>
      <c r="E20" s="1">
        <f>+'AS 22 Disclosures'!E36</f>
        <v>359.41</v>
      </c>
    </row>
  </sheetData>
  <pageMargins left="0.7" right="0.7" top="0.75" bottom="0.75" header="0.3" footer="0.3"/>
  <pageSetup paperSize="9" orientation="portrait" horizontalDpi="200" verticalDpi="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H20"/>
  <sheetViews>
    <sheetView showGridLines="0" workbookViewId="0"/>
  </sheetViews>
  <sheetFormatPr defaultColWidth="8.85546875" defaultRowHeight="16.5" x14ac:dyDescent="0.3"/>
  <cols>
    <col min="1" max="1" width="2.7109375" style="1" customWidth="1"/>
    <col min="2" max="6" width="8.85546875" style="1"/>
    <col min="7" max="7" width="13.28515625" style="1" customWidth="1"/>
    <col min="8" max="8" width="17.85546875" style="1" customWidth="1"/>
    <col min="9" max="16384" width="8.85546875" style="1"/>
  </cols>
  <sheetData>
    <row r="2" spans="2:8" x14ac:dyDescent="0.3">
      <c r="B2" s="4" t="s">
        <v>3488</v>
      </c>
    </row>
    <row r="3" spans="2:8" x14ac:dyDescent="0.3">
      <c r="B3" s="2304" t="s">
        <v>376</v>
      </c>
    </row>
    <row r="4" spans="2:8" x14ac:dyDescent="0.3">
      <c r="B4" s="1" t="s">
        <v>3489</v>
      </c>
    </row>
    <row r="5" spans="2:8" x14ac:dyDescent="0.3">
      <c r="B5" s="1" t="s">
        <v>3490</v>
      </c>
    </row>
    <row r="6" spans="2:8" x14ac:dyDescent="0.3">
      <c r="B6" s="1" t="s">
        <v>3491</v>
      </c>
    </row>
    <row r="8" spans="2:8" x14ac:dyDescent="0.3">
      <c r="B8" s="1" t="s">
        <v>3492</v>
      </c>
    </row>
    <row r="9" spans="2:8" x14ac:dyDescent="0.3">
      <c r="B9" s="1" t="s">
        <v>3493</v>
      </c>
    </row>
    <row r="11" spans="2:8" ht="45" x14ac:dyDescent="0.3">
      <c r="B11" s="3175" t="s">
        <v>20</v>
      </c>
      <c r="C11" s="3176"/>
      <c r="D11" s="3176"/>
      <c r="E11" s="3176"/>
      <c r="F11" s="3176"/>
      <c r="G11" s="3176"/>
      <c r="H11" s="2305" t="s">
        <v>3494</v>
      </c>
    </row>
    <row r="12" spans="2:8" x14ac:dyDescent="0.3">
      <c r="B12" s="3177"/>
      <c r="C12" s="3178"/>
      <c r="D12" s="3178"/>
      <c r="E12" s="3178"/>
      <c r="F12" s="3178"/>
      <c r="G12" s="3178"/>
      <c r="H12" s="2306" t="s">
        <v>1801</v>
      </c>
    </row>
    <row r="13" spans="2:8" x14ac:dyDescent="0.3">
      <c r="B13" s="403" t="s">
        <v>3495</v>
      </c>
      <c r="C13" s="534"/>
      <c r="D13" s="534"/>
      <c r="E13" s="534"/>
      <c r="F13" s="534"/>
      <c r="G13" s="534"/>
      <c r="H13" s="398"/>
    </row>
    <row r="14" spans="2:8" x14ac:dyDescent="0.3">
      <c r="B14" s="186" t="s">
        <v>366</v>
      </c>
      <c r="H14" s="1811">
        <v>10331846.5</v>
      </c>
    </row>
    <row r="15" spans="2:8" x14ac:dyDescent="0.3">
      <c r="B15" s="186" t="s">
        <v>367</v>
      </c>
      <c r="H15" s="1811">
        <v>2969400.625</v>
      </c>
    </row>
    <row r="16" spans="2:8" x14ac:dyDescent="0.3">
      <c r="B16" s="964" t="s">
        <v>368</v>
      </c>
      <c r="C16" s="535"/>
      <c r="D16" s="535"/>
      <c r="E16" s="535"/>
      <c r="F16" s="535"/>
      <c r="G16" s="535"/>
      <c r="H16" s="2307">
        <v>0</v>
      </c>
    </row>
    <row r="17" spans="2:8" x14ac:dyDescent="0.3">
      <c r="B17" s="186"/>
      <c r="H17" s="2308">
        <f>SUM(H14:H16)</f>
        <v>13301247.125</v>
      </c>
    </row>
    <row r="18" spans="2:8" x14ac:dyDescent="0.3">
      <c r="B18" s="186"/>
      <c r="H18" s="183"/>
    </row>
    <row r="19" spans="2:8" x14ac:dyDescent="0.3">
      <c r="B19" s="186" t="s">
        <v>3496</v>
      </c>
      <c r="H19" s="1811">
        <f>+'Notes To P&amp;L'!E293*100</f>
        <v>9261994.5800000001</v>
      </c>
    </row>
    <row r="20" spans="2:8" x14ac:dyDescent="0.3">
      <c r="B20" s="964"/>
      <c r="C20" s="535"/>
      <c r="D20" s="535"/>
      <c r="E20" s="535"/>
      <c r="F20" s="535"/>
      <c r="G20" s="535"/>
      <c r="H20" s="184"/>
    </row>
  </sheetData>
  <mergeCells count="1">
    <mergeCell ref="B11:G1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Z958"/>
  <sheetViews>
    <sheetView showGridLines="0" topLeftCell="B937" zoomScale="80" zoomScaleNormal="80" workbookViewId="0">
      <selection activeCell="E958" sqref="E958"/>
    </sheetView>
  </sheetViews>
  <sheetFormatPr defaultColWidth="8.7109375" defaultRowHeight="16.5" x14ac:dyDescent="0.3"/>
  <cols>
    <col min="1" max="1" width="7" style="1" hidden="1" customWidth="1"/>
    <col min="2" max="2" width="3.42578125" style="1" customWidth="1"/>
    <col min="3" max="3" width="69.28515625" style="409" bestFit="1" customWidth="1"/>
    <col min="4" max="4" width="30.5703125" style="409" customWidth="1"/>
    <col min="5" max="5" width="23.140625" style="409" bestFit="1" customWidth="1"/>
    <col min="6" max="6" width="20.5703125" style="409" customWidth="1"/>
    <col min="7" max="10" width="21.5703125" style="409" customWidth="1"/>
    <col min="11" max="11" width="22.28515625" style="1" customWidth="1"/>
    <col min="12" max="12" width="3.7109375" style="408" customWidth="1"/>
    <col min="13" max="13" width="10.5703125" style="408" customWidth="1"/>
    <col min="14" max="14" width="10.5703125" style="1" customWidth="1"/>
    <col min="15" max="15" width="35.5703125" style="1" bestFit="1" customWidth="1"/>
    <col min="16" max="26" width="1.7109375" style="1" hidden="1" customWidth="1"/>
    <col min="27" max="32" width="10.5703125" style="1" customWidth="1"/>
    <col min="33" max="16384" width="8.7109375" style="1"/>
  </cols>
  <sheetData>
    <row r="1" spans="1:19" s="344" customFormat="1" x14ac:dyDescent="0.3">
      <c r="C1" s="788"/>
      <c r="D1" s="788"/>
      <c r="E1" s="788"/>
      <c r="F1" s="788"/>
      <c r="G1" s="788"/>
      <c r="H1" s="788"/>
      <c r="I1" s="788"/>
      <c r="J1" s="788"/>
      <c r="L1" s="789"/>
      <c r="M1" s="789"/>
    </row>
    <row r="2" spans="1:19" s="344" customFormat="1" x14ac:dyDescent="0.3">
      <c r="C2" s="788"/>
      <c r="D2" s="788"/>
      <c r="E2" s="788"/>
      <c r="F2" s="788"/>
      <c r="G2" s="788"/>
      <c r="H2" s="788"/>
      <c r="I2" s="788"/>
      <c r="J2" s="788"/>
      <c r="L2" s="789"/>
      <c r="M2" s="789"/>
    </row>
    <row r="3" spans="1:19" s="344" customFormat="1" x14ac:dyDescent="0.3">
      <c r="C3" s="788"/>
      <c r="D3" s="788"/>
      <c r="E3" s="788"/>
      <c r="F3" s="788"/>
      <c r="G3" s="788"/>
      <c r="H3" s="788"/>
      <c r="I3" s="788"/>
      <c r="J3" s="788"/>
      <c r="L3" s="789"/>
      <c r="M3" s="789"/>
    </row>
    <row r="4" spans="1:19" s="344" customFormat="1" x14ac:dyDescent="0.3">
      <c r="C4" s="788"/>
      <c r="D4" s="788"/>
      <c r="E4" s="788"/>
      <c r="F4" s="788"/>
      <c r="G4" s="788"/>
      <c r="H4" s="788"/>
      <c r="I4" s="788"/>
      <c r="J4" s="788"/>
      <c r="L4" s="789"/>
      <c r="M4" s="789"/>
    </row>
    <row r="5" spans="1:19" s="344" customFormat="1" x14ac:dyDescent="0.3">
      <c r="C5" s="788"/>
      <c r="D5" s="788"/>
      <c r="E5" s="788"/>
      <c r="F5" s="788"/>
      <c r="G5" s="788"/>
      <c r="H5" s="788"/>
      <c r="I5" s="788"/>
      <c r="J5" s="788"/>
      <c r="L5" s="789"/>
      <c r="M5" s="789"/>
    </row>
    <row r="6" spans="1:19" s="344" customFormat="1" x14ac:dyDescent="0.3">
      <c r="C6" s="788"/>
      <c r="D6" s="788"/>
      <c r="E6" s="788"/>
      <c r="F6" s="788"/>
      <c r="G6" s="788"/>
      <c r="H6" s="788"/>
      <c r="I6" s="788"/>
      <c r="J6" s="788"/>
      <c r="L6" s="789"/>
      <c r="M6" s="789"/>
    </row>
    <row r="7" spans="1:19" ht="19.5" customHeight="1" x14ac:dyDescent="0.3">
      <c r="C7" s="406"/>
      <c r="D7" s="407"/>
      <c r="E7" s="407"/>
      <c r="F7" s="407"/>
      <c r="G7" s="407"/>
      <c r="H7" s="407"/>
      <c r="I7" s="407"/>
      <c r="J7" s="407"/>
      <c r="K7" s="408"/>
      <c r="N7" s="408"/>
    </row>
    <row r="8" spans="1:19" x14ac:dyDescent="0.3">
      <c r="C8" s="411" t="str">
        <f>Liabilities!C11</f>
        <v>Note 3 : Share Capital</v>
      </c>
      <c r="J8" s="1" t="str">
        <f>Rounding_factor_Text</f>
        <v>Amount in Rs '00.</v>
      </c>
      <c r="K8" s="408"/>
      <c r="O8" s="1" t="s">
        <v>1132</v>
      </c>
      <c r="P8" s="1">
        <v>1390</v>
      </c>
      <c r="Q8" s="1">
        <v>3</v>
      </c>
      <c r="R8" s="1" t="s">
        <v>840</v>
      </c>
      <c r="S8" s="1">
        <v>0</v>
      </c>
    </row>
    <row r="9" spans="1:19" ht="20.100000000000001" customHeight="1" x14ac:dyDescent="0.3">
      <c r="A9" s="1" t="s">
        <v>730</v>
      </c>
      <c r="C9" s="517"/>
      <c r="D9" s="419"/>
      <c r="E9" s="419"/>
      <c r="F9" s="419"/>
      <c r="G9" s="419"/>
      <c r="H9" s="419"/>
      <c r="I9" s="419"/>
      <c r="J9" s="518"/>
      <c r="K9" s="519"/>
    </row>
    <row r="10" spans="1:19" x14ac:dyDescent="0.3">
      <c r="C10" s="425"/>
      <c r="D10" s="419"/>
      <c r="E10" s="1924"/>
      <c r="F10" s="3223" t="s">
        <v>1341</v>
      </c>
      <c r="G10" s="3220" t="str">
        <f>BSCY</f>
        <v>As At 31st March 2025</v>
      </c>
      <c r="H10" s="3221"/>
      <c r="I10" s="3222" t="str">
        <f>BSPY</f>
        <v>As At 31st March 2024</v>
      </c>
      <c r="J10" s="3222"/>
      <c r="K10" s="439"/>
    </row>
    <row r="11" spans="1:19" x14ac:dyDescent="0.3">
      <c r="C11" s="3225" t="s">
        <v>1133</v>
      </c>
      <c r="D11" s="3226"/>
      <c r="E11" s="3227"/>
      <c r="F11" s="3224"/>
      <c r="G11" s="420" t="s">
        <v>442</v>
      </c>
      <c r="H11" s="420" t="s">
        <v>183</v>
      </c>
      <c r="I11" s="420" t="s">
        <v>442</v>
      </c>
      <c r="J11" s="420" t="s">
        <v>183</v>
      </c>
      <c r="K11" s="439"/>
      <c r="N11" s="408"/>
      <c r="S11" s="413"/>
    </row>
    <row r="12" spans="1:19" x14ac:dyDescent="0.3">
      <c r="C12" s="441" t="s">
        <v>124</v>
      </c>
      <c r="D12" s="415"/>
      <c r="E12" s="416"/>
      <c r="F12" s="1922">
        <v>100</v>
      </c>
      <c r="G12" s="525">
        <v>300000</v>
      </c>
      <c r="H12" s="524">
        <f>(F12*G12)/Rounding_factor</f>
        <v>300000</v>
      </c>
      <c r="I12" s="525">
        <v>300000</v>
      </c>
      <c r="J12" s="524">
        <f>(F12*I12)/Rounding_factor</f>
        <v>300000</v>
      </c>
      <c r="K12" s="439"/>
      <c r="N12" s="408"/>
      <c r="P12" s="1" t="s">
        <v>1134</v>
      </c>
      <c r="Q12" s="1">
        <v>335</v>
      </c>
      <c r="R12" s="1">
        <v>1</v>
      </c>
      <c r="S12" s="413" t="s">
        <v>990</v>
      </c>
    </row>
    <row r="13" spans="1:19" hidden="1" x14ac:dyDescent="0.3">
      <c r="C13" s="441" t="s">
        <v>126</v>
      </c>
      <c r="D13" s="415"/>
      <c r="E13" s="416"/>
      <c r="F13" s="1922"/>
      <c r="G13" s="525"/>
      <c r="H13" s="524">
        <f>(F13*G13)/Rounding_factor</f>
        <v>0</v>
      </c>
      <c r="I13" s="440"/>
      <c r="J13" s="440"/>
      <c r="K13" s="439"/>
      <c r="N13" s="408"/>
      <c r="P13" s="1" t="s">
        <v>629</v>
      </c>
      <c r="Q13" s="1">
        <v>638</v>
      </c>
      <c r="R13" s="1">
        <v>1</v>
      </c>
      <c r="S13" s="413" t="s">
        <v>840</v>
      </c>
    </row>
    <row r="14" spans="1:19" hidden="1" x14ac:dyDescent="0.3">
      <c r="C14" s="441" t="s">
        <v>1338</v>
      </c>
      <c r="D14" s="415"/>
      <c r="E14" s="416"/>
      <c r="F14" s="1922"/>
      <c r="G14" s="525">
        <v>0</v>
      </c>
      <c r="H14" s="524">
        <f>(F14*G14)/Rounding_factor</f>
        <v>0</v>
      </c>
      <c r="I14" s="440">
        <v>0</v>
      </c>
      <c r="J14" s="524">
        <f>(F14*I14)/Rounding_factor</f>
        <v>0</v>
      </c>
      <c r="K14" s="439"/>
      <c r="N14" s="408"/>
      <c r="P14" s="1" t="s">
        <v>6</v>
      </c>
      <c r="Q14" s="1">
        <v>645</v>
      </c>
      <c r="R14" s="1">
        <v>1</v>
      </c>
      <c r="S14" s="413" t="s">
        <v>840</v>
      </c>
    </row>
    <row r="15" spans="1:19" hidden="1" x14ac:dyDescent="0.3">
      <c r="C15" s="441" t="s">
        <v>1339</v>
      </c>
      <c r="D15" s="415"/>
      <c r="E15" s="416"/>
      <c r="F15" s="1922"/>
      <c r="G15" s="525"/>
      <c r="H15" s="524">
        <f>(F15*G15)/Rounding_factor</f>
        <v>0</v>
      </c>
      <c r="I15" s="440"/>
      <c r="J15" s="440"/>
      <c r="K15" s="439"/>
      <c r="N15" s="408"/>
      <c r="S15" s="413"/>
    </row>
    <row r="16" spans="1:19" hidden="1" x14ac:dyDescent="0.3">
      <c r="C16" s="441" t="s">
        <v>1340</v>
      </c>
      <c r="D16" s="415"/>
      <c r="E16" s="416"/>
      <c r="F16" s="1922"/>
      <c r="G16" s="525"/>
      <c r="H16" s="524">
        <f>(F16*G16)/Rounding_factor</f>
        <v>0</v>
      </c>
      <c r="I16" s="440"/>
      <c r="J16" s="440"/>
      <c r="K16" s="439"/>
      <c r="N16" s="408"/>
      <c r="S16" s="413"/>
    </row>
    <row r="17" spans="3:19" x14ac:dyDescent="0.3">
      <c r="C17" s="3228" t="s">
        <v>1342</v>
      </c>
      <c r="D17" s="3229"/>
      <c r="E17" s="3230"/>
      <c r="F17" s="415"/>
      <c r="G17" s="533"/>
      <c r="H17" s="1"/>
      <c r="I17" s="1"/>
      <c r="J17" s="1"/>
      <c r="K17" s="439"/>
      <c r="L17" s="408" t="s">
        <v>1135</v>
      </c>
      <c r="N17" s="408"/>
      <c r="P17" s="1" t="s">
        <v>1136</v>
      </c>
      <c r="Q17" s="1">
        <v>505</v>
      </c>
      <c r="R17" s="1">
        <v>1</v>
      </c>
      <c r="S17" s="413" t="s">
        <v>990</v>
      </c>
    </row>
    <row r="18" spans="3:19" x14ac:dyDescent="0.3">
      <c r="C18" s="441" t="s">
        <v>124</v>
      </c>
      <c r="D18" s="415"/>
      <c r="E18" s="416"/>
      <c r="F18" s="1922">
        <v>100</v>
      </c>
      <c r="G18" s="525">
        <v>150000</v>
      </c>
      <c r="H18" s="527">
        <f>(F18*G18)/Rounding_factor</f>
        <v>150000</v>
      </c>
      <c r="I18" s="525">
        <v>150000</v>
      </c>
      <c r="J18" s="527">
        <f>(F18*I18)/Rounding_factor</f>
        <v>150000</v>
      </c>
      <c r="K18" s="439"/>
      <c r="L18" s="408" t="s">
        <v>1135</v>
      </c>
      <c r="N18" s="408"/>
      <c r="P18" s="1" t="s">
        <v>1137</v>
      </c>
      <c r="Q18" s="1">
        <v>659</v>
      </c>
      <c r="R18" s="1">
        <v>1</v>
      </c>
      <c r="S18" s="413" t="s">
        <v>840</v>
      </c>
    </row>
    <row r="19" spans="3:19" hidden="1" x14ac:dyDescent="0.3">
      <c r="C19" s="441" t="s">
        <v>126</v>
      </c>
      <c r="D19" s="415"/>
      <c r="E19" s="416"/>
      <c r="F19" s="1923"/>
      <c r="G19" s="525"/>
      <c r="H19" s="524">
        <f>(F19*G19)/Rounding_factor</f>
        <v>0</v>
      </c>
      <c r="I19" s="440"/>
      <c r="J19" s="440"/>
      <c r="K19" s="439"/>
      <c r="L19" s="408" t="s">
        <v>1135</v>
      </c>
      <c r="N19" s="408"/>
      <c r="P19" s="1" t="s">
        <v>1138</v>
      </c>
      <c r="Q19" s="1">
        <v>666</v>
      </c>
      <c r="R19" s="1">
        <v>1</v>
      </c>
      <c r="S19" s="413" t="s">
        <v>840</v>
      </c>
    </row>
    <row r="20" spans="3:19" hidden="1" x14ac:dyDescent="0.3">
      <c r="C20" s="441" t="s">
        <v>1338</v>
      </c>
      <c r="D20" s="415"/>
      <c r="E20" s="416"/>
      <c r="F20" s="1923"/>
      <c r="G20" s="525">
        <v>0</v>
      </c>
      <c r="H20" s="524">
        <f>(F20*G20)/Rounding_factor</f>
        <v>0</v>
      </c>
      <c r="I20" s="440">
        <v>0</v>
      </c>
      <c r="J20" s="524">
        <f>(F20*I20)/Rounding_factor</f>
        <v>0</v>
      </c>
      <c r="K20" s="439"/>
      <c r="L20" s="408" t="s">
        <v>1135</v>
      </c>
      <c r="N20" s="408"/>
      <c r="P20" s="1" t="s">
        <v>1139</v>
      </c>
      <c r="Q20" s="1">
        <v>565</v>
      </c>
      <c r="R20" s="1">
        <v>1</v>
      </c>
      <c r="S20" s="413" t="s">
        <v>990</v>
      </c>
    </row>
    <row r="21" spans="3:19" hidden="1" x14ac:dyDescent="0.3">
      <c r="C21" s="441" t="s">
        <v>1339</v>
      </c>
      <c r="D21" s="415"/>
      <c r="E21" s="416"/>
      <c r="F21" s="1923"/>
      <c r="G21" s="525"/>
      <c r="H21" s="524">
        <f>(F21*G21)/Rounding_factor</f>
        <v>0</v>
      </c>
      <c r="I21" s="440"/>
      <c r="J21" s="440"/>
      <c r="K21" s="520"/>
      <c r="L21" s="226"/>
      <c r="N21" s="408"/>
      <c r="S21" s="413"/>
    </row>
    <row r="22" spans="3:19" hidden="1" x14ac:dyDescent="0.3">
      <c r="C22" s="441" t="s">
        <v>1340</v>
      </c>
      <c r="D22" s="415"/>
      <c r="E22" s="416"/>
      <c r="F22" s="1923"/>
      <c r="G22" s="525"/>
      <c r="H22" s="524">
        <f>(F22*G22)/Rounding_factor</f>
        <v>0</v>
      </c>
      <c r="I22" s="440"/>
      <c r="J22" s="440"/>
      <c r="K22" s="439"/>
      <c r="N22" s="408"/>
      <c r="S22" s="413"/>
    </row>
    <row r="23" spans="3:19" x14ac:dyDescent="0.3">
      <c r="C23" s="3228" t="s">
        <v>1343</v>
      </c>
      <c r="D23" s="3229"/>
      <c r="E23" s="3230"/>
      <c r="F23" s="1"/>
      <c r="G23" s="533"/>
      <c r="H23" s="1"/>
      <c r="I23" s="1"/>
      <c r="J23" s="1"/>
      <c r="K23" s="439"/>
      <c r="L23" s="408" t="s">
        <v>1135</v>
      </c>
      <c r="N23" s="408"/>
      <c r="P23" s="1" t="s">
        <v>508</v>
      </c>
      <c r="Q23" s="1">
        <v>680</v>
      </c>
      <c r="R23" s="1">
        <v>1</v>
      </c>
      <c r="S23" s="413" t="s">
        <v>990</v>
      </c>
    </row>
    <row r="24" spans="3:19" x14ac:dyDescent="0.3">
      <c r="C24" s="442" t="s">
        <v>124</v>
      </c>
      <c r="D24" s="418"/>
      <c r="E24" s="1925"/>
      <c r="F24" s="1922">
        <v>100</v>
      </c>
      <c r="G24" s="525">
        <v>150000</v>
      </c>
      <c r="H24" s="440">
        <f>(G24*F18)/Rounding_factor</f>
        <v>150000</v>
      </c>
      <c r="I24" s="525">
        <v>150000</v>
      </c>
      <c r="J24" s="527">
        <f>(F24*I24)/Rounding_factor</f>
        <v>150000</v>
      </c>
      <c r="K24" s="439"/>
      <c r="L24" s="408" t="s">
        <v>1135</v>
      </c>
      <c r="N24" s="408"/>
      <c r="P24" s="1" t="s">
        <v>1140</v>
      </c>
      <c r="Q24" s="1">
        <v>687</v>
      </c>
      <c r="R24" s="1">
        <v>1</v>
      </c>
      <c r="S24" s="413" t="s">
        <v>990</v>
      </c>
    </row>
    <row r="25" spans="3:19" hidden="1" x14ac:dyDescent="0.3">
      <c r="C25" s="441" t="s">
        <v>126</v>
      </c>
      <c r="D25" s="415"/>
      <c r="E25" s="415"/>
      <c r="F25" s="1919"/>
      <c r="G25" s="1920"/>
      <c r="H25" s="1921">
        <f>(G25*F19)/Rounding_factor</f>
        <v>0</v>
      </c>
      <c r="I25" s="1921"/>
      <c r="J25" s="1921"/>
      <c r="K25" s="439"/>
      <c r="L25" s="408" t="s">
        <v>1135</v>
      </c>
      <c r="N25" s="408"/>
      <c r="P25" s="1" t="s">
        <v>181</v>
      </c>
      <c r="Q25" s="1">
        <v>709</v>
      </c>
      <c r="R25" s="1">
        <v>2</v>
      </c>
      <c r="S25" s="413" t="s">
        <v>990</v>
      </c>
    </row>
    <row r="26" spans="3:19" hidden="1" x14ac:dyDescent="0.3">
      <c r="C26" s="441" t="s">
        <v>1338</v>
      </c>
      <c r="D26" s="415"/>
      <c r="E26" s="415"/>
      <c r="F26" s="526"/>
      <c r="G26" s="525">
        <v>0</v>
      </c>
      <c r="H26" s="440">
        <f>(G26*F20)/Rounding_factor</f>
        <v>0</v>
      </c>
      <c r="I26" s="440">
        <v>0</v>
      </c>
      <c r="J26" s="524">
        <f>(F26*I26)/Rounding_factor</f>
        <v>0</v>
      </c>
      <c r="K26" s="439"/>
      <c r="L26" s="408" t="s">
        <v>1135</v>
      </c>
      <c r="N26" s="408"/>
      <c r="P26" s="1" t="s">
        <v>98</v>
      </c>
      <c r="Q26" s="1">
        <v>709</v>
      </c>
      <c r="R26" s="1">
        <v>2</v>
      </c>
      <c r="S26" s="413" t="s">
        <v>840</v>
      </c>
    </row>
    <row r="27" spans="3:19" hidden="1" x14ac:dyDescent="0.3">
      <c r="C27" s="441" t="s">
        <v>1339</v>
      </c>
      <c r="D27" s="415"/>
      <c r="E27" s="415"/>
      <c r="F27" s="526"/>
      <c r="G27" s="525"/>
      <c r="H27" s="440">
        <f>(G27*F21)/Rounding_factor</f>
        <v>0</v>
      </c>
      <c r="I27" s="440"/>
      <c r="J27" s="440"/>
      <c r="K27" s="439"/>
      <c r="N27" s="408"/>
      <c r="S27" s="413"/>
    </row>
    <row r="28" spans="3:19" hidden="1" x14ac:dyDescent="0.3">
      <c r="C28" s="442" t="s">
        <v>1340</v>
      </c>
      <c r="D28" s="418"/>
      <c r="E28" s="418"/>
      <c r="F28" s="526"/>
      <c r="G28" s="525"/>
      <c r="H28" s="440">
        <f>(G28*F22)/Rounding_factor</f>
        <v>0</v>
      </c>
      <c r="I28" s="440"/>
      <c r="J28" s="440"/>
      <c r="K28" s="439"/>
      <c r="L28" s="408" t="s">
        <v>1135</v>
      </c>
      <c r="N28" s="408"/>
      <c r="P28" s="1" t="s">
        <v>1141</v>
      </c>
      <c r="Q28" s="1">
        <v>709</v>
      </c>
      <c r="R28" s="1">
        <v>2</v>
      </c>
      <c r="S28" s="413" t="s">
        <v>990</v>
      </c>
    </row>
    <row r="29" spans="3:19" hidden="1" x14ac:dyDescent="0.3">
      <c r="C29" s="3231" t="s">
        <v>1344</v>
      </c>
      <c r="D29" s="3232"/>
      <c r="E29" s="3232"/>
      <c r="F29" s="431" t="s">
        <v>1346</v>
      </c>
      <c r="G29" s="415"/>
      <c r="H29" s="434"/>
      <c r="I29" s="434"/>
      <c r="J29" s="408"/>
      <c r="K29" s="439"/>
      <c r="P29" s="1">
        <v>709</v>
      </c>
      <c r="Q29" s="1">
        <v>2</v>
      </c>
      <c r="R29" s="413" t="s">
        <v>990</v>
      </c>
    </row>
    <row r="30" spans="3:19" hidden="1" x14ac:dyDescent="0.3">
      <c r="C30" s="441" t="s">
        <v>124</v>
      </c>
      <c r="D30" s="415"/>
      <c r="E30" s="415"/>
      <c r="F30" s="523">
        <v>0</v>
      </c>
      <c r="G30" s="525"/>
      <c r="H30" s="527">
        <f>(F30*G30)/Rounding_factor</f>
        <v>0</v>
      </c>
      <c r="I30" s="527">
        <v>0</v>
      </c>
      <c r="J30" s="527"/>
      <c r="K30" s="439"/>
      <c r="R30" s="413"/>
    </row>
    <row r="31" spans="3:19" hidden="1" x14ac:dyDescent="0.3">
      <c r="C31" s="441" t="s">
        <v>126</v>
      </c>
      <c r="D31" s="415"/>
      <c r="E31" s="415"/>
      <c r="F31" s="523"/>
      <c r="G31" s="525"/>
      <c r="H31" s="524">
        <f>(F31*G31)/Rounding_factor</f>
        <v>0</v>
      </c>
      <c r="I31" s="440"/>
      <c r="J31" s="440"/>
      <c r="K31" s="439"/>
      <c r="R31" s="413"/>
    </row>
    <row r="32" spans="3:19" hidden="1" x14ac:dyDescent="0.3">
      <c r="C32" s="441" t="s">
        <v>1338</v>
      </c>
      <c r="D32" s="415"/>
      <c r="E32" s="415"/>
      <c r="F32" s="523"/>
      <c r="G32" s="525"/>
      <c r="H32" s="524">
        <f>(F32*G32)/Rounding_factor</f>
        <v>0</v>
      </c>
      <c r="I32" s="440">
        <v>0</v>
      </c>
      <c r="J32" s="524"/>
      <c r="K32" s="439"/>
      <c r="R32" s="413"/>
    </row>
    <row r="33" spans="3:19" hidden="1" x14ac:dyDescent="0.3">
      <c r="C33" s="441" t="s">
        <v>1339</v>
      </c>
      <c r="D33" s="415"/>
      <c r="E33" s="415"/>
      <c r="F33" s="523"/>
      <c r="G33" s="525"/>
      <c r="H33" s="524">
        <f>(F33*G33)/Rounding_factor</f>
        <v>0</v>
      </c>
      <c r="I33" s="440"/>
      <c r="J33" s="440"/>
      <c r="K33" s="439"/>
      <c r="R33" s="413"/>
    </row>
    <row r="34" spans="3:19" hidden="1" x14ac:dyDescent="0.3">
      <c r="C34" s="442" t="s">
        <v>1340</v>
      </c>
      <c r="D34" s="418"/>
      <c r="E34" s="418"/>
      <c r="F34" s="523"/>
      <c r="G34" s="525"/>
      <c r="H34" s="524">
        <f>(F34*G34)/Rounding_factor</f>
        <v>0</v>
      </c>
      <c r="I34" s="440"/>
      <c r="J34" s="440"/>
      <c r="K34" s="439"/>
      <c r="R34" s="413"/>
    </row>
    <row r="35" spans="3:19" hidden="1" x14ac:dyDescent="0.3">
      <c r="C35" s="418"/>
      <c r="D35" s="418"/>
      <c r="E35" s="418"/>
      <c r="F35" s="418"/>
      <c r="G35" s="418"/>
      <c r="H35" s="418"/>
      <c r="I35" s="418"/>
      <c r="J35" s="521"/>
      <c r="K35" s="522"/>
      <c r="R35" s="413"/>
    </row>
    <row r="36" spans="3:19" x14ac:dyDescent="0.3">
      <c r="K36" s="408"/>
      <c r="N36" s="408"/>
      <c r="S36" s="413"/>
    </row>
    <row r="37" spans="3:19" x14ac:dyDescent="0.3">
      <c r="K37" s="408"/>
      <c r="N37" s="408"/>
      <c r="S37" s="413"/>
    </row>
    <row r="38" spans="3:19" x14ac:dyDescent="0.3">
      <c r="C38" s="411" t="str">
        <f>Liabilities!C49</f>
        <v>(i) Reconciliation of the number of shares and amount outstanding at the beginning and at the end of the reporting period:</v>
      </c>
      <c r="K38" s="408"/>
      <c r="N38" s="408"/>
      <c r="S38" s="413"/>
    </row>
    <row r="39" spans="3:19" x14ac:dyDescent="0.3">
      <c r="C39" s="411"/>
      <c r="K39" s="408"/>
      <c r="N39" s="408"/>
      <c r="S39" s="413"/>
    </row>
    <row r="40" spans="3:19" x14ac:dyDescent="0.3">
      <c r="C40" s="2746" t="s">
        <v>20</v>
      </c>
      <c r="D40" s="2747"/>
      <c r="E40" s="2715" t="str">
        <f>BSCY</f>
        <v>As At 31st March 2025</v>
      </c>
      <c r="F40" s="2716"/>
      <c r="G40" s="2715" t="str">
        <f>BSPY</f>
        <v>As At 31st March 2024</v>
      </c>
      <c r="H40" s="2716"/>
      <c r="K40" s="408"/>
      <c r="N40" s="408"/>
      <c r="S40" s="413"/>
    </row>
    <row r="41" spans="3:19" x14ac:dyDescent="0.3">
      <c r="C41" s="3238"/>
      <c r="D41" s="3239"/>
      <c r="E41" s="1929" t="s">
        <v>442</v>
      </c>
      <c r="F41" s="1929" t="s">
        <v>183</v>
      </c>
      <c r="G41" s="1929" t="s">
        <v>442</v>
      </c>
      <c r="H41" s="1929" t="s">
        <v>183</v>
      </c>
      <c r="K41" s="408"/>
      <c r="N41" s="408"/>
      <c r="S41" s="413"/>
    </row>
    <row r="42" spans="3:19" x14ac:dyDescent="0.3">
      <c r="C42" s="566" t="s">
        <v>124</v>
      </c>
      <c r="D42" s="529"/>
      <c r="E42" s="168"/>
      <c r="F42" s="168"/>
      <c r="G42" s="168"/>
      <c r="H42" s="168"/>
      <c r="K42" s="408"/>
      <c r="N42" s="408"/>
      <c r="S42" s="413"/>
    </row>
    <row r="43" spans="3:19" x14ac:dyDescent="0.3">
      <c r="C43" s="567" t="s">
        <v>804</v>
      </c>
      <c r="D43" s="41"/>
      <c r="E43" s="970">
        <v>150000</v>
      </c>
      <c r="F43" s="970">
        <f>+E43*100/100</f>
        <v>150000</v>
      </c>
      <c r="G43" s="970">
        <v>150000</v>
      </c>
      <c r="H43" s="970">
        <f>+G43*100/100</f>
        <v>150000</v>
      </c>
      <c r="K43" s="408"/>
      <c r="N43" s="408"/>
      <c r="S43" s="413"/>
    </row>
    <row r="44" spans="3:19" hidden="1" x14ac:dyDescent="0.3">
      <c r="C44" s="317" t="s">
        <v>118</v>
      </c>
      <c r="D44" s="41"/>
      <c r="E44" s="970">
        <v>0</v>
      </c>
      <c r="F44" s="970">
        <v>0</v>
      </c>
      <c r="G44" s="970">
        <v>0</v>
      </c>
      <c r="H44" s="970">
        <v>0</v>
      </c>
      <c r="K44" s="408"/>
      <c r="N44" s="408"/>
      <c r="S44" s="413"/>
    </row>
    <row r="45" spans="3:19" hidden="1" x14ac:dyDescent="0.3">
      <c r="C45" s="317" t="s">
        <v>119</v>
      </c>
      <c r="D45" s="41"/>
      <c r="E45" s="970">
        <v>0</v>
      </c>
      <c r="F45" s="970">
        <v>0</v>
      </c>
      <c r="G45" s="970">
        <v>0</v>
      </c>
      <c r="H45" s="970">
        <v>0</v>
      </c>
      <c r="K45" s="408"/>
      <c r="N45" s="408"/>
      <c r="S45" s="413"/>
    </row>
    <row r="46" spans="3:19" hidden="1" x14ac:dyDescent="0.3">
      <c r="C46" s="317" t="s">
        <v>120</v>
      </c>
      <c r="D46" s="41"/>
      <c r="E46" s="970">
        <v>0</v>
      </c>
      <c r="F46" s="970">
        <v>0</v>
      </c>
      <c r="G46" s="970">
        <v>0</v>
      </c>
      <c r="H46" s="970">
        <v>0</v>
      </c>
      <c r="K46" s="408"/>
      <c r="N46" s="408"/>
      <c r="S46" s="413"/>
    </row>
    <row r="47" spans="3:19" hidden="1" x14ac:dyDescent="0.3">
      <c r="C47" s="317" t="s">
        <v>121</v>
      </c>
      <c r="D47" s="41"/>
      <c r="E47" s="970">
        <v>0</v>
      </c>
      <c r="F47" s="970">
        <v>0</v>
      </c>
      <c r="G47" s="970">
        <v>0</v>
      </c>
      <c r="H47" s="970">
        <v>0</v>
      </c>
      <c r="K47" s="408"/>
      <c r="N47" s="408"/>
      <c r="S47" s="413"/>
    </row>
    <row r="48" spans="3:19" hidden="1" x14ac:dyDescent="0.3">
      <c r="C48" s="317" t="s">
        <v>122</v>
      </c>
      <c r="D48" s="41"/>
      <c r="E48" s="970">
        <v>0</v>
      </c>
      <c r="F48" s="970">
        <v>0</v>
      </c>
      <c r="G48" s="970">
        <v>0</v>
      </c>
      <c r="H48" s="970">
        <v>0</v>
      </c>
      <c r="K48" s="408"/>
      <c r="N48" s="408"/>
      <c r="S48" s="413"/>
    </row>
    <row r="49" spans="3:19" hidden="1" x14ac:dyDescent="0.3">
      <c r="C49" s="317" t="s">
        <v>123</v>
      </c>
      <c r="D49" s="41"/>
      <c r="E49" s="970">
        <v>0</v>
      </c>
      <c r="F49" s="970">
        <v>0</v>
      </c>
      <c r="G49" s="970">
        <v>0</v>
      </c>
      <c r="H49" s="970">
        <v>0</v>
      </c>
      <c r="K49" s="408"/>
      <c r="N49" s="408"/>
      <c r="S49" s="413"/>
    </row>
    <row r="50" spans="3:19" hidden="1" x14ac:dyDescent="0.3">
      <c r="C50" s="322" t="s">
        <v>805</v>
      </c>
      <c r="D50" s="36"/>
      <c r="E50" s="986">
        <f>E43+SUM(E44:E49)</f>
        <v>150000</v>
      </c>
      <c r="F50" s="986">
        <f>F43+SUM(F44:F49)</f>
        <v>150000</v>
      </c>
      <c r="G50" s="986">
        <f>G43+SUM(G44:G49)</f>
        <v>150000</v>
      </c>
      <c r="H50" s="986">
        <f>H43+SUM(H44:H49)</f>
        <v>150000</v>
      </c>
      <c r="K50" s="408"/>
      <c r="N50" s="408"/>
      <c r="S50" s="413"/>
    </row>
    <row r="51" spans="3:19" hidden="1" x14ac:dyDescent="0.3">
      <c r="C51" s="286"/>
      <c r="D51" s="41"/>
      <c r="E51" s="134"/>
      <c r="F51" s="134"/>
      <c r="G51" s="134"/>
      <c r="H51" s="134"/>
      <c r="K51" s="408"/>
      <c r="N51" s="408"/>
      <c r="S51" s="413"/>
    </row>
    <row r="52" spans="3:19" hidden="1" x14ac:dyDescent="0.3">
      <c r="C52" s="422" t="s">
        <v>126</v>
      </c>
      <c r="D52" s="415"/>
      <c r="E52" s="429"/>
      <c r="F52" s="429"/>
      <c r="G52" s="429"/>
      <c r="H52" s="429"/>
      <c r="K52" s="408"/>
      <c r="N52" s="408"/>
      <c r="S52" s="413"/>
    </row>
    <row r="53" spans="3:19" hidden="1" x14ac:dyDescent="0.3">
      <c r="C53" s="567" t="s">
        <v>804</v>
      </c>
      <c r="D53" s="415"/>
      <c r="E53" s="1888">
        <v>0</v>
      </c>
      <c r="F53" s="1888">
        <v>0</v>
      </c>
      <c r="G53" s="1888">
        <v>0</v>
      </c>
      <c r="H53" s="1888">
        <v>0</v>
      </c>
      <c r="K53" s="408"/>
      <c r="N53" s="408"/>
      <c r="S53" s="413"/>
    </row>
    <row r="54" spans="3:19" hidden="1" x14ac:dyDescent="0.3">
      <c r="C54" s="317" t="s">
        <v>118</v>
      </c>
      <c r="D54" s="415"/>
      <c r="E54" s="1888">
        <v>0</v>
      </c>
      <c r="F54" s="1888">
        <v>0</v>
      </c>
      <c r="G54" s="1888">
        <v>0</v>
      </c>
      <c r="H54" s="1888">
        <v>0</v>
      </c>
      <c r="K54" s="408"/>
      <c r="N54" s="408"/>
      <c r="S54" s="413"/>
    </row>
    <row r="55" spans="3:19" hidden="1" x14ac:dyDescent="0.3">
      <c r="C55" s="317" t="s">
        <v>119</v>
      </c>
      <c r="D55" s="415"/>
      <c r="E55" s="1888">
        <v>0</v>
      </c>
      <c r="F55" s="1888">
        <v>0</v>
      </c>
      <c r="G55" s="1888">
        <v>0</v>
      </c>
      <c r="H55" s="1888">
        <v>0</v>
      </c>
      <c r="K55" s="408"/>
      <c r="N55" s="408"/>
      <c r="S55" s="413"/>
    </row>
    <row r="56" spans="3:19" hidden="1" x14ac:dyDescent="0.3">
      <c r="C56" s="317" t="s">
        <v>120</v>
      </c>
      <c r="D56" s="415"/>
      <c r="E56" s="1888">
        <v>0</v>
      </c>
      <c r="F56" s="1888">
        <v>0</v>
      </c>
      <c r="G56" s="1888">
        <v>0</v>
      </c>
      <c r="H56" s="1888">
        <v>0</v>
      </c>
      <c r="K56" s="408"/>
      <c r="N56" s="408"/>
      <c r="S56" s="413"/>
    </row>
    <row r="57" spans="3:19" hidden="1" x14ac:dyDescent="0.3">
      <c r="C57" s="317" t="s">
        <v>121</v>
      </c>
      <c r="D57" s="415"/>
      <c r="E57" s="1888">
        <v>0</v>
      </c>
      <c r="F57" s="1888">
        <v>0</v>
      </c>
      <c r="G57" s="1888">
        <v>0</v>
      </c>
      <c r="H57" s="1888">
        <v>0</v>
      </c>
      <c r="K57" s="408"/>
      <c r="N57" s="408"/>
      <c r="S57" s="413"/>
    </row>
    <row r="58" spans="3:19" hidden="1" x14ac:dyDescent="0.3">
      <c r="C58" s="317" t="s">
        <v>122</v>
      </c>
      <c r="D58" s="415"/>
      <c r="E58" s="1888">
        <v>0</v>
      </c>
      <c r="F58" s="1888">
        <v>0</v>
      </c>
      <c r="G58" s="1888">
        <v>0</v>
      </c>
      <c r="H58" s="1888">
        <v>0</v>
      </c>
      <c r="K58" s="408"/>
      <c r="N58" s="408"/>
      <c r="S58" s="413"/>
    </row>
    <row r="59" spans="3:19" hidden="1" x14ac:dyDescent="0.3">
      <c r="C59" s="317" t="s">
        <v>123</v>
      </c>
      <c r="D59" s="415"/>
      <c r="E59" s="1888">
        <v>0</v>
      </c>
      <c r="F59" s="1888">
        <v>0</v>
      </c>
      <c r="G59" s="1888">
        <v>0</v>
      </c>
      <c r="H59" s="1888">
        <v>0</v>
      </c>
      <c r="K59" s="408"/>
      <c r="N59" s="408"/>
      <c r="S59" s="413"/>
    </row>
    <row r="60" spans="3:19" hidden="1" x14ac:dyDescent="0.3">
      <c r="C60" s="322" t="s">
        <v>805</v>
      </c>
      <c r="D60" s="36"/>
      <c r="E60" s="986">
        <f>E53+SUM(E54:E59)</f>
        <v>0</v>
      </c>
      <c r="F60" s="986">
        <f>F53+SUM(F54:F59)</f>
        <v>0</v>
      </c>
      <c r="G60" s="986">
        <f>G53+SUM(G54:G59)</f>
        <v>0</v>
      </c>
      <c r="H60" s="986">
        <f>H53+SUM(H54:H59)</f>
        <v>0</v>
      </c>
      <c r="K60" s="408"/>
      <c r="N60" s="408"/>
      <c r="S60" s="413"/>
    </row>
    <row r="61" spans="3:19" hidden="1" x14ac:dyDescent="0.3">
      <c r="C61" s="422"/>
      <c r="D61" s="415"/>
      <c r="E61" s="429"/>
      <c r="F61" s="429"/>
      <c r="G61" s="429"/>
      <c r="H61" s="429"/>
      <c r="K61" s="408"/>
      <c r="N61" s="408"/>
      <c r="S61" s="413"/>
    </row>
    <row r="62" spans="3:19" hidden="1" x14ac:dyDescent="0.3">
      <c r="C62" s="422" t="s">
        <v>1338</v>
      </c>
      <c r="D62" s="415"/>
      <c r="E62" s="429"/>
      <c r="F62" s="429"/>
      <c r="G62" s="429"/>
      <c r="H62" s="429"/>
      <c r="K62" s="408"/>
      <c r="N62" s="408"/>
      <c r="S62" s="413"/>
    </row>
    <row r="63" spans="3:19" hidden="1" x14ac:dyDescent="0.3">
      <c r="C63" s="286" t="s">
        <v>804</v>
      </c>
      <c r="D63" s="415"/>
      <c r="E63" s="1888">
        <v>0</v>
      </c>
      <c r="F63" s="1888">
        <v>0</v>
      </c>
      <c r="G63" s="1888">
        <v>0</v>
      </c>
      <c r="H63" s="1888">
        <v>0</v>
      </c>
      <c r="K63" s="408"/>
      <c r="N63" s="408"/>
      <c r="S63" s="413"/>
    </row>
    <row r="64" spans="3:19" hidden="1" x14ac:dyDescent="0.3">
      <c r="C64" s="317" t="s">
        <v>118</v>
      </c>
      <c r="D64" s="415"/>
      <c r="E64" s="1888">
        <v>0</v>
      </c>
      <c r="F64" s="1888">
        <v>0</v>
      </c>
      <c r="G64" s="1888">
        <v>0</v>
      </c>
      <c r="H64" s="1888">
        <v>0</v>
      </c>
      <c r="K64" s="408"/>
      <c r="N64" s="408"/>
      <c r="S64" s="413"/>
    </row>
    <row r="65" spans="3:19" hidden="1" x14ac:dyDescent="0.3">
      <c r="C65" s="317" t="s">
        <v>119</v>
      </c>
      <c r="D65" s="415"/>
      <c r="E65" s="1888">
        <v>0</v>
      </c>
      <c r="F65" s="1888">
        <v>0</v>
      </c>
      <c r="G65" s="1888">
        <v>0</v>
      </c>
      <c r="H65" s="1888">
        <v>0</v>
      </c>
      <c r="K65" s="408"/>
      <c r="N65" s="408"/>
      <c r="S65" s="413"/>
    </row>
    <row r="66" spans="3:19" hidden="1" x14ac:dyDescent="0.3">
      <c r="C66" s="317" t="s">
        <v>120</v>
      </c>
      <c r="D66" s="415"/>
      <c r="E66" s="1888">
        <v>0</v>
      </c>
      <c r="F66" s="1888">
        <v>0</v>
      </c>
      <c r="G66" s="1888">
        <v>0</v>
      </c>
      <c r="H66" s="1888">
        <v>0</v>
      </c>
      <c r="K66" s="408"/>
      <c r="N66" s="408"/>
      <c r="S66" s="413"/>
    </row>
    <row r="67" spans="3:19" hidden="1" x14ac:dyDescent="0.3">
      <c r="C67" s="317" t="s">
        <v>121</v>
      </c>
      <c r="D67" s="415"/>
      <c r="E67" s="1888">
        <v>0</v>
      </c>
      <c r="F67" s="1888">
        <v>0</v>
      </c>
      <c r="G67" s="1888">
        <v>0</v>
      </c>
      <c r="H67" s="1888">
        <v>0</v>
      </c>
      <c r="K67" s="408"/>
      <c r="N67" s="408"/>
      <c r="S67" s="413"/>
    </row>
    <row r="68" spans="3:19" hidden="1" x14ac:dyDescent="0.3">
      <c r="C68" s="317" t="s">
        <v>122</v>
      </c>
      <c r="D68" s="415"/>
      <c r="E68" s="1888">
        <v>0</v>
      </c>
      <c r="F68" s="1888">
        <v>0</v>
      </c>
      <c r="G68" s="1888">
        <v>0</v>
      </c>
      <c r="H68" s="1888">
        <v>0</v>
      </c>
      <c r="K68" s="408"/>
      <c r="N68" s="408"/>
      <c r="S68" s="413"/>
    </row>
    <row r="69" spans="3:19" hidden="1" x14ac:dyDescent="0.3">
      <c r="C69" s="317" t="s">
        <v>123</v>
      </c>
      <c r="D69" s="415"/>
      <c r="E69" s="1888">
        <v>0</v>
      </c>
      <c r="F69" s="1888">
        <v>0</v>
      </c>
      <c r="G69" s="1888">
        <v>0</v>
      </c>
      <c r="H69" s="1888">
        <v>0</v>
      </c>
      <c r="K69" s="408"/>
      <c r="N69" s="408"/>
      <c r="S69" s="413"/>
    </row>
    <row r="70" spans="3:19" hidden="1" x14ac:dyDescent="0.3">
      <c r="C70" s="322" t="s">
        <v>805</v>
      </c>
      <c r="D70" s="36"/>
      <c r="E70" s="986">
        <f>E63+SUM(E64:E69)</f>
        <v>0</v>
      </c>
      <c r="F70" s="986">
        <f t="shared" ref="F70:H70" si="0">F63+SUM(F64:F69)</f>
        <v>0</v>
      </c>
      <c r="G70" s="986">
        <f t="shared" si="0"/>
        <v>0</v>
      </c>
      <c r="H70" s="986">
        <f t="shared" si="0"/>
        <v>0</v>
      </c>
      <c r="K70" s="408"/>
      <c r="N70" s="408"/>
      <c r="S70" s="413"/>
    </row>
    <row r="71" spans="3:19" hidden="1" x14ac:dyDescent="0.3">
      <c r="C71" s="286"/>
      <c r="D71" s="415"/>
      <c r="E71" s="429"/>
      <c r="F71" s="429"/>
      <c r="G71" s="429"/>
      <c r="H71" s="429"/>
      <c r="K71" s="408"/>
      <c r="N71" s="408"/>
      <c r="S71" s="413"/>
    </row>
    <row r="72" spans="3:19" hidden="1" x14ac:dyDescent="0.3">
      <c r="C72" s="422" t="s">
        <v>1339</v>
      </c>
      <c r="D72" s="415"/>
      <c r="E72" s="429"/>
      <c r="F72" s="429"/>
      <c r="G72" s="429"/>
      <c r="H72" s="429"/>
      <c r="K72" s="408"/>
      <c r="N72" s="408"/>
      <c r="S72" s="413"/>
    </row>
    <row r="73" spans="3:19" hidden="1" x14ac:dyDescent="0.3">
      <c r="C73" s="286" t="s">
        <v>804</v>
      </c>
      <c r="D73" s="415"/>
      <c r="E73" s="1888">
        <v>0</v>
      </c>
      <c r="F73" s="1888">
        <v>0</v>
      </c>
      <c r="G73" s="1888">
        <v>0</v>
      </c>
      <c r="H73" s="1888">
        <v>0</v>
      </c>
      <c r="K73" s="408"/>
      <c r="N73" s="408"/>
      <c r="S73" s="413"/>
    </row>
    <row r="74" spans="3:19" hidden="1" x14ac:dyDescent="0.3">
      <c r="C74" s="317" t="s">
        <v>118</v>
      </c>
      <c r="D74" s="415"/>
      <c r="E74" s="1888">
        <v>0</v>
      </c>
      <c r="F74" s="1888">
        <v>0</v>
      </c>
      <c r="G74" s="1888">
        <v>0</v>
      </c>
      <c r="H74" s="1888">
        <v>0</v>
      </c>
      <c r="K74" s="408"/>
      <c r="N74" s="408"/>
      <c r="S74" s="413"/>
    </row>
    <row r="75" spans="3:19" hidden="1" x14ac:dyDescent="0.3">
      <c r="C75" s="317" t="s">
        <v>119</v>
      </c>
      <c r="D75" s="415"/>
      <c r="E75" s="1888">
        <v>0</v>
      </c>
      <c r="F75" s="1888">
        <v>0</v>
      </c>
      <c r="G75" s="1888">
        <v>0</v>
      </c>
      <c r="H75" s="1888">
        <v>0</v>
      </c>
      <c r="K75" s="408"/>
      <c r="N75" s="408"/>
      <c r="S75" s="413"/>
    </row>
    <row r="76" spans="3:19" hidden="1" x14ac:dyDescent="0.3">
      <c r="C76" s="317" t="s">
        <v>120</v>
      </c>
      <c r="D76" s="415"/>
      <c r="E76" s="1888">
        <v>0</v>
      </c>
      <c r="F76" s="1888">
        <v>0</v>
      </c>
      <c r="G76" s="1888">
        <v>0</v>
      </c>
      <c r="H76" s="1888">
        <v>0</v>
      </c>
      <c r="K76" s="408"/>
      <c r="N76" s="408"/>
      <c r="S76" s="413"/>
    </row>
    <row r="77" spans="3:19" hidden="1" x14ac:dyDescent="0.3">
      <c r="C77" s="317" t="s">
        <v>121</v>
      </c>
      <c r="D77" s="415"/>
      <c r="E77" s="1888">
        <v>0</v>
      </c>
      <c r="F77" s="1888">
        <v>0</v>
      </c>
      <c r="G77" s="1888">
        <v>0</v>
      </c>
      <c r="H77" s="1888">
        <v>0</v>
      </c>
      <c r="K77" s="408"/>
      <c r="N77" s="408"/>
      <c r="S77" s="413"/>
    </row>
    <row r="78" spans="3:19" hidden="1" x14ac:dyDescent="0.3">
      <c r="C78" s="317" t="s">
        <v>122</v>
      </c>
      <c r="D78" s="415"/>
      <c r="E78" s="1888">
        <v>0</v>
      </c>
      <c r="F78" s="1888">
        <v>0</v>
      </c>
      <c r="G78" s="1888">
        <v>0</v>
      </c>
      <c r="H78" s="1888">
        <v>0</v>
      </c>
      <c r="K78" s="408"/>
      <c r="N78" s="408"/>
      <c r="S78" s="413"/>
    </row>
    <row r="79" spans="3:19" hidden="1" x14ac:dyDescent="0.3">
      <c r="C79" s="317" t="s">
        <v>123</v>
      </c>
      <c r="D79" s="415"/>
      <c r="E79" s="1888">
        <v>0</v>
      </c>
      <c r="F79" s="1888">
        <v>0</v>
      </c>
      <c r="G79" s="1888">
        <v>0</v>
      </c>
      <c r="H79" s="1888">
        <v>0</v>
      </c>
      <c r="K79" s="408"/>
      <c r="N79" s="408"/>
      <c r="S79" s="413"/>
    </row>
    <row r="80" spans="3:19" hidden="1" x14ac:dyDescent="0.3">
      <c r="C80" s="322" t="s">
        <v>805</v>
      </c>
      <c r="D80" s="36"/>
      <c r="E80" s="986">
        <f>E73+SUM(E74:E79)</f>
        <v>0</v>
      </c>
      <c r="F80" s="986">
        <f>F73+SUM(F74:F79)</f>
        <v>0</v>
      </c>
      <c r="G80" s="986">
        <f>G73+SUM(G74:G79)</f>
        <v>0</v>
      </c>
      <c r="H80" s="986">
        <f>H73+SUM(H74:H79)</f>
        <v>0</v>
      </c>
      <c r="K80" s="408"/>
      <c r="N80" s="408"/>
      <c r="S80" s="413"/>
    </row>
    <row r="81" spans="3:20" hidden="1" x14ac:dyDescent="0.3">
      <c r="C81" s="422"/>
      <c r="D81" s="415"/>
      <c r="E81" s="429"/>
      <c r="F81" s="429"/>
      <c r="G81" s="429"/>
      <c r="H81" s="429"/>
      <c r="K81" s="408"/>
      <c r="N81" s="408"/>
      <c r="S81" s="413"/>
    </row>
    <row r="82" spans="3:20" hidden="1" x14ac:dyDescent="0.3">
      <c r="C82" s="422" t="s">
        <v>1340</v>
      </c>
      <c r="D82" s="415"/>
      <c r="E82" s="429"/>
      <c r="F82" s="429"/>
      <c r="G82" s="429"/>
      <c r="H82" s="429"/>
      <c r="K82" s="408"/>
      <c r="N82" s="408"/>
      <c r="S82" s="413"/>
    </row>
    <row r="83" spans="3:20" hidden="1" x14ac:dyDescent="0.3">
      <c r="C83" s="286" t="s">
        <v>804</v>
      </c>
      <c r="D83" s="415"/>
      <c r="E83" s="1888">
        <v>0</v>
      </c>
      <c r="F83" s="1888">
        <v>0</v>
      </c>
      <c r="G83" s="1888">
        <v>0</v>
      </c>
      <c r="H83" s="1888">
        <v>0</v>
      </c>
      <c r="K83" s="408"/>
      <c r="N83" s="408"/>
      <c r="S83" s="413"/>
    </row>
    <row r="84" spans="3:20" hidden="1" x14ac:dyDescent="0.3">
      <c r="C84" s="317" t="s">
        <v>118</v>
      </c>
      <c r="D84" s="415"/>
      <c r="E84" s="1888">
        <v>0</v>
      </c>
      <c r="F84" s="1888">
        <v>0</v>
      </c>
      <c r="G84" s="1888">
        <v>0</v>
      </c>
      <c r="H84" s="1888">
        <v>0</v>
      </c>
      <c r="K84" s="408"/>
      <c r="N84" s="408"/>
      <c r="S84" s="413"/>
    </row>
    <row r="85" spans="3:20" hidden="1" x14ac:dyDescent="0.3">
      <c r="C85" s="317" t="s">
        <v>119</v>
      </c>
      <c r="D85" s="415"/>
      <c r="E85" s="1888">
        <v>0</v>
      </c>
      <c r="F85" s="1888">
        <v>0</v>
      </c>
      <c r="G85" s="1888">
        <v>0</v>
      </c>
      <c r="H85" s="1888">
        <v>0</v>
      </c>
      <c r="K85" s="408"/>
      <c r="N85" s="408"/>
      <c r="S85" s="413"/>
    </row>
    <row r="86" spans="3:20" hidden="1" x14ac:dyDescent="0.3">
      <c r="C86" s="317" t="s">
        <v>120</v>
      </c>
      <c r="D86" s="415"/>
      <c r="E86" s="1888">
        <v>0</v>
      </c>
      <c r="F86" s="1888">
        <v>0</v>
      </c>
      <c r="G86" s="1888">
        <v>0</v>
      </c>
      <c r="H86" s="1888">
        <v>0</v>
      </c>
      <c r="K86" s="408"/>
      <c r="N86" s="408"/>
      <c r="S86" s="413"/>
    </row>
    <row r="87" spans="3:20" hidden="1" x14ac:dyDescent="0.3">
      <c r="C87" s="317" t="s">
        <v>121</v>
      </c>
      <c r="D87" s="415"/>
      <c r="E87" s="1888">
        <v>0</v>
      </c>
      <c r="F87" s="1888">
        <v>0</v>
      </c>
      <c r="G87" s="1888">
        <v>0</v>
      </c>
      <c r="H87" s="1888">
        <v>0</v>
      </c>
      <c r="K87" s="408"/>
      <c r="N87" s="408"/>
      <c r="S87" s="413"/>
    </row>
    <row r="88" spans="3:20" hidden="1" x14ac:dyDescent="0.3">
      <c r="C88" s="317" t="s">
        <v>122</v>
      </c>
      <c r="D88" s="415"/>
      <c r="E88" s="1888">
        <v>0</v>
      </c>
      <c r="F88" s="1888">
        <v>0</v>
      </c>
      <c r="G88" s="1888">
        <v>0</v>
      </c>
      <c r="H88" s="1888">
        <v>0</v>
      </c>
      <c r="K88" s="408"/>
      <c r="N88" s="408"/>
      <c r="S88" s="413"/>
    </row>
    <row r="89" spans="3:20" hidden="1" x14ac:dyDescent="0.3">
      <c r="C89" s="317" t="s">
        <v>123</v>
      </c>
      <c r="D89" s="415"/>
      <c r="E89" s="1888">
        <v>0</v>
      </c>
      <c r="F89" s="1888">
        <v>0</v>
      </c>
      <c r="G89" s="1888">
        <v>0</v>
      </c>
      <c r="H89" s="1888">
        <v>0</v>
      </c>
      <c r="K89" s="408"/>
      <c r="N89" s="408"/>
      <c r="S89" s="413"/>
    </row>
    <row r="90" spans="3:20" x14ac:dyDescent="0.3">
      <c r="C90" s="1928" t="s">
        <v>805</v>
      </c>
      <c r="D90" s="1927"/>
      <c r="E90" s="1926">
        <f>+SUM(E43)</f>
        <v>150000</v>
      </c>
      <c r="F90" s="1926">
        <f t="shared" ref="F90:H90" si="1">+SUM(F43)</f>
        <v>150000</v>
      </c>
      <c r="G90" s="1926">
        <f t="shared" si="1"/>
        <v>150000</v>
      </c>
      <c r="H90" s="1926">
        <f t="shared" si="1"/>
        <v>150000</v>
      </c>
      <c r="K90" s="408"/>
      <c r="N90" s="408"/>
      <c r="S90" s="413"/>
    </row>
    <row r="91" spans="3:20" x14ac:dyDescent="0.3">
      <c r="N91" s="408"/>
      <c r="P91" s="1" t="s">
        <v>1143</v>
      </c>
      <c r="Q91" s="1">
        <v>2136</v>
      </c>
      <c r="R91" s="1">
        <v>4</v>
      </c>
      <c r="S91" s="1" t="s">
        <v>990</v>
      </c>
      <c r="T91" s="1">
        <v>860</v>
      </c>
    </row>
    <row r="92" spans="3:20" x14ac:dyDescent="0.3">
      <c r="C92" s="424" t="str">
        <f>Liabilities!C102</f>
        <v>(ii) Rights, preferences and restrictions attached to shares</v>
      </c>
      <c r="N92" s="408"/>
      <c r="P92" s="1" t="s">
        <v>1144</v>
      </c>
      <c r="Q92" s="1">
        <v>2141</v>
      </c>
      <c r="R92" s="1">
        <v>4</v>
      </c>
      <c r="S92" s="1" t="s">
        <v>990</v>
      </c>
      <c r="T92" s="1">
        <v>865</v>
      </c>
    </row>
    <row r="93" spans="3:20" x14ac:dyDescent="0.3">
      <c r="C93" s="424" t="s">
        <v>1961</v>
      </c>
      <c r="N93" s="408"/>
    </row>
    <row r="94" spans="3:20" ht="58.15" customHeight="1" x14ac:dyDescent="0.3">
      <c r="C94" s="3240" t="s">
        <v>1145</v>
      </c>
      <c r="D94" s="3241"/>
      <c r="E94" s="3241"/>
      <c r="F94" s="3241"/>
      <c r="G94" s="3241"/>
      <c r="H94" s="3241"/>
      <c r="I94" s="3242"/>
      <c r="J94" s="553"/>
      <c r="N94" s="408"/>
      <c r="P94" s="1" t="s">
        <v>1146</v>
      </c>
      <c r="Q94" s="1">
        <v>2146</v>
      </c>
      <c r="R94" s="1">
        <v>4</v>
      </c>
      <c r="S94" s="1" t="s">
        <v>990</v>
      </c>
      <c r="T94" s="1">
        <v>870</v>
      </c>
    </row>
    <row r="95" spans="3:20" ht="14.65" hidden="1" customHeight="1" x14ac:dyDescent="0.3">
      <c r="C95" s="1409" t="s">
        <v>1962</v>
      </c>
      <c r="D95" s="1408"/>
      <c r="E95" s="1408"/>
      <c r="F95" s="1408"/>
      <c r="G95" s="1408"/>
      <c r="H95" s="1408"/>
      <c r="I95" s="1408"/>
      <c r="J95" s="433"/>
      <c r="N95" s="408"/>
    </row>
    <row r="96" spans="3:20" ht="45" hidden="1" customHeight="1" x14ac:dyDescent="0.3">
      <c r="C96" s="562" t="s">
        <v>1147</v>
      </c>
      <c r="D96" s="563"/>
      <c r="E96" s="563"/>
      <c r="F96" s="563"/>
      <c r="G96" s="563"/>
      <c r="H96" s="563"/>
      <c r="I96" s="564"/>
      <c r="J96" s="553"/>
      <c r="L96" s="408" t="s">
        <v>1135</v>
      </c>
      <c r="N96" s="408"/>
      <c r="P96" s="1" t="s">
        <v>1148</v>
      </c>
      <c r="Q96" s="1">
        <v>2151</v>
      </c>
      <c r="R96" s="1">
        <v>4</v>
      </c>
      <c r="S96" s="1" t="s">
        <v>990</v>
      </c>
      <c r="T96" s="1">
        <v>875</v>
      </c>
    </row>
    <row r="97" spans="3:15" ht="16.149999999999999" hidden="1" customHeight="1" x14ac:dyDescent="0.3">
      <c r="C97" s="939"/>
      <c r="D97" s="940"/>
      <c r="E97" s="940"/>
      <c r="F97" s="940"/>
      <c r="G97" s="940"/>
      <c r="H97" s="940"/>
      <c r="I97" s="940"/>
      <c r="J97" s="941"/>
      <c r="N97" s="408"/>
    </row>
    <row r="98" spans="3:15" ht="16.149999999999999" customHeight="1" x14ac:dyDescent="0.3">
      <c r="C98" s="939"/>
      <c r="D98" s="939"/>
      <c r="E98" s="939"/>
      <c r="F98" s="939"/>
      <c r="G98" s="939"/>
      <c r="H98" s="939"/>
      <c r="I98" s="939"/>
      <c r="J98" s="941"/>
      <c r="N98" s="408"/>
    </row>
    <row r="99" spans="3:15" x14ac:dyDescent="0.3">
      <c r="C99" s="306" t="s">
        <v>443</v>
      </c>
      <c r="D99" s="415"/>
      <c r="E99" s="415"/>
      <c r="F99" s="415"/>
      <c r="G99" s="415"/>
      <c r="H99" s="415"/>
      <c r="I99" s="415"/>
      <c r="K99" s="408"/>
      <c r="N99" s="408"/>
    </row>
    <row r="100" spans="3:15" x14ac:dyDescent="0.3">
      <c r="C100" s="417"/>
      <c r="K100" s="408"/>
      <c r="N100" s="408"/>
    </row>
    <row r="101" spans="3:15" x14ac:dyDescent="0.3">
      <c r="C101" s="3234" t="s">
        <v>20</v>
      </c>
      <c r="D101" s="3235"/>
      <c r="E101" s="3201"/>
      <c r="F101" s="2936" t="s">
        <v>3284</v>
      </c>
      <c r="G101" s="2937"/>
      <c r="H101" s="3233" t="s">
        <v>3283</v>
      </c>
      <c r="I101" s="3233"/>
      <c r="K101" s="409"/>
      <c r="N101" s="408"/>
      <c r="O101" s="408"/>
    </row>
    <row r="102" spans="3:15" x14ac:dyDescent="0.3">
      <c r="C102" s="3236"/>
      <c r="D102" s="3237"/>
      <c r="E102" s="3237"/>
      <c r="F102" s="528" t="s">
        <v>125</v>
      </c>
      <c r="G102" s="531" t="s">
        <v>273</v>
      </c>
      <c r="H102" s="532" t="s">
        <v>125</v>
      </c>
      <c r="I102" s="528" t="s">
        <v>273</v>
      </c>
      <c r="K102" s="409"/>
      <c r="N102" s="408"/>
      <c r="O102" s="408"/>
    </row>
    <row r="103" spans="3:15" x14ac:dyDescent="0.3">
      <c r="C103" s="171" t="s">
        <v>3350</v>
      </c>
      <c r="D103" s="172"/>
      <c r="E103" s="172"/>
      <c r="F103" s="528"/>
      <c r="G103" s="531"/>
      <c r="H103" s="532"/>
      <c r="I103" s="528"/>
      <c r="K103" s="409"/>
      <c r="N103" s="408"/>
      <c r="O103" s="408"/>
    </row>
    <row r="104" spans="3:15" x14ac:dyDescent="0.3">
      <c r="C104" s="540" t="s">
        <v>3175</v>
      </c>
      <c r="D104" s="534"/>
      <c r="E104" s="536"/>
      <c r="F104" s="2407">
        <v>149999</v>
      </c>
      <c r="G104" s="537">
        <v>0.99999333333333329</v>
      </c>
      <c r="H104" s="2408">
        <v>149999</v>
      </c>
      <c r="I104" s="2409">
        <v>0.99999333333333329</v>
      </c>
      <c r="K104" s="409"/>
      <c r="N104" s="408"/>
      <c r="O104" s="408"/>
    </row>
    <row r="105" spans="3:15" x14ac:dyDescent="0.3">
      <c r="C105" s="540" t="s">
        <v>3176</v>
      </c>
      <c r="D105" s="1"/>
      <c r="E105" s="6"/>
      <c r="F105" s="538"/>
      <c r="G105" s="538"/>
      <c r="H105" s="169"/>
      <c r="I105" s="169"/>
      <c r="K105" s="409"/>
      <c r="N105" s="408"/>
      <c r="O105" s="408"/>
    </row>
    <row r="106" spans="3:15" x14ac:dyDescent="0.3">
      <c r="C106" s="210" t="s">
        <v>130</v>
      </c>
      <c r="D106" s="1"/>
      <c r="E106" s="6"/>
      <c r="F106" s="539"/>
      <c r="G106" s="539"/>
      <c r="H106" s="134"/>
      <c r="I106" s="134"/>
      <c r="K106" s="409"/>
      <c r="N106" s="408"/>
      <c r="O106" s="408"/>
    </row>
    <row r="107" spans="3:15" x14ac:dyDescent="0.3">
      <c r="C107" s="541" t="s">
        <v>3177</v>
      </c>
      <c r="D107" s="1"/>
      <c r="E107" s="6"/>
      <c r="F107" s="539"/>
      <c r="G107" s="539"/>
      <c r="H107" s="134"/>
      <c r="I107" s="134"/>
      <c r="K107" s="409"/>
      <c r="N107" s="408"/>
      <c r="O107" s="408"/>
    </row>
    <row r="108" spans="3:15" x14ac:dyDescent="0.3">
      <c r="C108" s="541" t="s">
        <v>2531</v>
      </c>
      <c r="D108" s="1"/>
      <c r="E108" s="6"/>
      <c r="F108" s="539"/>
      <c r="G108" s="539"/>
      <c r="H108" s="134"/>
      <c r="I108" s="134"/>
      <c r="K108" s="409"/>
      <c r="N108" s="408"/>
      <c r="O108" s="408"/>
    </row>
    <row r="109" spans="3:15" x14ac:dyDescent="0.3">
      <c r="C109" s="541" t="s">
        <v>3178</v>
      </c>
      <c r="D109" s="1"/>
      <c r="E109" s="6"/>
      <c r="F109" s="539"/>
      <c r="G109" s="539"/>
      <c r="H109" s="134"/>
      <c r="I109" s="134"/>
      <c r="K109" s="409"/>
      <c r="N109" s="408"/>
      <c r="O109" s="408"/>
    </row>
    <row r="110" spans="3:15" hidden="1" x14ac:dyDescent="0.3">
      <c r="C110" s="541" t="s">
        <v>1347</v>
      </c>
      <c r="D110" s="1"/>
      <c r="E110" s="6"/>
      <c r="F110" s="539"/>
      <c r="G110" s="539"/>
      <c r="H110" s="134"/>
      <c r="I110" s="134"/>
      <c r="K110" s="409"/>
      <c r="N110" s="408"/>
      <c r="O110" s="408"/>
    </row>
    <row r="111" spans="3:15" hidden="1" x14ac:dyDescent="0.3">
      <c r="C111" s="541" t="s">
        <v>1347</v>
      </c>
      <c r="D111" s="1"/>
      <c r="E111" s="6"/>
      <c r="F111" s="538"/>
      <c r="G111" s="538"/>
      <c r="H111" s="169"/>
      <c r="I111" s="169"/>
      <c r="K111" s="409"/>
      <c r="N111" s="408"/>
      <c r="O111" s="408"/>
    </row>
    <row r="112" spans="3:15" hidden="1" x14ac:dyDescent="0.3">
      <c r="C112" s="210" t="s">
        <v>131</v>
      </c>
      <c r="D112" s="1"/>
      <c r="E112" s="6"/>
      <c r="F112" s="539"/>
      <c r="G112" s="539"/>
      <c r="H112" s="134"/>
      <c r="I112" s="134"/>
      <c r="K112" s="409"/>
      <c r="N112" s="408"/>
      <c r="O112" s="408"/>
    </row>
    <row r="113" spans="3:15" hidden="1" x14ac:dyDescent="0.3">
      <c r="C113" s="541" t="s">
        <v>1347</v>
      </c>
      <c r="D113" s="1"/>
      <c r="E113" s="6"/>
      <c r="F113" s="539"/>
      <c r="G113" s="539"/>
      <c r="H113" s="134"/>
      <c r="I113" s="134"/>
      <c r="K113" s="409"/>
      <c r="N113" s="408"/>
      <c r="O113" s="408"/>
    </row>
    <row r="114" spans="3:15" hidden="1" x14ac:dyDescent="0.3">
      <c r="C114" s="541" t="s">
        <v>1347</v>
      </c>
      <c r="D114" s="1"/>
      <c r="E114" s="6"/>
      <c r="F114" s="539"/>
      <c r="G114" s="539"/>
      <c r="H114" s="134"/>
      <c r="I114" s="134"/>
      <c r="K114" s="409"/>
      <c r="N114" s="408"/>
      <c r="O114" s="408"/>
    </row>
    <row r="115" spans="3:15" hidden="1" x14ac:dyDescent="0.3">
      <c r="C115" s="541" t="s">
        <v>1347</v>
      </c>
      <c r="D115" s="1"/>
      <c r="E115" s="6"/>
      <c r="F115" s="539"/>
      <c r="G115" s="539"/>
      <c r="H115" s="134"/>
      <c r="I115" s="134"/>
      <c r="K115" s="409"/>
      <c r="N115" s="408"/>
      <c r="O115" s="408"/>
    </row>
    <row r="116" spans="3:15" hidden="1" x14ac:dyDescent="0.3">
      <c r="C116" s="541" t="s">
        <v>1347</v>
      </c>
      <c r="D116" s="1"/>
      <c r="E116" s="6"/>
      <c r="F116" s="539"/>
      <c r="G116" s="539"/>
      <c r="H116" s="134"/>
      <c r="I116" s="134"/>
      <c r="K116" s="409"/>
      <c r="N116" s="408"/>
      <c r="O116" s="408"/>
    </row>
    <row r="117" spans="3:15" hidden="1" x14ac:dyDescent="0.3">
      <c r="C117" s="541" t="s">
        <v>1347</v>
      </c>
      <c r="D117" s="1"/>
      <c r="E117" s="6"/>
      <c r="F117" s="538"/>
      <c r="G117" s="538"/>
      <c r="H117" s="169"/>
      <c r="I117" s="169"/>
      <c r="K117" s="409"/>
      <c r="N117" s="408"/>
      <c r="O117" s="408"/>
    </row>
    <row r="118" spans="3:15" x14ac:dyDescent="0.3">
      <c r="C118" s="210" t="s">
        <v>132</v>
      </c>
      <c r="D118" s="1"/>
      <c r="E118" s="6"/>
      <c r="F118" s="539"/>
      <c r="G118" s="539"/>
      <c r="H118" s="134"/>
      <c r="I118" s="134"/>
      <c r="K118" s="409"/>
      <c r="N118" s="408"/>
      <c r="O118" s="408"/>
    </row>
    <row r="119" spans="3:15" x14ac:dyDescent="0.3">
      <c r="C119" s="541" t="s">
        <v>3179</v>
      </c>
      <c r="D119" s="1"/>
      <c r="E119" s="6"/>
      <c r="F119" s="539"/>
      <c r="G119" s="539"/>
      <c r="H119" s="134"/>
      <c r="I119" s="134"/>
      <c r="K119" s="409"/>
      <c r="N119" s="408"/>
      <c r="O119" s="408"/>
    </row>
    <row r="120" spans="3:15" x14ac:dyDescent="0.3">
      <c r="C120" s="541" t="s">
        <v>3175</v>
      </c>
      <c r="D120" s="1"/>
      <c r="E120" s="6"/>
      <c r="F120" s="539"/>
      <c r="G120" s="539"/>
      <c r="H120" s="134"/>
      <c r="I120" s="134"/>
      <c r="K120" s="409"/>
      <c r="N120" s="408"/>
      <c r="O120" s="408"/>
    </row>
    <row r="121" spans="3:15" x14ac:dyDescent="0.3">
      <c r="C121" s="541" t="s">
        <v>3180</v>
      </c>
      <c r="D121" s="1"/>
      <c r="E121" s="6"/>
      <c r="F121" s="539"/>
      <c r="G121" s="539"/>
      <c r="H121" s="134"/>
      <c r="I121" s="134"/>
      <c r="K121" s="409"/>
      <c r="N121" s="408"/>
      <c r="O121" s="408"/>
    </row>
    <row r="122" spans="3:15" x14ac:dyDescent="0.3">
      <c r="C122" s="1904" t="s">
        <v>3181</v>
      </c>
      <c r="D122" s="535"/>
      <c r="E122" s="7"/>
      <c r="F122" s="538"/>
      <c r="G122" s="538"/>
      <c r="H122" s="169"/>
      <c r="I122" s="169"/>
      <c r="K122" s="409"/>
      <c r="N122" s="408"/>
      <c r="O122" s="408"/>
    </row>
    <row r="123" spans="3:15" hidden="1" x14ac:dyDescent="0.3">
      <c r="C123" s="541" t="s">
        <v>1347</v>
      </c>
      <c r="D123" s="1"/>
      <c r="E123" s="6"/>
      <c r="F123" s="538"/>
      <c r="G123" s="538"/>
      <c r="H123" s="169"/>
      <c r="I123" s="169"/>
      <c r="K123" s="409"/>
      <c r="N123" s="408"/>
      <c r="O123" s="408"/>
    </row>
    <row r="124" spans="3:15" hidden="1" x14ac:dyDescent="0.3">
      <c r="C124" s="141" t="s">
        <v>133</v>
      </c>
      <c r="D124" s="1"/>
      <c r="E124" s="6"/>
      <c r="F124" s="539"/>
      <c r="G124" s="539"/>
      <c r="H124" s="134"/>
      <c r="I124" s="134"/>
      <c r="K124" s="409"/>
      <c r="N124" s="408"/>
      <c r="O124" s="408"/>
    </row>
    <row r="125" spans="3:15" hidden="1" x14ac:dyDescent="0.3">
      <c r="C125" s="542" t="s">
        <v>1347</v>
      </c>
      <c r="D125" s="1"/>
      <c r="E125" s="6"/>
      <c r="F125" s="539"/>
      <c r="G125" s="539"/>
      <c r="H125" s="134"/>
      <c r="I125" s="134"/>
      <c r="K125" s="409"/>
      <c r="N125" s="408"/>
      <c r="O125" s="408"/>
    </row>
    <row r="126" spans="3:15" hidden="1" x14ac:dyDescent="0.3">
      <c r="C126" s="542" t="s">
        <v>1347</v>
      </c>
      <c r="D126" s="1"/>
      <c r="E126" s="6"/>
      <c r="F126" s="539"/>
      <c r="G126" s="539"/>
      <c r="H126" s="134"/>
      <c r="I126" s="134"/>
      <c r="K126" s="409"/>
      <c r="N126" s="408"/>
      <c r="O126" s="408"/>
    </row>
    <row r="127" spans="3:15" hidden="1" x14ac:dyDescent="0.3">
      <c r="C127" s="542" t="s">
        <v>1347</v>
      </c>
      <c r="D127" s="1"/>
      <c r="E127" s="6"/>
      <c r="F127" s="539"/>
      <c r="G127" s="539"/>
      <c r="H127" s="134"/>
      <c r="I127" s="134"/>
      <c r="K127" s="409"/>
      <c r="N127" s="408"/>
      <c r="O127" s="408"/>
    </row>
    <row r="128" spans="3:15" hidden="1" x14ac:dyDescent="0.3">
      <c r="C128" s="542" t="s">
        <v>1347</v>
      </c>
      <c r="D128" s="1"/>
      <c r="E128" s="6"/>
      <c r="F128" s="539"/>
      <c r="G128" s="539"/>
      <c r="H128" s="134"/>
      <c r="I128" s="134"/>
      <c r="K128" s="409"/>
      <c r="N128" s="408"/>
      <c r="O128" s="408"/>
    </row>
    <row r="129" spans="3:15" hidden="1" x14ac:dyDescent="0.3">
      <c r="C129" s="543" t="s">
        <v>1347</v>
      </c>
      <c r="D129" s="535"/>
      <c r="E129" s="7"/>
      <c r="F129" s="538"/>
      <c r="G129" s="538"/>
      <c r="H129" s="169"/>
      <c r="I129" s="169"/>
      <c r="K129" s="409"/>
      <c r="N129" s="408"/>
      <c r="O129" s="408"/>
    </row>
    <row r="130" spans="3:15" ht="16.149999999999999" customHeight="1" x14ac:dyDescent="0.3">
      <c r="C130" s="417"/>
      <c r="K130" s="408"/>
      <c r="N130" s="408"/>
    </row>
    <row r="131" spans="3:15" x14ac:dyDescent="0.3">
      <c r="C131" s="1889" t="str">
        <f>Liabilities!C140</f>
        <v>(iv) Details of shares held by each shareholder holding more than 5% shares:</v>
      </c>
      <c r="K131" s="408"/>
      <c r="N131" s="408"/>
    </row>
    <row r="132" spans="3:15" x14ac:dyDescent="0.3">
      <c r="C132" s="417"/>
      <c r="K132" s="408"/>
      <c r="N132" s="408"/>
    </row>
    <row r="133" spans="3:15" ht="14.45" customHeight="1" x14ac:dyDescent="0.3">
      <c r="C133" s="2830" t="s">
        <v>444</v>
      </c>
      <c r="D133" s="3195"/>
      <c r="E133" s="2831"/>
      <c r="F133" s="3205" t="s">
        <v>1348</v>
      </c>
      <c r="G133" s="3206"/>
      <c r="H133" s="3205" t="s">
        <v>1349</v>
      </c>
      <c r="I133" s="2937"/>
      <c r="K133" s="409"/>
      <c r="N133" s="408"/>
      <c r="O133" s="408"/>
    </row>
    <row r="134" spans="3:15" ht="30" x14ac:dyDescent="0.3">
      <c r="C134" s="2932"/>
      <c r="D134" s="3196"/>
      <c r="E134" s="3196"/>
      <c r="F134" s="46" t="s">
        <v>446</v>
      </c>
      <c r="G134" s="46" t="s">
        <v>134</v>
      </c>
      <c r="H134" s="46" t="s">
        <v>446</v>
      </c>
      <c r="I134" s="46" t="s">
        <v>134</v>
      </c>
      <c r="K134" s="409"/>
      <c r="N134" s="408"/>
      <c r="O134" s="408"/>
    </row>
    <row r="135" spans="3:15" x14ac:dyDescent="0.3">
      <c r="C135" s="1894" t="s">
        <v>124</v>
      </c>
      <c r="D135" s="3"/>
      <c r="E135" s="3"/>
      <c r="F135" s="134"/>
      <c r="G135" s="134"/>
      <c r="H135" s="134"/>
      <c r="I135" s="134"/>
      <c r="K135" s="409"/>
      <c r="N135" s="408"/>
      <c r="O135" s="408"/>
    </row>
    <row r="136" spans="3:15" x14ac:dyDescent="0.3">
      <c r="C136" s="544" t="s">
        <v>3175</v>
      </c>
      <c r="D136" s="261"/>
      <c r="E136" s="261"/>
      <c r="F136" s="936">
        <v>149999</v>
      </c>
      <c r="G136" s="597">
        <f>+G104</f>
        <v>0.99999333333333329</v>
      </c>
      <c r="H136" s="970">
        <v>149999</v>
      </c>
      <c r="I136" s="1791">
        <f>+I104</f>
        <v>0.99999333333333329</v>
      </c>
      <c r="J136" s="1803"/>
      <c r="K136" s="409">
        <v>149999</v>
      </c>
      <c r="N136" s="408"/>
      <c r="O136" s="408"/>
    </row>
    <row r="137" spans="3:15" x14ac:dyDescent="0.3">
      <c r="C137" s="545"/>
      <c r="D137" s="1890"/>
      <c r="E137" s="1890"/>
      <c r="F137" s="1891"/>
      <c r="G137" s="1892"/>
      <c r="H137" s="169"/>
      <c r="I137" s="1893"/>
      <c r="K137" s="409">
        <v>1</v>
      </c>
      <c r="N137" s="408"/>
      <c r="O137" s="408"/>
    </row>
    <row r="138" spans="3:15" hidden="1" x14ac:dyDescent="0.3">
      <c r="C138" s="544" t="s">
        <v>1354</v>
      </c>
      <c r="D138" s="415"/>
      <c r="E138" s="415"/>
      <c r="F138" s="546"/>
      <c r="G138" s="546"/>
      <c r="H138" s="429"/>
      <c r="I138" s="429"/>
      <c r="K138" s="409"/>
      <c r="N138" s="408"/>
      <c r="O138" s="408"/>
    </row>
    <row r="139" spans="3:15" hidden="1" x14ac:dyDescent="0.3">
      <c r="C139" s="544" t="s">
        <v>1355</v>
      </c>
      <c r="D139" s="415"/>
      <c r="E139" s="415"/>
      <c r="F139" s="546"/>
      <c r="G139" s="546"/>
      <c r="H139" s="429"/>
      <c r="I139" s="429"/>
      <c r="K139" s="408"/>
      <c r="N139" s="408"/>
    </row>
    <row r="140" spans="3:15" hidden="1" x14ac:dyDescent="0.3">
      <c r="C140" s="544" t="s">
        <v>1356</v>
      </c>
      <c r="D140" s="415"/>
      <c r="E140" s="415"/>
      <c r="F140" s="546"/>
      <c r="G140" s="546"/>
      <c r="H140" s="429"/>
      <c r="I140" s="429"/>
      <c r="K140" s="408"/>
      <c r="N140" s="408"/>
    </row>
    <row r="141" spans="3:15" hidden="1" x14ac:dyDescent="0.3">
      <c r="C141" s="544" t="s">
        <v>1357</v>
      </c>
      <c r="D141" s="415"/>
      <c r="E141" s="415"/>
      <c r="F141" s="546"/>
      <c r="G141" s="546"/>
      <c r="H141" s="429"/>
      <c r="I141" s="429"/>
      <c r="K141" s="408"/>
      <c r="N141" s="408"/>
    </row>
    <row r="142" spans="3:15" hidden="1" x14ac:dyDescent="0.3">
      <c r="C142" s="544" t="s">
        <v>1358</v>
      </c>
      <c r="D142" s="415"/>
      <c r="E142" s="415"/>
      <c r="F142" s="546"/>
      <c r="G142" s="546"/>
      <c r="H142" s="429"/>
      <c r="I142" s="429"/>
      <c r="K142" s="408"/>
      <c r="N142" s="408"/>
    </row>
    <row r="143" spans="3:15" hidden="1" x14ac:dyDescent="0.3">
      <c r="C143" s="544" t="s">
        <v>1359</v>
      </c>
      <c r="D143" s="415"/>
      <c r="E143" s="415"/>
      <c r="F143" s="546"/>
      <c r="G143" s="546"/>
      <c r="H143" s="429"/>
      <c r="I143" s="429"/>
      <c r="K143" s="408"/>
      <c r="N143" s="408"/>
    </row>
    <row r="144" spans="3:15" hidden="1" x14ac:dyDescent="0.3">
      <c r="C144" s="544" t="s">
        <v>1360</v>
      </c>
      <c r="D144" s="415"/>
      <c r="E144" s="415"/>
      <c r="F144" s="546"/>
      <c r="G144" s="546"/>
      <c r="H144" s="429"/>
      <c r="I144" s="429"/>
      <c r="K144" s="408"/>
      <c r="N144" s="408"/>
    </row>
    <row r="145" spans="3:14" hidden="1" x14ac:dyDescent="0.3">
      <c r="C145" s="544" t="s">
        <v>1361</v>
      </c>
      <c r="D145" s="415"/>
      <c r="E145" s="415"/>
      <c r="F145" s="546"/>
      <c r="G145" s="546"/>
      <c r="H145" s="429"/>
      <c r="I145" s="429"/>
      <c r="K145" s="408"/>
      <c r="N145" s="408"/>
    </row>
    <row r="146" spans="3:14" hidden="1" x14ac:dyDescent="0.3">
      <c r="C146" s="544" t="s">
        <v>1362</v>
      </c>
      <c r="D146" s="415"/>
      <c r="E146" s="415"/>
      <c r="F146" s="546"/>
      <c r="G146" s="546"/>
      <c r="H146" s="429"/>
      <c r="I146" s="429"/>
      <c r="K146" s="408"/>
      <c r="N146" s="408"/>
    </row>
    <row r="147" spans="3:14" hidden="1" x14ac:dyDescent="0.3">
      <c r="C147" s="544" t="s">
        <v>1363</v>
      </c>
      <c r="D147" s="1"/>
      <c r="E147" s="1"/>
      <c r="F147" s="547"/>
      <c r="G147" s="547"/>
      <c r="H147" s="183"/>
      <c r="I147" s="183"/>
      <c r="J147" s="1"/>
      <c r="L147" s="1"/>
      <c r="M147" s="1"/>
    </row>
    <row r="148" spans="3:14" hidden="1" x14ac:dyDescent="0.3">
      <c r="C148" s="544" t="s">
        <v>1364</v>
      </c>
      <c r="D148" s="1"/>
      <c r="E148" s="1"/>
      <c r="F148" s="547"/>
      <c r="G148" s="547"/>
      <c r="H148" s="183"/>
      <c r="I148" s="183"/>
      <c r="J148" s="1"/>
      <c r="L148" s="1"/>
      <c r="M148" s="1"/>
    </row>
    <row r="149" spans="3:14" hidden="1" x14ac:dyDescent="0.3">
      <c r="C149" s="544" t="s">
        <v>1365</v>
      </c>
      <c r="D149" s="1"/>
      <c r="E149" s="1"/>
      <c r="F149" s="547"/>
      <c r="G149" s="547"/>
      <c r="H149" s="183"/>
      <c r="I149" s="183"/>
      <c r="J149" s="1"/>
      <c r="L149" s="1"/>
      <c r="M149" s="1"/>
    </row>
    <row r="150" spans="3:14" hidden="1" x14ac:dyDescent="0.3">
      <c r="C150" s="544" t="s">
        <v>1366</v>
      </c>
      <c r="D150" s="1"/>
      <c r="E150" s="1"/>
      <c r="F150" s="547"/>
      <c r="G150" s="547"/>
      <c r="H150" s="183"/>
      <c r="I150" s="183"/>
      <c r="J150" s="1"/>
      <c r="L150" s="1"/>
      <c r="M150" s="1"/>
    </row>
    <row r="151" spans="3:14" hidden="1" x14ac:dyDescent="0.3">
      <c r="C151" s="544" t="s">
        <v>1367</v>
      </c>
      <c r="D151" s="1"/>
      <c r="E151" s="1"/>
      <c r="F151" s="547"/>
      <c r="G151" s="547"/>
      <c r="H151" s="183"/>
      <c r="I151" s="183"/>
      <c r="J151" s="1"/>
      <c r="L151" s="1"/>
      <c r="M151" s="1"/>
    </row>
    <row r="152" spans="3:14" hidden="1" x14ac:dyDescent="0.3">
      <c r="C152" s="544" t="s">
        <v>1368</v>
      </c>
      <c r="D152" s="1"/>
      <c r="E152" s="1"/>
      <c r="F152" s="547"/>
      <c r="G152" s="547"/>
      <c r="H152" s="183"/>
      <c r="I152" s="183"/>
      <c r="J152" s="1"/>
      <c r="L152" s="1"/>
      <c r="M152" s="1"/>
    </row>
    <row r="153" spans="3:14" hidden="1" x14ac:dyDescent="0.3">
      <c r="C153" s="544" t="s">
        <v>1369</v>
      </c>
      <c r="D153" s="1"/>
      <c r="E153" s="1"/>
      <c r="F153" s="547"/>
      <c r="G153" s="547"/>
      <c r="H153" s="183"/>
      <c r="I153" s="183"/>
      <c r="J153" s="1"/>
      <c r="L153" s="1"/>
      <c r="M153" s="1"/>
    </row>
    <row r="154" spans="3:14" hidden="1" x14ac:dyDescent="0.3">
      <c r="C154" s="544" t="s">
        <v>1370</v>
      </c>
      <c r="D154" s="1"/>
      <c r="E154" s="1"/>
      <c r="F154" s="547"/>
      <c r="G154" s="547"/>
      <c r="H154" s="183"/>
      <c r="I154" s="183"/>
      <c r="J154" s="1"/>
      <c r="L154" s="1"/>
      <c r="M154" s="1"/>
    </row>
    <row r="155" spans="3:14" hidden="1" x14ac:dyDescent="0.3">
      <c r="C155" s="544" t="s">
        <v>1371</v>
      </c>
      <c r="D155" s="1"/>
      <c r="E155" s="1"/>
      <c r="F155" s="548"/>
      <c r="G155" s="548"/>
      <c r="H155" s="184"/>
      <c r="I155" s="184"/>
      <c r="J155" s="1"/>
      <c r="L155" s="1"/>
      <c r="M155" s="1"/>
    </row>
    <row r="156" spans="3:14" hidden="1" x14ac:dyDescent="0.3">
      <c r="C156" s="186" t="s">
        <v>126</v>
      </c>
      <c r="D156" s="1"/>
      <c r="E156" s="1"/>
      <c r="F156" s="183"/>
      <c r="G156" s="183"/>
      <c r="H156" s="183"/>
      <c r="I156" s="183"/>
      <c r="J156" s="1"/>
      <c r="L156" s="1"/>
      <c r="M156" s="1"/>
    </row>
    <row r="157" spans="3:14" hidden="1" x14ac:dyDescent="0.3">
      <c r="C157" s="544" t="s">
        <v>135</v>
      </c>
      <c r="D157" s="1"/>
      <c r="E157" s="1"/>
      <c r="F157" s="547"/>
      <c r="G157" s="547"/>
      <c r="H157" s="183"/>
      <c r="I157" s="183"/>
      <c r="J157" s="1"/>
      <c r="L157" s="1"/>
      <c r="M157" s="1"/>
    </row>
    <row r="158" spans="3:14" hidden="1" x14ac:dyDescent="0.3">
      <c r="C158" s="544" t="s">
        <v>136</v>
      </c>
      <c r="D158" s="1"/>
      <c r="E158" s="1"/>
      <c r="F158" s="547"/>
      <c r="G158" s="547"/>
      <c r="H158" s="183"/>
      <c r="I158" s="183"/>
      <c r="J158" s="1"/>
      <c r="L158" s="1"/>
      <c r="M158" s="1"/>
    </row>
    <row r="159" spans="3:14" hidden="1" x14ac:dyDescent="0.3">
      <c r="C159" s="544" t="s">
        <v>1354</v>
      </c>
      <c r="D159" s="1"/>
      <c r="E159" s="1"/>
      <c r="F159" s="547"/>
      <c r="G159" s="547"/>
      <c r="H159" s="183"/>
      <c r="I159" s="183"/>
      <c r="J159" s="1"/>
      <c r="L159" s="1"/>
      <c r="M159" s="1"/>
    </row>
    <row r="160" spans="3:14" hidden="1" x14ac:dyDescent="0.3">
      <c r="C160" s="544" t="s">
        <v>1355</v>
      </c>
      <c r="D160" s="1"/>
      <c r="E160" s="1"/>
      <c r="F160" s="547"/>
      <c r="G160" s="547"/>
      <c r="H160" s="183"/>
      <c r="I160" s="183"/>
      <c r="J160" s="1"/>
      <c r="L160" s="1"/>
      <c r="M160" s="1"/>
    </row>
    <row r="161" spans="3:13" hidden="1" x14ac:dyDescent="0.3">
      <c r="C161" s="544" t="s">
        <v>1356</v>
      </c>
      <c r="D161" s="1"/>
      <c r="E161" s="1"/>
      <c r="F161" s="547"/>
      <c r="G161" s="547"/>
      <c r="H161" s="183"/>
      <c r="I161" s="183"/>
      <c r="J161" s="1"/>
      <c r="L161" s="1"/>
      <c r="M161" s="1"/>
    </row>
    <row r="162" spans="3:13" hidden="1" x14ac:dyDescent="0.3">
      <c r="C162" s="544" t="s">
        <v>1357</v>
      </c>
      <c r="D162" s="1"/>
      <c r="E162" s="1"/>
      <c r="F162" s="547"/>
      <c r="G162" s="547"/>
      <c r="H162" s="183"/>
      <c r="I162" s="183"/>
      <c r="J162" s="1"/>
      <c r="L162" s="1"/>
      <c r="M162" s="1"/>
    </row>
    <row r="163" spans="3:13" hidden="1" x14ac:dyDescent="0.3">
      <c r="C163" s="544" t="s">
        <v>1358</v>
      </c>
      <c r="D163" s="1"/>
      <c r="E163" s="1"/>
      <c r="F163" s="547"/>
      <c r="G163" s="547"/>
      <c r="H163" s="183"/>
      <c r="I163" s="183"/>
      <c r="J163" s="1"/>
      <c r="L163" s="1"/>
      <c r="M163" s="1"/>
    </row>
    <row r="164" spans="3:13" hidden="1" x14ac:dyDescent="0.3">
      <c r="C164" s="544" t="s">
        <v>1359</v>
      </c>
      <c r="D164" s="1"/>
      <c r="E164" s="1"/>
      <c r="F164" s="547"/>
      <c r="G164" s="547"/>
      <c r="H164" s="183"/>
      <c r="I164" s="183"/>
      <c r="J164" s="1"/>
      <c r="L164" s="1"/>
      <c r="M164" s="1"/>
    </row>
    <row r="165" spans="3:13" hidden="1" x14ac:dyDescent="0.3">
      <c r="C165" s="544" t="s">
        <v>1360</v>
      </c>
      <c r="D165" s="1"/>
      <c r="E165" s="1"/>
      <c r="F165" s="547"/>
      <c r="G165" s="547"/>
      <c r="H165" s="183"/>
      <c r="I165" s="183"/>
      <c r="J165" s="1"/>
      <c r="L165" s="1"/>
      <c r="M165" s="1"/>
    </row>
    <row r="166" spans="3:13" hidden="1" x14ac:dyDescent="0.3">
      <c r="C166" s="544" t="s">
        <v>1361</v>
      </c>
      <c r="D166" s="1"/>
      <c r="E166" s="1"/>
      <c r="F166" s="547"/>
      <c r="G166" s="547"/>
      <c r="H166" s="183"/>
      <c r="I166" s="183"/>
      <c r="J166" s="1"/>
      <c r="L166" s="1"/>
      <c r="M166" s="1"/>
    </row>
    <row r="167" spans="3:13" hidden="1" x14ac:dyDescent="0.3">
      <c r="C167" s="544" t="s">
        <v>1362</v>
      </c>
      <c r="D167" s="1"/>
      <c r="E167" s="1"/>
      <c r="F167" s="547"/>
      <c r="G167" s="547"/>
      <c r="H167" s="183"/>
      <c r="I167" s="183"/>
      <c r="J167" s="1"/>
      <c r="L167" s="1"/>
      <c r="M167" s="1"/>
    </row>
    <row r="168" spans="3:13" hidden="1" x14ac:dyDescent="0.3">
      <c r="C168" s="544" t="s">
        <v>1363</v>
      </c>
      <c r="D168" s="1"/>
      <c r="E168" s="1"/>
      <c r="F168" s="547"/>
      <c r="G168" s="547"/>
      <c r="H168" s="183"/>
      <c r="I168" s="183"/>
      <c r="J168" s="1"/>
      <c r="L168" s="1"/>
      <c r="M168" s="1"/>
    </row>
    <row r="169" spans="3:13" hidden="1" x14ac:dyDescent="0.3">
      <c r="C169" s="544" t="s">
        <v>1364</v>
      </c>
      <c r="D169" s="1"/>
      <c r="E169" s="1"/>
      <c r="F169" s="547"/>
      <c r="G169" s="547"/>
      <c r="H169" s="183"/>
      <c r="I169" s="183"/>
      <c r="J169" s="1"/>
      <c r="L169" s="1"/>
      <c r="M169" s="1"/>
    </row>
    <row r="170" spans="3:13" hidden="1" x14ac:dyDescent="0.3">
      <c r="C170" s="544" t="s">
        <v>1365</v>
      </c>
      <c r="D170" s="1"/>
      <c r="E170" s="1"/>
      <c r="F170" s="547"/>
      <c r="G170" s="547"/>
      <c r="H170" s="183"/>
      <c r="I170" s="183"/>
      <c r="J170" s="1"/>
      <c r="L170" s="1"/>
      <c r="M170" s="1"/>
    </row>
    <row r="171" spans="3:13" hidden="1" x14ac:dyDescent="0.3">
      <c r="C171" s="544" t="s">
        <v>1366</v>
      </c>
      <c r="D171" s="1"/>
      <c r="E171" s="1"/>
      <c r="F171" s="547"/>
      <c r="G171" s="547"/>
      <c r="H171" s="183"/>
      <c r="I171" s="183"/>
      <c r="J171" s="1"/>
      <c r="L171" s="1"/>
      <c r="M171" s="1"/>
    </row>
    <row r="172" spans="3:13" hidden="1" x14ac:dyDescent="0.3">
      <c r="C172" s="544" t="s">
        <v>1367</v>
      </c>
      <c r="D172" s="1"/>
      <c r="E172" s="1"/>
      <c r="F172" s="547"/>
      <c r="G172" s="547"/>
      <c r="H172" s="183"/>
      <c r="I172" s="183"/>
      <c r="J172" s="1"/>
      <c r="L172" s="1"/>
      <c r="M172" s="1"/>
    </row>
    <row r="173" spans="3:13" hidden="1" x14ac:dyDescent="0.3">
      <c r="C173" s="544" t="s">
        <v>1368</v>
      </c>
      <c r="D173" s="1"/>
      <c r="E173" s="1"/>
      <c r="F173" s="547"/>
      <c r="G173" s="547"/>
      <c r="H173" s="183"/>
      <c r="I173" s="183"/>
      <c r="J173" s="1"/>
      <c r="L173" s="1"/>
      <c r="M173" s="1"/>
    </row>
    <row r="174" spans="3:13" hidden="1" x14ac:dyDescent="0.3">
      <c r="C174" s="544" t="s">
        <v>1369</v>
      </c>
      <c r="D174" s="1"/>
      <c r="E174" s="1"/>
      <c r="F174" s="547"/>
      <c r="G174" s="547"/>
      <c r="H174" s="183"/>
      <c r="I174" s="183"/>
      <c r="J174" s="1"/>
      <c r="L174" s="1"/>
      <c r="M174" s="1"/>
    </row>
    <row r="175" spans="3:13" hidden="1" x14ac:dyDescent="0.3">
      <c r="C175" s="544" t="s">
        <v>1370</v>
      </c>
      <c r="D175" s="1"/>
      <c r="E175" s="1"/>
      <c r="F175" s="547"/>
      <c r="G175" s="547"/>
      <c r="H175" s="183"/>
      <c r="I175" s="183"/>
      <c r="J175" s="1"/>
      <c r="L175" s="1"/>
      <c r="M175" s="1"/>
    </row>
    <row r="176" spans="3:13" hidden="1" x14ac:dyDescent="0.3">
      <c r="C176" s="544" t="s">
        <v>1371</v>
      </c>
      <c r="D176" s="1"/>
      <c r="E176" s="1"/>
      <c r="F176" s="548"/>
      <c r="G176" s="548"/>
      <c r="H176" s="184"/>
      <c r="I176" s="184"/>
      <c r="J176" s="1"/>
      <c r="L176" s="1"/>
      <c r="M176" s="1"/>
    </row>
    <row r="177" spans="3:13" hidden="1" x14ac:dyDescent="0.3">
      <c r="C177" s="186" t="s">
        <v>1338</v>
      </c>
      <c r="D177" s="1"/>
      <c r="E177" s="1"/>
      <c r="F177" s="183"/>
      <c r="G177" s="183"/>
      <c r="H177" s="183"/>
      <c r="I177" s="183"/>
      <c r="J177" s="1"/>
      <c r="L177" s="1"/>
      <c r="M177" s="1"/>
    </row>
    <row r="178" spans="3:13" hidden="1" x14ac:dyDescent="0.3">
      <c r="C178" s="544" t="s">
        <v>135</v>
      </c>
      <c r="D178" s="1"/>
      <c r="E178" s="1"/>
      <c r="F178" s="547"/>
      <c r="G178" s="547"/>
      <c r="H178" s="183"/>
      <c r="I178" s="183"/>
      <c r="J178" s="1"/>
      <c r="L178" s="1"/>
      <c r="M178" s="1"/>
    </row>
    <row r="179" spans="3:13" hidden="1" x14ac:dyDescent="0.3">
      <c r="C179" s="544" t="s">
        <v>136</v>
      </c>
      <c r="D179" s="1"/>
      <c r="E179" s="1"/>
      <c r="F179" s="547"/>
      <c r="G179" s="547"/>
      <c r="H179" s="183"/>
      <c r="I179" s="183"/>
      <c r="J179" s="1"/>
      <c r="L179" s="1"/>
      <c r="M179" s="1"/>
    </row>
    <row r="180" spans="3:13" hidden="1" x14ac:dyDescent="0.3">
      <c r="C180" s="544" t="s">
        <v>1354</v>
      </c>
      <c r="D180" s="1"/>
      <c r="E180" s="1"/>
      <c r="F180" s="547"/>
      <c r="G180" s="547"/>
      <c r="H180" s="183"/>
      <c r="I180" s="183"/>
      <c r="J180" s="1"/>
      <c r="L180" s="1"/>
      <c r="M180" s="1"/>
    </row>
    <row r="181" spans="3:13" hidden="1" x14ac:dyDescent="0.3">
      <c r="C181" s="544" t="s">
        <v>1355</v>
      </c>
      <c r="D181" s="1"/>
      <c r="E181" s="1"/>
      <c r="F181" s="547"/>
      <c r="G181" s="547"/>
      <c r="H181" s="183"/>
      <c r="I181" s="183"/>
      <c r="J181" s="1"/>
      <c r="L181" s="1"/>
      <c r="M181" s="1"/>
    </row>
    <row r="182" spans="3:13" hidden="1" x14ac:dyDescent="0.3">
      <c r="C182" s="544" t="s">
        <v>1356</v>
      </c>
      <c r="D182" s="1"/>
      <c r="E182" s="1"/>
      <c r="F182" s="547"/>
      <c r="G182" s="547"/>
      <c r="H182" s="183"/>
      <c r="I182" s="183"/>
      <c r="J182" s="1"/>
      <c r="L182" s="1"/>
      <c r="M182" s="1"/>
    </row>
    <row r="183" spans="3:13" hidden="1" x14ac:dyDescent="0.3">
      <c r="C183" s="544" t="s">
        <v>1357</v>
      </c>
      <c r="D183" s="1"/>
      <c r="E183" s="1"/>
      <c r="F183" s="547"/>
      <c r="G183" s="547"/>
      <c r="H183" s="183"/>
      <c r="I183" s="183"/>
      <c r="J183" s="1"/>
      <c r="L183" s="1"/>
      <c r="M183" s="1"/>
    </row>
    <row r="184" spans="3:13" hidden="1" x14ac:dyDescent="0.3">
      <c r="C184" s="544" t="s">
        <v>1358</v>
      </c>
      <c r="D184" s="1"/>
      <c r="E184" s="1"/>
      <c r="F184" s="547"/>
      <c r="G184" s="547"/>
      <c r="H184" s="183"/>
      <c r="I184" s="183"/>
      <c r="J184" s="1"/>
      <c r="L184" s="1"/>
      <c r="M184" s="1"/>
    </row>
    <row r="185" spans="3:13" hidden="1" x14ac:dyDescent="0.3">
      <c r="C185" s="544" t="s">
        <v>1359</v>
      </c>
      <c r="D185" s="1"/>
      <c r="E185" s="1"/>
      <c r="F185" s="547"/>
      <c r="G185" s="547"/>
      <c r="H185" s="183"/>
      <c r="I185" s="183"/>
      <c r="J185" s="1"/>
      <c r="L185" s="1"/>
      <c r="M185" s="1"/>
    </row>
    <row r="186" spans="3:13" hidden="1" x14ac:dyDescent="0.3">
      <c r="C186" s="544" t="s">
        <v>1360</v>
      </c>
      <c r="D186" s="1"/>
      <c r="E186" s="1"/>
      <c r="F186" s="547"/>
      <c r="G186" s="547"/>
      <c r="H186" s="183"/>
      <c r="I186" s="183"/>
      <c r="J186" s="1"/>
      <c r="L186" s="1"/>
      <c r="M186" s="1"/>
    </row>
    <row r="187" spans="3:13" hidden="1" x14ac:dyDescent="0.3">
      <c r="C187" s="544" t="s">
        <v>1361</v>
      </c>
      <c r="D187" s="1"/>
      <c r="E187" s="1"/>
      <c r="F187" s="547"/>
      <c r="G187" s="547"/>
      <c r="H187" s="183"/>
      <c r="I187" s="183"/>
      <c r="J187" s="1"/>
      <c r="L187" s="1"/>
      <c r="M187" s="1"/>
    </row>
    <row r="188" spans="3:13" hidden="1" x14ac:dyDescent="0.3">
      <c r="C188" s="544" t="s">
        <v>1362</v>
      </c>
      <c r="D188" s="1"/>
      <c r="E188" s="1"/>
      <c r="F188" s="547"/>
      <c r="G188" s="547"/>
      <c r="H188" s="183"/>
      <c r="I188" s="183"/>
      <c r="J188" s="1"/>
      <c r="L188" s="1"/>
      <c r="M188" s="1"/>
    </row>
    <row r="189" spans="3:13" hidden="1" x14ac:dyDescent="0.3">
      <c r="C189" s="544" t="s">
        <v>1363</v>
      </c>
      <c r="D189" s="1"/>
      <c r="E189" s="1"/>
      <c r="F189" s="547"/>
      <c r="G189" s="547"/>
      <c r="H189" s="183"/>
      <c r="I189" s="183"/>
      <c r="J189" s="1"/>
      <c r="L189" s="1"/>
      <c r="M189" s="1"/>
    </row>
    <row r="190" spans="3:13" hidden="1" x14ac:dyDescent="0.3">
      <c r="C190" s="544" t="s">
        <v>1364</v>
      </c>
      <c r="D190" s="1"/>
      <c r="E190" s="1"/>
      <c r="F190" s="547"/>
      <c r="G190" s="547"/>
      <c r="H190" s="183"/>
      <c r="I190" s="183"/>
      <c r="J190" s="1"/>
      <c r="L190" s="1"/>
      <c r="M190" s="1"/>
    </row>
    <row r="191" spans="3:13" hidden="1" x14ac:dyDescent="0.3">
      <c r="C191" s="544" t="s">
        <v>1365</v>
      </c>
      <c r="D191" s="1"/>
      <c r="E191" s="1"/>
      <c r="F191" s="547"/>
      <c r="G191" s="547"/>
      <c r="H191" s="183"/>
      <c r="I191" s="183"/>
      <c r="J191" s="1"/>
      <c r="L191" s="1"/>
      <c r="M191" s="1"/>
    </row>
    <row r="192" spans="3:13" hidden="1" x14ac:dyDescent="0.3">
      <c r="C192" s="544" t="s">
        <v>1366</v>
      </c>
      <c r="D192" s="1"/>
      <c r="E192" s="1"/>
      <c r="F192" s="547"/>
      <c r="G192" s="547"/>
      <c r="H192" s="183"/>
      <c r="I192" s="183"/>
      <c r="J192" s="1"/>
      <c r="L192" s="1"/>
      <c r="M192" s="1"/>
    </row>
    <row r="193" spans="3:13" hidden="1" x14ac:dyDescent="0.3">
      <c r="C193" s="544" t="s">
        <v>1367</v>
      </c>
      <c r="D193" s="1"/>
      <c r="E193" s="1"/>
      <c r="F193" s="547"/>
      <c r="G193" s="547"/>
      <c r="H193" s="183"/>
      <c r="I193" s="183"/>
      <c r="J193" s="1"/>
      <c r="L193" s="1"/>
      <c r="M193" s="1"/>
    </row>
    <row r="194" spans="3:13" hidden="1" x14ac:dyDescent="0.3">
      <c r="C194" s="544" t="s">
        <v>1368</v>
      </c>
      <c r="D194" s="1"/>
      <c r="E194" s="1"/>
      <c r="F194" s="547"/>
      <c r="G194" s="547"/>
      <c r="H194" s="183"/>
      <c r="I194" s="183"/>
      <c r="J194" s="1"/>
      <c r="L194" s="1"/>
      <c r="M194" s="1"/>
    </row>
    <row r="195" spans="3:13" hidden="1" x14ac:dyDescent="0.3">
      <c r="C195" s="544" t="s">
        <v>1369</v>
      </c>
      <c r="D195" s="1"/>
      <c r="E195" s="1"/>
      <c r="F195" s="547"/>
      <c r="G195" s="547"/>
      <c r="H195" s="183"/>
      <c r="I195" s="183"/>
      <c r="J195" s="1"/>
      <c r="L195" s="1"/>
      <c r="M195" s="1"/>
    </row>
    <row r="196" spans="3:13" hidden="1" x14ac:dyDescent="0.3">
      <c r="C196" s="544" t="s">
        <v>1370</v>
      </c>
      <c r="D196" s="1"/>
      <c r="E196" s="1"/>
      <c r="F196" s="547"/>
      <c r="G196" s="547"/>
      <c r="H196" s="183"/>
      <c r="I196" s="183"/>
      <c r="J196" s="1"/>
      <c r="L196" s="1"/>
      <c r="M196" s="1"/>
    </row>
    <row r="197" spans="3:13" hidden="1" x14ac:dyDescent="0.3">
      <c r="C197" s="544" t="s">
        <v>1371</v>
      </c>
      <c r="D197" s="1"/>
      <c r="E197" s="1"/>
      <c r="F197" s="548"/>
      <c r="G197" s="548"/>
      <c r="H197" s="184"/>
      <c r="I197" s="184"/>
      <c r="J197" s="1"/>
      <c r="L197" s="1"/>
      <c r="M197" s="1"/>
    </row>
    <row r="198" spans="3:13" hidden="1" x14ac:dyDescent="0.3">
      <c r="C198" s="186" t="s">
        <v>1339</v>
      </c>
      <c r="D198" s="1"/>
      <c r="E198" s="1"/>
      <c r="F198" s="183"/>
      <c r="G198" s="183"/>
      <c r="H198" s="183"/>
      <c r="I198" s="183"/>
      <c r="J198" s="1"/>
      <c r="L198" s="1"/>
      <c r="M198" s="1"/>
    </row>
    <row r="199" spans="3:13" hidden="1" x14ac:dyDescent="0.3">
      <c r="C199" s="544" t="s">
        <v>135</v>
      </c>
      <c r="D199" s="1"/>
      <c r="E199" s="1"/>
      <c r="F199" s="547"/>
      <c r="G199" s="547"/>
      <c r="H199" s="183"/>
      <c r="I199" s="183"/>
      <c r="J199" s="1"/>
      <c r="L199" s="1"/>
      <c r="M199" s="1"/>
    </row>
    <row r="200" spans="3:13" hidden="1" x14ac:dyDescent="0.3">
      <c r="C200" s="544" t="s">
        <v>136</v>
      </c>
      <c r="D200" s="1"/>
      <c r="E200" s="1"/>
      <c r="F200" s="547"/>
      <c r="G200" s="547"/>
      <c r="H200" s="183"/>
      <c r="I200" s="183"/>
      <c r="J200" s="1"/>
      <c r="L200" s="1"/>
      <c r="M200" s="1"/>
    </row>
    <row r="201" spans="3:13" hidden="1" x14ac:dyDescent="0.3">
      <c r="C201" s="544" t="s">
        <v>1354</v>
      </c>
      <c r="D201" s="1"/>
      <c r="E201" s="1"/>
      <c r="F201" s="547"/>
      <c r="G201" s="547"/>
      <c r="H201" s="183"/>
      <c r="I201" s="183"/>
      <c r="J201" s="1"/>
      <c r="L201" s="1"/>
      <c r="M201" s="1"/>
    </row>
    <row r="202" spans="3:13" hidden="1" x14ac:dyDescent="0.3">
      <c r="C202" s="544" t="s">
        <v>1355</v>
      </c>
      <c r="D202" s="1"/>
      <c r="E202" s="1"/>
      <c r="F202" s="547"/>
      <c r="G202" s="547"/>
      <c r="H202" s="183"/>
      <c r="I202" s="183"/>
      <c r="J202" s="1"/>
      <c r="L202" s="1"/>
      <c r="M202" s="1"/>
    </row>
    <row r="203" spans="3:13" hidden="1" x14ac:dyDescent="0.3">
      <c r="C203" s="544" t="s">
        <v>1356</v>
      </c>
      <c r="D203" s="1"/>
      <c r="E203" s="1"/>
      <c r="F203" s="547"/>
      <c r="G203" s="547"/>
      <c r="H203" s="183"/>
      <c r="I203" s="183"/>
      <c r="J203" s="1"/>
      <c r="L203" s="1"/>
      <c r="M203" s="1"/>
    </row>
    <row r="204" spans="3:13" hidden="1" x14ac:dyDescent="0.3">
      <c r="C204" s="544" t="s">
        <v>1357</v>
      </c>
      <c r="D204" s="1"/>
      <c r="E204" s="1"/>
      <c r="F204" s="547"/>
      <c r="G204" s="547"/>
      <c r="H204" s="183"/>
      <c r="I204" s="183"/>
      <c r="J204" s="1"/>
      <c r="L204" s="1"/>
      <c r="M204" s="1"/>
    </row>
    <row r="205" spans="3:13" hidden="1" x14ac:dyDescent="0.3">
      <c r="C205" s="544" t="s">
        <v>1358</v>
      </c>
      <c r="D205" s="1"/>
      <c r="E205" s="1"/>
      <c r="F205" s="547"/>
      <c r="G205" s="547"/>
      <c r="H205" s="183"/>
      <c r="I205" s="183"/>
      <c r="J205" s="1"/>
      <c r="L205" s="1"/>
      <c r="M205" s="1"/>
    </row>
    <row r="206" spans="3:13" hidden="1" x14ac:dyDescent="0.3">
      <c r="C206" s="544" t="s">
        <v>1359</v>
      </c>
      <c r="D206" s="1"/>
      <c r="E206" s="1"/>
      <c r="F206" s="547"/>
      <c r="G206" s="547"/>
      <c r="H206" s="183"/>
      <c r="I206" s="183"/>
      <c r="J206" s="1"/>
      <c r="L206" s="1"/>
      <c r="M206" s="1"/>
    </row>
    <row r="207" spans="3:13" hidden="1" x14ac:dyDescent="0.3">
      <c r="C207" s="544" t="s">
        <v>1360</v>
      </c>
      <c r="D207" s="1"/>
      <c r="E207" s="1"/>
      <c r="F207" s="547"/>
      <c r="G207" s="547"/>
      <c r="H207" s="183"/>
      <c r="I207" s="183"/>
      <c r="J207" s="1"/>
      <c r="L207" s="1"/>
      <c r="M207" s="1"/>
    </row>
    <row r="208" spans="3:13" hidden="1" x14ac:dyDescent="0.3">
      <c r="C208" s="544" t="s">
        <v>1361</v>
      </c>
      <c r="D208" s="1"/>
      <c r="E208" s="1"/>
      <c r="F208" s="547"/>
      <c r="G208" s="547"/>
      <c r="H208" s="183"/>
      <c r="I208" s="183"/>
      <c r="J208" s="1"/>
      <c r="L208" s="1"/>
      <c r="M208" s="1"/>
    </row>
    <row r="209" spans="3:13" hidden="1" x14ac:dyDescent="0.3">
      <c r="C209" s="544" t="s">
        <v>1362</v>
      </c>
      <c r="D209" s="1"/>
      <c r="E209" s="1"/>
      <c r="F209" s="547"/>
      <c r="G209" s="547"/>
      <c r="H209" s="183"/>
      <c r="I209" s="183"/>
      <c r="J209" s="1"/>
      <c r="L209" s="1"/>
      <c r="M209" s="1"/>
    </row>
    <row r="210" spans="3:13" hidden="1" x14ac:dyDescent="0.3">
      <c r="C210" s="544" t="s">
        <v>1363</v>
      </c>
      <c r="D210" s="1"/>
      <c r="E210" s="1"/>
      <c r="F210" s="547"/>
      <c r="G210" s="547"/>
      <c r="H210" s="183"/>
      <c r="I210" s="183"/>
      <c r="J210" s="1"/>
      <c r="L210" s="1"/>
      <c r="M210" s="1"/>
    </row>
    <row r="211" spans="3:13" hidden="1" x14ac:dyDescent="0.3">
      <c r="C211" s="544" t="s">
        <v>1364</v>
      </c>
      <c r="D211" s="1"/>
      <c r="E211" s="1"/>
      <c r="F211" s="547"/>
      <c r="G211" s="547"/>
      <c r="H211" s="183"/>
      <c r="I211" s="183"/>
      <c r="J211" s="1"/>
      <c r="L211" s="1"/>
      <c r="M211" s="1"/>
    </row>
    <row r="212" spans="3:13" hidden="1" x14ac:dyDescent="0.3">
      <c r="C212" s="544" t="s">
        <v>1365</v>
      </c>
      <c r="D212" s="1"/>
      <c r="E212" s="1"/>
      <c r="F212" s="547"/>
      <c r="G212" s="547"/>
      <c r="H212" s="183"/>
      <c r="I212" s="183"/>
      <c r="J212" s="1"/>
      <c r="L212" s="1"/>
      <c r="M212" s="1"/>
    </row>
    <row r="213" spans="3:13" hidden="1" x14ac:dyDescent="0.3">
      <c r="C213" s="544" t="s">
        <v>1366</v>
      </c>
      <c r="D213" s="1"/>
      <c r="E213" s="1"/>
      <c r="F213" s="547"/>
      <c r="G213" s="547"/>
      <c r="H213" s="183"/>
      <c r="I213" s="183"/>
      <c r="J213" s="1"/>
      <c r="L213" s="1"/>
      <c r="M213" s="1"/>
    </row>
    <row r="214" spans="3:13" hidden="1" x14ac:dyDescent="0.3">
      <c r="C214" s="544" t="s">
        <v>1367</v>
      </c>
      <c r="D214" s="1"/>
      <c r="E214" s="1"/>
      <c r="F214" s="547"/>
      <c r="G214" s="547"/>
      <c r="H214" s="183"/>
      <c r="I214" s="183"/>
      <c r="J214" s="1"/>
      <c r="L214" s="1"/>
      <c r="M214" s="1"/>
    </row>
    <row r="215" spans="3:13" hidden="1" x14ac:dyDescent="0.3">
      <c r="C215" s="544" t="s">
        <v>1368</v>
      </c>
      <c r="D215" s="1"/>
      <c r="E215" s="1"/>
      <c r="F215" s="547"/>
      <c r="G215" s="547"/>
      <c r="H215" s="183"/>
      <c r="I215" s="183"/>
      <c r="J215" s="1"/>
      <c r="L215" s="1"/>
      <c r="M215" s="1"/>
    </row>
    <row r="216" spans="3:13" hidden="1" x14ac:dyDescent="0.3">
      <c r="C216" s="544" t="s">
        <v>1369</v>
      </c>
      <c r="D216" s="1"/>
      <c r="E216" s="1"/>
      <c r="F216" s="547"/>
      <c r="G216" s="547"/>
      <c r="H216" s="183"/>
      <c r="I216" s="183"/>
      <c r="J216" s="1"/>
      <c r="L216" s="1"/>
      <c r="M216" s="1"/>
    </row>
    <row r="217" spans="3:13" hidden="1" x14ac:dyDescent="0.3">
      <c r="C217" s="544" t="s">
        <v>1370</v>
      </c>
      <c r="D217" s="1"/>
      <c r="E217" s="1"/>
      <c r="F217" s="547"/>
      <c r="G217" s="547"/>
      <c r="H217" s="183"/>
      <c r="I217" s="183"/>
      <c r="J217" s="1"/>
      <c r="L217" s="1"/>
      <c r="M217" s="1"/>
    </row>
    <row r="218" spans="3:13" hidden="1" x14ac:dyDescent="0.3">
      <c r="C218" s="544" t="s">
        <v>1371</v>
      </c>
      <c r="D218" s="1"/>
      <c r="E218" s="1"/>
      <c r="F218" s="548"/>
      <c r="G218" s="548"/>
      <c r="H218" s="184"/>
      <c r="I218" s="184"/>
      <c r="J218" s="1"/>
      <c r="L218" s="1"/>
      <c r="M218" s="1"/>
    </row>
    <row r="219" spans="3:13" hidden="1" x14ac:dyDescent="0.3">
      <c r="C219" s="186" t="s">
        <v>1340</v>
      </c>
      <c r="D219" s="1"/>
      <c r="E219" s="1"/>
      <c r="F219" s="183"/>
      <c r="G219" s="183"/>
      <c r="H219" s="183"/>
      <c r="I219" s="183"/>
      <c r="J219" s="1"/>
      <c r="L219" s="1"/>
      <c r="M219" s="1"/>
    </row>
    <row r="220" spans="3:13" hidden="1" x14ac:dyDescent="0.3">
      <c r="C220" s="544" t="s">
        <v>135</v>
      </c>
      <c r="D220" s="1"/>
      <c r="E220" s="1"/>
      <c r="F220" s="547"/>
      <c r="G220" s="547"/>
      <c r="H220" s="183"/>
      <c r="I220" s="183"/>
      <c r="J220" s="1"/>
      <c r="L220" s="1"/>
      <c r="M220" s="1"/>
    </row>
    <row r="221" spans="3:13" hidden="1" x14ac:dyDescent="0.3">
      <c r="C221" s="544" t="s">
        <v>136</v>
      </c>
      <c r="D221" s="1"/>
      <c r="E221" s="1"/>
      <c r="F221" s="547"/>
      <c r="G221" s="547"/>
      <c r="H221" s="183"/>
      <c r="I221" s="183"/>
      <c r="J221" s="1"/>
      <c r="L221" s="1"/>
      <c r="M221" s="1"/>
    </row>
    <row r="222" spans="3:13" hidden="1" x14ac:dyDescent="0.3">
      <c r="C222" s="544" t="s">
        <v>1354</v>
      </c>
      <c r="D222" s="1"/>
      <c r="E222" s="1"/>
      <c r="F222" s="547"/>
      <c r="G222" s="547"/>
      <c r="H222" s="183"/>
      <c r="I222" s="183"/>
      <c r="J222" s="1"/>
      <c r="L222" s="1"/>
      <c r="M222" s="1"/>
    </row>
    <row r="223" spans="3:13" hidden="1" x14ac:dyDescent="0.3">
      <c r="C223" s="544" t="s">
        <v>1355</v>
      </c>
      <c r="D223" s="1"/>
      <c r="E223" s="1"/>
      <c r="F223" s="547"/>
      <c r="G223" s="547"/>
      <c r="H223" s="183"/>
      <c r="I223" s="183"/>
      <c r="J223" s="1"/>
      <c r="L223" s="1"/>
      <c r="M223" s="1"/>
    </row>
    <row r="224" spans="3:13" hidden="1" x14ac:dyDescent="0.3">
      <c r="C224" s="544" t="s">
        <v>1356</v>
      </c>
      <c r="D224" s="1"/>
      <c r="E224" s="1"/>
      <c r="F224" s="547"/>
      <c r="G224" s="547"/>
      <c r="H224" s="183"/>
      <c r="I224" s="183"/>
      <c r="J224" s="1"/>
      <c r="L224" s="1"/>
      <c r="M224" s="1"/>
    </row>
    <row r="225" spans="3:13" hidden="1" x14ac:dyDescent="0.3">
      <c r="C225" s="544" t="s">
        <v>1357</v>
      </c>
      <c r="D225" s="1"/>
      <c r="E225" s="1"/>
      <c r="F225" s="547"/>
      <c r="G225" s="547"/>
      <c r="H225" s="183"/>
      <c r="I225" s="183"/>
      <c r="J225" s="1"/>
      <c r="L225" s="1"/>
      <c r="M225" s="1"/>
    </row>
    <row r="226" spans="3:13" hidden="1" x14ac:dyDescent="0.3">
      <c r="C226" s="544" t="s">
        <v>1358</v>
      </c>
      <c r="D226" s="1"/>
      <c r="E226" s="1"/>
      <c r="F226" s="547"/>
      <c r="G226" s="547"/>
      <c r="H226" s="183"/>
      <c r="I226" s="183"/>
      <c r="J226" s="1"/>
      <c r="L226" s="1"/>
      <c r="M226" s="1"/>
    </row>
    <row r="227" spans="3:13" hidden="1" x14ac:dyDescent="0.3">
      <c r="C227" s="544" t="s">
        <v>1359</v>
      </c>
      <c r="D227" s="1"/>
      <c r="E227" s="1"/>
      <c r="F227" s="547"/>
      <c r="G227" s="547"/>
      <c r="H227" s="183"/>
      <c r="I227" s="183"/>
      <c r="J227" s="1"/>
      <c r="L227" s="1"/>
      <c r="M227" s="1"/>
    </row>
    <row r="228" spans="3:13" hidden="1" x14ac:dyDescent="0.3">
      <c r="C228" s="544" t="s">
        <v>1360</v>
      </c>
      <c r="D228" s="1"/>
      <c r="E228" s="1"/>
      <c r="F228" s="547"/>
      <c r="G228" s="547"/>
      <c r="H228" s="183"/>
      <c r="I228" s="183"/>
      <c r="J228" s="1"/>
      <c r="L228" s="1"/>
      <c r="M228" s="1"/>
    </row>
    <row r="229" spans="3:13" hidden="1" x14ac:dyDescent="0.3">
      <c r="C229" s="544" t="s">
        <v>1361</v>
      </c>
      <c r="D229" s="1"/>
      <c r="E229" s="1"/>
      <c r="F229" s="547"/>
      <c r="G229" s="547"/>
      <c r="H229" s="183"/>
      <c r="I229" s="183"/>
      <c r="J229" s="1"/>
      <c r="L229" s="1"/>
      <c r="M229" s="1"/>
    </row>
    <row r="230" spans="3:13" hidden="1" x14ac:dyDescent="0.3">
      <c r="C230" s="544" t="s">
        <v>1362</v>
      </c>
      <c r="D230" s="1"/>
      <c r="E230" s="1"/>
      <c r="F230" s="547"/>
      <c r="G230" s="547"/>
      <c r="H230" s="183"/>
      <c r="I230" s="183"/>
      <c r="J230" s="1"/>
      <c r="L230" s="1"/>
      <c r="M230" s="1"/>
    </row>
    <row r="231" spans="3:13" hidden="1" x14ac:dyDescent="0.3">
      <c r="C231" s="544" t="s">
        <v>1363</v>
      </c>
      <c r="D231" s="1"/>
      <c r="E231" s="1"/>
      <c r="F231" s="547"/>
      <c r="G231" s="547"/>
      <c r="H231" s="183"/>
      <c r="I231" s="183"/>
      <c r="J231" s="1"/>
      <c r="L231" s="1"/>
      <c r="M231" s="1"/>
    </row>
    <row r="232" spans="3:13" hidden="1" x14ac:dyDescent="0.3">
      <c r="C232" s="544" t="s">
        <v>1364</v>
      </c>
      <c r="D232" s="1"/>
      <c r="E232" s="1"/>
      <c r="F232" s="547"/>
      <c r="G232" s="547"/>
      <c r="H232" s="183"/>
      <c r="I232" s="183"/>
      <c r="J232" s="1"/>
      <c r="L232" s="1"/>
      <c r="M232" s="1"/>
    </row>
    <row r="233" spans="3:13" hidden="1" x14ac:dyDescent="0.3">
      <c r="C233" s="544" t="s">
        <v>1365</v>
      </c>
      <c r="D233" s="1"/>
      <c r="E233" s="1"/>
      <c r="F233" s="547"/>
      <c r="G233" s="547"/>
      <c r="H233" s="183"/>
      <c r="I233" s="183"/>
      <c r="J233" s="1"/>
      <c r="L233" s="1"/>
      <c r="M233" s="1"/>
    </row>
    <row r="234" spans="3:13" hidden="1" x14ac:dyDescent="0.3">
      <c r="C234" s="544" t="s">
        <v>1366</v>
      </c>
      <c r="D234" s="1"/>
      <c r="E234" s="1"/>
      <c r="F234" s="547"/>
      <c r="G234" s="547"/>
      <c r="H234" s="183"/>
      <c r="I234" s="183"/>
      <c r="J234" s="1"/>
      <c r="L234" s="1"/>
      <c r="M234" s="1"/>
    </row>
    <row r="235" spans="3:13" hidden="1" x14ac:dyDescent="0.3">
      <c r="C235" s="544" t="s">
        <v>1367</v>
      </c>
      <c r="D235" s="1"/>
      <c r="E235" s="1"/>
      <c r="F235" s="547"/>
      <c r="G235" s="547"/>
      <c r="H235" s="183"/>
      <c r="I235" s="183"/>
      <c r="J235" s="1"/>
      <c r="L235" s="1"/>
      <c r="M235" s="1"/>
    </row>
    <row r="236" spans="3:13" hidden="1" x14ac:dyDescent="0.3">
      <c r="C236" s="544" t="s">
        <v>1368</v>
      </c>
      <c r="D236" s="1"/>
      <c r="E236" s="1"/>
      <c r="F236" s="547"/>
      <c r="G236" s="547"/>
      <c r="H236" s="183"/>
      <c r="I236" s="183"/>
      <c r="J236" s="1"/>
      <c r="L236" s="1"/>
      <c r="M236" s="1"/>
    </row>
    <row r="237" spans="3:13" hidden="1" x14ac:dyDescent="0.3">
      <c r="C237" s="544" t="s">
        <v>1369</v>
      </c>
      <c r="D237" s="1"/>
      <c r="E237" s="1"/>
      <c r="F237" s="547"/>
      <c r="G237" s="547"/>
      <c r="H237" s="183"/>
      <c r="I237" s="183"/>
      <c r="J237" s="1"/>
      <c r="L237" s="1"/>
      <c r="M237" s="1"/>
    </row>
    <row r="238" spans="3:13" hidden="1" x14ac:dyDescent="0.3">
      <c r="C238" s="544" t="s">
        <v>1370</v>
      </c>
      <c r="D238" s="1"/>
      <c r="E238" s="1"/>
      <c r="F238" s="547"/>
      <c r="G238" s="547"/>
      <c r="H238" s="183"/>
      <c r="I238" s="183"/>
      <c r="J238" s="1"/>
      <c r="L238" s="1"/>
      <c r="M238" s="1"/>
    </row>
    <row r="239" spans="3:13" hidden="1" x14ac:dyDescent="0.3">
      <c r="C239" s="545" t="s">
        <v>1371</v>
      </c>
      <c r="D239" s="535"/>
      <c r="E239" s="535"/>
      <c r="F239" s="548"/>
      <c r="G239" s="548"/>
      <c r="H239" s="184"/>
      <c r="I239" s="184"/>
      <c r="J239" s="1"/>
      <c r="L239" s="1"/>
      <c r="M239" s="1"/>
    </row>
    <row r="240" spans="3:13" x14ac:dyDescent="0.3">
      <c r="C240" s="1"/>
      <c r="D240" s="1"/>
      <c r="E240" s="1"/>
      <c r="F240" s="1"/>
      <c r="G240" s="1"/>
      <c r="H240" s="1"/>
      <c r="I240" s="1"/>
      <c r="J240" s="1"/>
      <c r="K240" s="1917">
        <f>+K136/(K136+K137)*100</f>
        <v>99.999333333333325</v>
      </c>
      <c r="L240" s="1"/>
      <c r="M240" s="1"/>
    </row>
    <row r="241" spans="3:14" x14ac:dyDescent="0.3">
      <c r="C241" s="1"/>
      <c r="D241" s="1"/>
      <c r="E241" s="1"/>
      <c r="F241" s="1"/>
      <c r="G241" s="1"/>
      <c r="H241" s="1"/>
      <c r="I241" s="1"/>
      <c r="J241" s="1"/>
      <c r="L241" s="1"/>
      <c r="M241" s="1"/>
    </row>
    <row r="242" spans="3:14" x14ac:dyDescent="0.3">
      <c r="C242" s="1" t="str">
        <f>Liabilities!C250</f>
        <v>(v) Details of Shares Held by Promotors at the end of the year</v>
      </c>
      <c r="D242" s="434"/>
      <c r="E242" s="434"/>
      <c r="F242" s="434"/>
      <c r="G242" s="434"/>
      <c r="H242" s="434"/>
      <c r="I242" s="434"/>
      <c r="J242" s="417"/>
      <c r="K242" s="408"/>
      <c r="N242" s="408"/>
    </row>
    <row r="243" spans="3:14" x14ac:dyDescent="0.3">
      <c r="C243" s="1"/>
      <c r="D243" s="434"/>
      <c r="E243" s="434"/>
      <c r="F243" s="434"/>
      <c r="G243" s="434"/>
      <c r="H243" s="434"/>
      <c r="I243" s="434"/>
      <c r="J243" s="417"/>
      <c r="K243" s="408"/>
      <c r="N243" s="408"/>
    </row>
    <row r="244" spans="3:14" x14ac:dyDescent="0.3">
      <c r="C244" s="3212" t="s">
        <v>852</v>
      </c>
      <c r="D244" s="3213"/>
      <c r="E244" s="3214"/>
      <c r="F244" s="3210" t="str">
        <f>BSCY</f>
        <v>As At 31st March 2025</v>
      </c>
      <c r="G244" s="3211"/>
      <c r="H244" s="3218" t="str">
        <f>BSPY</f>
        <v>As At 31st March 2024</v>
      </c>
      <c r="I244" s="3219"/>
      <c r="J244" s="1"/>
      <c r="L244" s="1"/>
      <c r="M244" s="1"/>
    </row>
    <row r="245" spans="3:14" ht="30" x14ac:dyDescent="0.3">
      <c r="C245" s="3215"/>
      <c r="D245" s="3216"/>
      <c r="E245" s="3217"/>
      <c r="F245" s="552" t="s">
        <v>1149</v>
      </c>
      <c r="G245" s="550" t="s">
        <v>1372</v>
      </c>
      <c r="H245" s="550" t="s">
        <v>1149</v>
      </c>
      <c r="I245" s="550" t="s">
        <v>1372</v>
      </c>
      <c r="J245" s="550" t="s">
        <v>1373</v>
      </c>
      <c r="L245" s="1"/>
      <c r="M245" s="1"/>
    </row>
    <row r="246" spans="3:14" x14ac:dyDescent="0.3">
      <c r="C246" s="590" t="s">
        <v>3175</v>
      </c>
      <c r="D246" s="555"/>
      <c r="E246" s="555"/>
      <c r="F246" s="937">
        <f>+F136</f>
        <v>149999</v>
      </c>
      <c r="G246" s="938">
        <f>+G136</f>
        <v>0.99999333333333329</v>
      </c>
      <c r="H246" s="1798">
        <f>+H136</f>
        <v>149999</v>
      </c>
      <c r="I246" s="598">
        <f>+I136</f>
        <v>0.99999333333333329</v>
      </c>
      <c r="J246" s="598"/>
      <c r="L246" s="1"/>
      <c r="M246" s="1"/>
    </row>
    <row r="247" spans="3:14" x14ac:dyDescent="0.3">
      <c r="C247" s="1895"/>
      <c r="D247" s="558"/>
      <c r="E247" s="558"/>
      <c r="F247" s="1896"/>
      <c r="G247" s="1897"/>
      <c r="H247" s="1898"/>
      <c r="I247" s="1897"/>
      <c r="J247" s="599"/>
      <c r="L247" s="1"/>
      <c r="M247" s="1"/>
    </row>
    <row r="248" spans="3:14" x14ac:dyDescent="0.3">
      <c r="C248" s="554" t="s">
        <v>1374</v>
      </c>
      <c r="D248" s="555"/>
      <c r="E248" s="555"/>
      <c r="F248" s="556"/>
      <c r="G248" s="598"/>
      <c r="H248" s="556"/>
      <c r="I248" s="598"/>
      <c r="J248" s="598"/>
      <c r="L248" s="1"/>
      <c r="M248" s="1"/>
    </row>
    <row r="249" spans="3:14" x14ac:dyDescent="0.3">
      <c r="C249" s="554" t="s">
        <v>1374</v>
      </c>
      <c r="D249" s="555"/>
      <c r="E249" s="555"/>
      <c r="F249" s="556"/>
      <c r="G249" s="598"/>
      <c r="H249" s="556"/>
      <c r="I249" s="598"/>
      <c r="J249" s="598"/>
      <c r="L249" s="1"/>
      <c r="M249" s="1"/>
    </row>
    <row r="250" spans="3:14" x14ac:dyDescent="0.3">
      <c r="C250" s="554" t="s">
        <v>1374</v>
      </c>
      <c r="D250" s="555"/>
      <c r="E250" s="555"/>
      <c r="F250" s="556"/>
      <c r="G250" s="598"/>
      <c r="H250" s="556"/>
      <c r="I250" s="598"/>
      <c r="J250" s="598"/>
      <c r="L250" s="1"/>
      <c r="M250" s="1"/>
    </row>
    <row r="251" spans="3:14" x14ac:dyDescent="0.3">
      <c r="C251" s="554" t="s">
        <v>1374</v>
      </c>
      <c r="D251" s="555"/>
      <c r="E251" s="555"/>
      <c r="F251" s="556"/>
      <c r="G251" s="598"/>
      <c r="H251" s="556"/>
      <c r="I251" s="598"/>
      <c r="J251" s="598"/>
      <c r="L251" s="1"/>
      <c r="M251" s="1"/>
    </row>
    <row r="252" spans="3:14" x14ac:dyDescent="0.3">
      <c r="C252" s="554" t="s">
        <v>1374</v>
      </c>
      <c r="D252" s="555"/>
      <c r="E252" s="555"/>
      <c r="F252" s="556"/>
      <c r="G252" s="598"/>
      <c r="H252" s="556"/>
      <c r="I252" s="598"/>
      <c r="J252" s="598"/>
      <c r="L252" s="1"/>
      <c r="M252" s="1"/>
    </row>
    <row r="253" spans="3:14" x14ac:dyDescent="0.3">
      <c r="C253" s="554" t="s">
        <v>1374</v>
      </c>
      <c r="D253" s="555"/>
      <c r="E253" s="555"/>
      <c r="F253" s="556"/>
      <c r="G253" s="598"/>
      <c r="H253" s="556"/>
      <c r="I253" s="598"/>
      <c r="J253" s="598"/>
      <c r="L253" s="1"/>
      <c r="M253" s="1"/>
    </row>
    <row r="254" spans="3:14" x14ac:dyDescent="0.3">
      <c r="C254" s="554" t="s">
        <v>1374</v>
      </c>
      <c r="D254" s="555"/>
      <c r="E254" s="555"/>
      <c r="F254" s="556"/>
      <c r="G254" s="598"/>
      <c r="H254" s="556"/>
      <c r="I254" s="598"/>
      <c r="J254" s="598"/>
      <c r="L254" s="1"/>
      <c r="M254" s="1"/>
    </row>
    <row r="255" spans="3:14" x14ac:dyDescent="0.3">
      <c r="C255" s="557" t="s">
        <v>1374</v>
      </c>
      <c r="D255" s="558"/>
      <c r="E255" s="558"/>
      <c r="F255" s="559"/>
      <c r="G255" s="599"/>
      <c r="H255" s="559"/>
      <c r="I255" s="599"/>
      <c r="J255" s="599"/>
      <c r="L255" s="1"/>
      <c r="M255" s="1"/>
    </row>
    <row r="256" spans="3:14" x14ac:dyDescent="0.3">
      <c r="C256" s="551"/>
      <c r="D256" s="551"/>
      <c r="E256" s="551"/>
      <c r="F256" s="8"/>
      <c r="G256" s="8"/>
      <c r="H256" s="8"/>
      <c r="I256" s="8"/>
      <c r="J256" s="30"/>
      <c r="L256" s="1"/>
      <c r="M256" s="1"/>
    </row>
    <row r="257" spans="3:13" x14ac:dyDescent="0.3">
      <c r="C257" s="3212" t="s">
        <v>852</v>
      </c>
      <c r="D257" s="3213"/>
      <c r="E257" s="3214"/>
      <c r="F257" s="3210" t="str">
        <f>BSPY</f>
        <v>As At 31st March 2024</v>
      </c>
      <c r="G257" s="3211"/>
      <c r="H257" s="3218" t="str">
        <f>Liabilities!G265</f>
        <v>As At 31st March 2023</v>
      </c>
      <c r="I257" s="3219"/>
      <c r="J257" s="1"/>
      <c r="L257" s="1"/>
      <c r="M257" s="1"/>
    </row>
    <row r="258" spans="3:13" ht="30" x14ac:dyDescent="0.3">
      <c r="C258" s="3215"/>
      <c r="D258" s="3216"/>
      <c r="E258" s="3217"/>
      <c r="F258" s="552" t="s">
        <v>1149</v>
      </c>
      <c r="G258" s="550" t="s">
        <v>1372</v>
      </c>
      <c r="H258" s="550" t="s">
        <v>1149</v>
      </c>
      <c r="I258" s="550" t="s">
        <v>1372</v>
      </c>
      <c r="J258" s="550" t="s">
        <v>1373</v>
      </c>
      <c r="L258" s="1"/>
      <c r="M258" s="1"/>
    </row>
    <row r="259" spans="3:13" x14ac:dyDescent="0.3">
      <c r="C259" s="590" t="s">
        <v>3175</v>
      </c>
      <c r="D259" s="555"/>
      <c r="E259" s="555"/>
      <c r="F259" s="937">
        <f>+F246</f>
        <v>149999</v>
      </c>
      <c r="G259" s="938">
        <f>+G246</f>
        <v>0.99999333333333329</v>
      </c>
      <c r="H259" s="2410">
        <f>+H246</f>
        <v>149999</v>
      </c>
      <c r="I259" s="938">
        <f t="shared" ref="I259" si="2">+I246</f>
        <v>0.99999333333333329</v>
      </c>
      <c r="J259" s="598"/>
      <c r="L259" s="1"/>
      <c r="M259" s="1"/>
    </row>
    <row r="260" spans="3:13" x14ac:dyDescent="0.3">
      <c r="C260" s="1895"/>
      <c r="D260" s="555"/>
      <c r="E260" s="555"/>
      <c r="F260" s="1896"/>
      <c r="G260" s="2303"/>
      <c r="H260" s="1896"/>
      <c r="I260" s="2303"/>
      <c r="J260" s="598"/>
      <c r="L260" s="1"/>
      <c r="M260" s="1"/>
    </row>
    <row r="261" spans="3:13" x14ac:dyDescent="0.3">
      <c r="C261" s="554" t="s">
        <v>1374</v>
      </c>
      <c r="D261" s="555"/>
      <c r="E261" s="555"/>
      <c r="F261" s="556"/>
      <c r="G261" s="598"/>
      <c r="H261" s="556"/>
      <c r="I261" s="598"/>
      <c r="J261" s="598"/>
      <c r="L261" s="1"/>
      <c r="M261" s="1"/>
    </row>
    <row r="262" spans="3:13" x14ac:dyDescent="0.3">
      <c r="C262" s="554" t="s">
        <v>1374</v>
      </c>
      <c r="D262" s="555"/>
      <c r="E262" s="555"/>
      <c r="F262" s="556"/>
      <c r="G262" s="598"/>
      <c r="H262" s="556"/>
      <c r="I262" s="598"/>
      <c r="J262" s="598"/>
      <c r="L262" s="1"/>
      <c r="M262" s="1"/>
    </row>
    <row r="263" spans="3:13" x14ac:dyDescent="0.3">
      <c r="C263" s="554" t="s">
        <v>1374</v>
      </c>
      <c r="D263" s="555"/>
      <c r="E263" s="555"/>
      <c r="F263" s="556"/>
      <c r="G263" s="598"/>
      <c r="H263" s="556"/>
      <c r="I263" s="598"/>
      <c r="J263" s="598"/>
      <c r="L263" s="1"/>
      <c r="M263" s="1"/>
    </row>
    <row r="264" spans="3:13" x14ac:dyDescent="0.3">
      <c r="C264" s="554" t="s">
        <v>1374</v>
      </c>
      <c r="D264" s="555"/>
      <c r="E264" s="555"/>
      <c r="F264" s="556"/>
      <c r="G264" s="598"/>
      <c r="H264" s="556"/>
      <c r="I264" s="598"/>
      <c r="J264" s="598"/>
      <c r="L264" s="1"/>
      <c r="M264" s="1"/>
    </row>
    <row r="265" spans="3:13" x14ac:dyDescent="0.3">
      <c r="C265" s="554" t="s">
        <v>1374</v>
      </c>
      <c r="D265" s="555"/>
      <c r="E265" s="555"/>
      <c r="F265" s="556"/>
      <c r="G265" s="598"/>
      <c r="H265" s="556"/>
      <c r="I265" s="598"/>
      <c r="J265" s="598"/>
      <c r="L265" s="1"/>
      <c r="M265" s="1"/>
    </row>
    <row r="266" spans="3:13" x14ac:dyDescent="0.3">
      <c r="C266" s="554" t="s">
        <v>1374</v>
      </c>
      <c r="D266" s="555"/>
      <c r="E266" s="555"/>
      <c r="F266" s="556"/>
      <c r="G266" s="598"/>
      <c r="H266" s="556"/>
      <c r="I266" s="598"/>
      <c r="J266" s="598"/>
      <c r="L266" s="1"/>
      <c r="M266" s="1"/>
    </row>
    <row r="267" spans="3:13" x14ac:dyDescent="0.3">
      <c r="C267" s="554" t="s">
        <v>1374</v>
      </c>
      <c r="D267" s="555"/>
      <c r="E267" s="555"/>
      <c r="F267" s="556"/>
      <c r="G267" s="598"/>
      <c r="H267" s="556"/>
      <c r="I267" s="598"/>
      <c r="J267" s="598"/>
      <c r="L267" s="1"/>
      <c r="M267" s="1"/>
    </row>
    <row r="268" spans="3:13" x14ac:dyDescent="0.3">
      <c r="C268" s="557" t="s">
        <v>1374</v>
      </c>
      <c r="D268" s="558"/>
      <c r="E268" s="558"/>
      <c r="F268" s="559"/>
      <c r="G268" s="599"/>
      <c r="H268" s="559"/>
      <c r="I268" s="599"/>
      <c r="J268" s="599"/>
      <c r="L268" s="1"/>
      <c r="M268" s="1"/>
    </row>
    <row r="269" spans="3:13" x14ac:dyDescent="0.3">
      <c r="C269" s="1"/>
      <c r="D269" s="1"/>
      <c r="E269" s="1"/>
      <c r="F269" s="1"/>
      <c r="G269" s="1"/>
      <c r="H269" s="1"/>
      <c r="I269" s="1"/>
      <c r="J269" s="1"/>
      <c r="L269" s="1"/>
      <c r="M269" s="1"/>
    </row>
    <row r="270" spans="3:13" x14ac:dyDescent="0.3">
      <c r="C270" s="42" t="s">
        <v>453</v>
      </c>
      <c r="D270" s="42"/>
      <c r="E270" s="42"/>
      <c r="F270" s="42"/>
      <c r="G270" s="42"/>
      <c r="H270" s="42"/>
      <c r="I270" s="42"/>
      <c r="J270" s="1"/>
      <c r="L270" s="1"/>
      <c r="M270" s="1"/>
    </row>
    <row r="271" spans="3:13" x14ac:dyDescent="0.3">
      <c r="C271" s="32" t="s">
        <v>1854</v>
      </c>
      <c r="D271" s="32"/>
      <c r="E271" s="32"/>
      <c r="F271" s="32"/>
      <c r="G271" s="32"/>
      <c r="H271" s="41"/>
      <c r="I271" s="41"/>
      <c r="J271" s="1"/>
      <c r="L271" s="1"/>
      <c r="M271" s="1"/>
    </row>
    <row r="272" spans="3:13" x14ac:dyDescent="0.3">
      <c r="C272" s="32" t="s">
        <v>1855</v>
      </c>
      <c r="D272" s="32"/>
      <c r="E272" s="32"/>
      <c r="F272" s="32"/>
      <c r="G272" s="32"/>
      <c r="H272" s="41"/>
      <c r="I272" s="41"/>
      <c r="J272" s="1"/>
      <c r="L272" s="1"/>
      <c r="M272" s="1"/>
    </row>
    <row r="273" spans="3:13" x14ac:dyDescent="0.3">
      <c r="C273" s="32" t="s">
        <v>824</v>
      </c>
      <c r="D273" s="32"/>
      <c r="E273" s="32"/>
      <c r="F273" s="32"/>
      <c r="G273" s="32"/>
      <c r="H273" s="41"/>
      <c r="I273" s="41"/>
      <c r="J273" s="1"/>
      <c r="L273" s="1"/>
      <c r="M273" s="1"/>
    </row>
    <row r="274" spans="3:13" x14ac:dyDescent="0.3">
      <c r="C274" s="1"/>
      <c r="D274" s="1"/>
      <c r="E274" s="1"/>
      <c r="F274" s="1"/>
      <c r="G274" s="1"/>
      <c r="H274" s="1"/>
      <c r="I274" s="1"/>
      <c r="J274" s="1"/>
      <c r="L274" s="1"/>
      <c r="M274" s="1"/>
    </row>
    <row r="275" spans="3:13" x14ac:dyDescent="0.3">
      <c r="C275" s="1"/>
      <c r="D275" s="1"/>
      <c r="E275" s="1"/>
      <c r="F275" s="1"/>
      <c r="G275" s="1"/>
      <c r="H275" s="1"/>
      <c r="I275" s="1"/>
      <c r="J275" s="1"/>
      <c r="L275" s="1"/>
      <c r="M275" s="1"/>
    </row>
    <row r="276" spans="3:13" x14ac:dyDescent="0.3">
      <c r="C276" s="3194" t="str">
        <f>Liabilities!C284</f>
        <v>(vi) Aggregate number and class of shares allotted as fully paid up pursuant to contract(s) without payment being received in cash, bonus shares and shares bought back for the period of 5 years immediately preceding the balance sheet date:</v>
      </c>
      <c r="D276" s="3194"/>
      <c r="E276" s="3194"/>
      <c r="F276" s="3194"/>
      <c r="G276" s="3194"/>
      <c r="H276" s="3194"/>
      <c r="I276" s="3194"/>
      <c r="J276" s="35"/>
      <c r="K276" s="35"/>
      <c r="L276" s="1"/>
      <c r="M276" s="1"/>
    </row>
    <row r="277" spans="3:13" x14ac:dyDescent="0.3">
      <c r="C277" s="1"/>
      <c r="D277" s="1"/>
      <c r="E277" s="1"/>
      <c r="F277" s="1"/>
      <c r="G277" s="1"/>
      <c r="H277" s="1"/>
      <c r="I277" s="1"/>
      <c r="J277" s="1"/>
      <c r="L277" s="1"/>
      <c r="M277" s="1"/>
    </row>
    <row r="278" spans="3:13" x14ac:dyDescent="0.3">
      <c r="C278" s="2830" t="s">
        <v>137</v>
      </c>
      <c r="D278" s="3195"/>
      <c r="E278" s="2831"/>
      <c r="F278" s="2828" t="s">
        <v>589</v>
      </c>
      <c r="G278" s="2829"/>
      <c r="H278" s="1"/>
      <c r="I278" s="1"/>
      <c r="J278" s="1"/>
      <c r="L278" s="1"/>
      <c r="M278" s="1"/>
    </row>
    <row r="279" spans="3:13" ht="30" x14ac:dyDescent="0.3">
      <c r="C279" s="2932"/>
      <c r="D279" s="3196"/>
      <c r="E279" s="2933"/>
      <c r="F279" s="625" t="str">
        <f>BSCY</f>
        <v>As At 31st March 2025</v>
      </c>
      <c r="G279" s="625" t="str">
        <f>BSPY</f>
        <v>As At 31st March 2024</v>
      </c>
      <c r="H279" s="1"/>
      <c r="I279" s="1"/>
      <c r="J279" s="1"/>
      <c r="L279" s="1"/>
      <c r="M279" s="1"/>
    </row>
    <row r="280" spans="3:13" x14ac:dyDescent="0.3">
      <c r="C280" s="622" t="s">
        <v>124</v>
      </c>
      <c r="D280" s="630"/>
      <c r="E280" s="45"/>
      <c r="F280" s="627"/>
      <c r="G280" s="627"/>
      <c r="H280" s="1"/>
      <c r="I280" s="1"/>
      <c r="J280" s="1"/>
      <c r="L280" s="1"/>
      <c r="M280" s="1"/>
    </row>
    <row r="281" spans="3:13" x14ac:dyDescent="0.3">
      <c r="C281" s="286" t="s">
        <v>138</v>
      </c>
      <c r="D281" s="252"/>
      <c r="E281" s="247"/>
      <c r="F281" s="626">
        <v>0</v>
      </c>
      <c r="G281" s="626">
        <v>0</v>
      </c>
      <c r="H281" s="1"/>
      <c r="I281" s="1"/>
      <c r="J281" s="1"/>
      <c r="L281" s="1"/>
      <c r="M281" s="1"/>
    </row>
    <row r="282" spans="3:13" x14ac:dyDescent="0.3">
      <c r="C282" s="287" t="s">
        <v>139</v>
      </c>
      <c r="D282" s="252"/>
      <c r="E282" s="247"/>
      <c r="F282" s="626">
        <v>0</v>
      </c>
      <c r="G282" s="626">
        <v>0</v>
      </c>
      <c r="H282" s="1"/>
      <c r="I282" s="1"/>
      <c r="J282" s="1"/>
      <c r="L282" s="1"/>
      <c r="M282" s="1"/>
    </row>
    <row r="283" spans="3:13" x14ac:dyDescent="0.3">
      <c r="C283" s="286" t="s">
        <v>140</v>
      </c>
      <c r="D283" s="565"/>
      <c r="E283" s="247"/>
      <c r="F283" s="1899">
        <v>0</v>
      </c>
      <c r="G283" s="628">
        <v>0</v>
      </c>
      <c r="H283" s="1"/>
      <c r="I283" s="1"/>
      <c r="J283" s="1"/>
      <c r="L283" s="1"/>
      <c r="M283" s="1"/>
    </row>
    <row r="284" spans="3:13" x14ac:dyDescent="0.3">
      <c r="C284" s="619" t="s">
        <v>126</v>
      </c>
      <c r="D284" s="229"/>
      <c r="E284" s="247"/>
      <c r="F284" s="626"/>
      <c r="G284" s="626"/>
      <c r="H284" s="1"/>
      <c r="I284" s="1"/>
      <c r="J284" s="1"/>
      <c r="L284" s="1"/>
      <c r="M284" s="1"/>
    </row>
    <row r="285" spans="3:13" x14ac:dyDescent="0.3">
      <c r="C285" s="286" t="s">
        <v>138</v>
      </c>
      <c r="D285" s="252"/>
      <c r="E285" s="247"/>
      <c r="F285" s="626">
        <v>0</v>
      </c>
      <c r="G285" s="626">
        <v>0</v>
      </c>
      <c r="H285" s="1"/>
      <c r="I285" s="1"/>
      <c r="J285" s="1"/>
      <c r="L285" s="1"/>
      <c r="M285" s="1"/>
    </row>
    <row r="286" spans="3:13" x14ac:dyDescent="0.3">
      <c r="C286" s="287" t="s">
        <v>139</v>
      </c>
      <c r="D286" s="252"/>
      <c r="E286" s="247"/>
      <c r="F286" s="626">
        <v>0</v>
      </c>
      <c r="G286" s="626">
        <v>0</v>
      </c>
      <c r="H286" s="1"/>
      <c r="I286" s="1"/>
      <c r="J286" s="1"/>
      <c r="L286" s="1"/>
      <c r="M286" s="1"/>
    </row>
    <row r="287" spans="3:13" x14ac:dyDescent="0.3">
      <c r="C287" s="286" t="s">
        <v>140</v>
      </c>
      <c r="D287" s="565"/>
      <c r="E287" s="247"/>
      <c r="F287" s="1899">
        <v>0</v>
      </c>
      <c r="G287" s="628">
        <v>0</v>
      </c>
      <c r="H287" s="1"/>
      <c r="I287" s="1"/>
      <c r="J287" s="1"/>
      <c r="L287" s="1"/>
      <c r="M287" s="1"/>
    </row>
    <row r="288" spans="3:13" x14ac:dyDescent="0.3">
      <c r="C288" s="619" t="s">
        <v>1338</v>
      </c>
      <c r="D288" s="229"/>
      <c r="E288" s="247"/>
      <c r="F288" s="626"/>
      <c r="G288" s="626"/>
      <c r="H288" s="1"/>
      <c r="I288" s="1"/>
      <c r="J288" s="1"/>
      <c r="L288" s="1"/>
      <c r="M288" s="1"/>
    </row>
    <row r="289" spans="3:13" x14ac:dyDescent="0.3">
      <c r="C289" s="286" t="s">
        <v>138</v>
      </c>
      <c r="D289" s="252"/>
      <c r="E289" s="247"/>
      <c r="F289" s="626">
        <v>0</v>
      </c>
      <c r="G289" s="626">
        <v>0</v>
      </c>
      <c r="H289" s="1"/>
      <c r="I289" s="1"/>
      <c r="J289" s="1"/>
      <c r="L289" s="1"/>
      <c r="M289" s="1"/>
    </row>
    <row r="290" spans="3:13" x14ac:dyDescent="0.3">
      <c r="C290" s="287" t="s">
        <v>139</v>
      </c>
      <c r="D290" s="252"/>
      <c r="E290" s="247"/>
      <c r="F290" s="626">
        <v>0</v>
      </c>
      <c r="G290" s="626">
        <v>0</v>
      </c>
      <c r="H290" s="1"/>
      <c r="I290" s="1"/>
      <c r="J290" s="1"/>
      <c r="L290" s="1"/>
      <c r="M290" s="1"/>
    </row>
    <row r="291" spans="3:13" x14ac:dyDescent="0.3">
      <c r="C291" s="286" t="s">
        <v>140</v>
      </c>
      <c r="D291" s="565"/>
      <c r="E291" s="247"/>
      <c r="F291" s="1899">
        <v>0</v>
      </c>
      <c r="G291" s="628">
        <v>0</v>
      </c>
      <c r="H291" s="1"/>
      <c r="I291" s="1"/>
      <c r="J291" s="1"/>
      <c r="L291" s="1"/>
      <c r="M291" s="1"/>
    </row>
    <row r="292" spans="3:13" x14ac:dyDescent="0.3">
      <c r="C292" s="619" t="s">
        <v>1339</v>
      </c>
      <c r="D292" s="229"/>
      <c r="E292" s="247"/>
      <c r="F292" s="626"/>
      <c r="G292" s="626"/>
      <c r="H292" s="1"/>
      <c r="I292" s="1"/>
      <c r="J292" s="1"/>
      <c r="L292" s="1"/>
      <c r="M292" s="1"/>
    </row>
    <row r="293" spans="3:13" x14ac:dyDescent="0.3">
      <c r="C293" s="286" t="s">
        <v>138</v>
      </c>
      <c r="D293" s="252"/>
      <c r="E293" s="247"/>
      <c r="F293" s="626">
        <v>0</v>
      </c>
      <c r="G293" s="626">
        <v>0</v>
      </c>
      <c r="H293" s="1"/>
      <c r="I293" s="1"/>
      <c r="J293" s="1"/>
      <c r="L293" s="1"/>
      <c r="M293" s="1"/>
    </row>
    <row r="294" spans="3:13" x14ac:dyDescent="0.3">
      <c r="C294" s="287" t="s">
        <v>139</v>
      </c>
      <c r="D294" s="252"/>
      <c r="E294" s="247"/>
      <c r="F294" s="626">
        <v>0</v>
      </c>
      <c r="G294" s="626">
        <v>0</v>
      </c>
      <c r="H294" s="1"/>
      <c r="I294" s="1"/>
      <c r="J294" s="1"/>
      <c r="L294" s="1"/>
      <c r="M294" s="1"/>
    </row>
    <row r="295" spans="3:13" x14ac:dyDescent="0.3">
      <c r="C295" s="286" t="s">
        <v>140</v>
      </c>
      <c r="D295" s="565"/>
      <c r="E295" s="247"/>
      <c r="F295" s="1899">
        <v>0</v>
      </c>
      <c r="G295" s="628">
        <v>0</v>
      </c>
      <c r="H295" s="1"/>
      <c r="I295" s="1"/>
      <c r="J295" s="1"/>
      <c r="L295" s="1"/>
      <c r="M295" s="1"/>
    </row>
    <row r="296" spans="3:13" x14ac:dyDescent="0.3">
      <c r="C296" s="619" t="s">
        <v>1340</v>
      </c>
      <c r="D296" s="229"/>
      <c r="E296" s="247"/>
      <c r="F296" s="626"/>
      <c r="G296" s="626"/>
      <c r="H296" s="1"/>
      <c r="I296" s="1"/>
      <c r="J296" s="1"/>
      <c r="L296" s="1"/>
      <c r="M296" s="1"/>
    </row>
    <row r="297" spans="3:13" x14ac:dyDescent="0.3">
      <c r="C297" s="286" t="s">
        <v>138</v>
      </c>
      <c r="D297" s="252"/>
      <c r="E297" s="47"/>
      <c r="F297" s="971">
        <v>0</v>
      </c>
      <c r="G297" s="971">
        <v>0</v>
      </c>
      <c r="H297" s="1"/>
      <c r="I297" s="1"/>
      <c r="J297" s="1"/>
      <c r="L297" s="1"/>
      <c r="M297" s="1"/>
    </row>
    <row r="298" spans="3:13" x14ac:dyDescent="0.3">
      <c r="C298" s="287" t="s">
        <v>139</v>
      </c>
      <c r="D298" s="252"/>
      <c r="E298" s="47"/>
      <c r="F298" s="971">
        <v>0</v>
      </c>
      <c r="G298" s="971">
        <v>0</v>
      </c>
      <c r="H298" s="1"/>
      <c r="I298" s="1"/>
      <c r="J298" s="1"/>
      <c r="L298" s="1"/>
      <c r="M298" s="1"/>
    </row>
    <row r="299" spans="3:13" x14ac:dyDescent="0.3">
      <c r="C299" s="593" t="s">
        <v>140</v>
      </c>
      <c r="D299" s="631"/>
      <c r="E299" s="98"/>
      <c r="F299" s="972">
        <v>0</v>
      </c>
      <c r="G299" s="973">
        <v>0</v>
      </c>
      <c r="H299" s="1"/>
      <c r="I299" s="1"/>
      <c r="J299" s="1"/>
      <c r="L299" s="1"/>
      <c r="M299" s="1"/>
    </row>
    <row r="300" spans="3:13" x14ac:dyDescent="0.3">
      <c r="C300" s="565"/>
      <c r="D300" s="565"/>
      <c r="E300" s="41"/>
      <c r="F300" s="41"/>
      <c r="G300" s="41"/>
      <c r="H300" s="1"/>
      <c r="I300" s="1"/>
      <c r="J300" s="1"/>
      <c r="L300" s="1"/>
      <c r="M300" s="1"/>
    </row>
    <row r="301" spans="3:13" x14ac:dyDescent="0.3">
      <c r="C301" s="1"/>
      <c r="D301" s="1"/>
      <c r="E301" s="1"/>
      <c r="F301" s="1"/>
      <c r="G301" s="1"/>
      <c r="H301" s="1"/>
      <c r="I301" s="1"/>
      <c r="J301" s="1"/>
      <c r="L301" s="1"/>
      <c r="M301" s="1"/>
    </row>
    <row r="302" spans="3:13" x14ac:dyDescent="0.3">
      <c r="C302" s="4" t="str">
        <f>Liabilities!C308</f>
        <v xml:space="preserve">(vi) Details of calls unpaid </v>
      </c>
      <c r="D302" s="1"/>
      <c r="E302" s="1"/>
      <c r="F302" s="1"/>
      <c r="G302" s="1"/>
      <c r="H302" s="1"/>
      <c r="I302" s="1"/>
      <c r="J302" s="1"/>
      <c r="L302" s="1"/>
      <c r="M302" s="1"/>
    </row>
    <row r="303" spans="3:13" x14ac:dyDescent="0.3">
      <c r="C303" s="2777" t="s">
        <v>20</v>
      </c>
      <c r="D303" s="3197"/>
      <c r="E303" s="2778"/>
      <c r="F303" s="2851" t="s">
        <v>3284</v>
      </c>
      <c r="G303" s="2852"/>
      <c r="H303" s="2787" t="s">
        <v>3283</v>
      </c>
      <c r="I303" s="2787"/>
      <c r="J303" s="1"/>
      <c r="L303" s="1"/>
      <c r="M303" s="1"/>
    </row>
    <row r="304" spans="3:13" x14ac:dyDescent="0.3">
      <c r="C304" s="2779"/>
      <c r="D304" s="3198"/>
      <c r="E304" s="2780"/>
      <c r="F304" s="608" t="s">
        <v>442</v>
      </c>
      <c r="G304" s="157" t="s">
        <v>183</v>
      </c>
      <c r="H304" s="608" t="s">
        <v>442</v>
      </c>
      <c r="I304" s="157" t="s">
        <v>183</v>
      </c>
      <c r="J304" s="1"/>
      <c r="L304" s="1"/>
      <c r="M304" s="1"/>
    </row>
    <row r="305" spans="3:13" x14ac:dyDescent="0.3">
      <c r="C305" s="622" t="s">
        <v>124</v>
      </c>
      <c r="D305" s="511"/>
      <c r="E305" s="506"/>
      <c r="F305" s="608"/>
      <c r="G305" s="157"/>
      <c r="H305" s="608"/>
      <c r="I305" s="157"/>
      <c r="J305" s="1"/>
      <c r="L305" s="1"/>
      <c r="M305" s="1"/>
    </row>
    <row r="306" spans="3:13" x14ac:dyDescent="0.3">
      <c r="C306" s="567" t="s">
        <v>141</v>
      </c>
      <c r="D306" s="614"/>
      <c r="E306" s="613"/>
      <c r="F306" s="616"/>
      <c r="G306" s="24"/>
      <c r="H306" s="616"/>
      <c r="I306" s="24"/>
      <c r="J306" s="1"/>
      <c r="L306" s="1"/>
      <c r="M306" s="1"/>
    </row>
    <row r="307" spans="3:13" x14ac:dyDescent="0.3">
      <c r="C307" s="618" t="s">
        <v>142</v>
      </c>
      <c r="D307" s="615"/>
      <c r="E307" s="613"/>
      <c r="F307" s="623">
        <v>0</v>
      </c>
      <c r="G307" s="623">
        <v>0</v>
      </c>
      <c r="H307" s="623">
        <v>0</v>
      </c>
      <c r="I307" s="623">
        <v>0</v>
      </c>
      <c r="J307" s="1"/>
      <c r="L307" s="1"/>
      <c r="M307" s="1"/>
    </row>
    <row r="308" spans="3:13" x14ac:dyDescent="0.3">
      <c r="C308" s="618" t="s">
        <v>143</v>
      </c>
      <c r="D308" s="615"/>
      <c r="E308" s="613"/>
      <c r="F308" s="623">
        <v>0</v>
      </c>
      <c r="G308" s="623">
        <v>0</v>
      </c>
      <c r="H308" s="623">
        <v>0</v>
      </c>
      <c r="I308" s="623">
        <v>0</v>
      </c>
      <c r="J308" s="1"/>
      <c r="L308" s="1"/>
      <c r="M308" s="1"/>
    </row>
    <row r="309" spans="3:13" x14ac:dyDescent="0.3">
      <c r="C309" s="618" t="s">
        <v>144</v>
      </c>
      <c r="D309" s="615"/>
      <c r="E309" s="613"/>
      <c r="F309" s="624">
        <v>0</v>
      </c>
      <c r="G309" s="624">
        <v>0</v>
      </c>
      <c r="H309" s="624">
        <v>0</v>
      </c>
      <c r="I309" s="624">
        <v>0</v>
      </c>
      <c r="J309" s="1"/>
      <c r="L309" s="1"/>
      <c r="M309" s="1"/>
    </row>
    <row r="310" spans="3:13" x14ac:dyDescent="0.3">
      <c r="C310" s="619" t="s">
        <v>126</v>
      </c>
      <c r="D310" s="229"/>
      <c r="E310" s="613"/>
      <c r="F310" s="616"/>
      <c r="G310" s="24"/>
      <c r="H310" s="616"/>
      <c r="I310" s="24"/>
      <c r="J310" s="1"/>
      <c r="L310" s="1"/>
      <c r="M310" s="1"/>
    </row>
    <row r="311" spans="3:13" x14ac:dyDescent="0.3">
      <c r="C311" s="567" t="s">
        <v>141</v>
      </c>
      <c r="D311" s="614"/>
      <c r="E311" s="613"/>
      <c r="F311" s="616"/>
      <c r="G311" s="24"/>
      <c r="H311" s="616"/>
      <c r="I311" s="24"/>
      <c r="J311" s="1"/>
      <c r="L311" s="1"/>
      <c r="M311" s="1"/>
    </row>
    <row r="312" spans="3:13" x14ac:dyDescent="0.3">
      <c r="C312" s="618" t="s">
        <v>142</v>
      </c>
      <c r="D312" s="615"/>
      <c r="E312" s="613"/>
      <c r="F312" s="623">
        <v>0</v>
      </c>
      <c r="G312" s="623">
        <v>0</v>
      </c>
      <c r="H312" s="623">
        <v>0</v>
      </c>
      <c r="I312" s="623">
        <v>0</v>
      </c>
      <c r="J312" s="1"/>
      <c r="L312" s="1"/>
      <c r="M312" s="1"/>
    </row>
    <row r="313" spans="3:13" x14ac:dyDescent="0.3">
      <c r="C313" s="618" t="s">
        <v>143</v>
      </c>
      <c r="D313" s="615"/>
      <c r="E313" s="613"/>
      <c r="F313" s="623">
        <v>0</v>
      </c>
      <c r="G313" s="623">
        <v>0</v>
      </c>
      <c r="H313" s="623">
        <v>0</v>
      </c>
      <c r="I313" s="623">
        <v>0</v>
      </c>
      <c r="J313" s="1"/>
      <c r="L313" s="1"/>
      <c r="M313" s="1"/>
    </row>
    <row r="314" spans="3:13" x14ac:dyDescent="0.3">
      <c r="C314" s="618" t="s">
        <v>144</v>
      </c>
      <c r="D314" s="615"/>
      <c r="E314" s="613"/>
      <c r="F314" s="624">
        <v>0</v>
      </c>
      <c r="G314" s="624">
        <v>0</v>
      </c>
      <c r="H314" s="624">
        <v>0</v>
      </c>
      <c r="I314" s="624">
        <v>0</v>
      </c>
      <c r="J314" s="1"/>
      <c r="L314" s="1"/>
      <c r="M314" s="1"/>
    </row>
    <row r="315" spans="3:13" x14ac:dyDescent="0.3">
      <c r="C315" s="619" t="s">
        <v>1338</v>
      </c>
      <c r="D315" s="229"/>
      <c r="E315" s="613"/>
      <c r="F315" s="616"/>
      <c r="G315" s="24"/>
      <c r="H315" s="616"/>
      <c r="I315" s="24"/>
      <c r="J315" s="1"/>
      <c r="L315" s="1"/>
      <c r="M315" s="1"/>
    </row>
    <row r="316" spans="3:13" x14ac:dyDescent="0.3">
      <c r="C316" s="567" t="s">
        <v>141</v>
      </c>
      <c r="D316" s="614"/>
      <c r="E316" s="613"/>
      <c r="F316" s="616"/>
      <c r="G316" s="24"/>
      <c r="H316" s="616"/>
      <c r="I316" s="24"/>
      <c r="J316" s="1"/>
      <c r="L316" s="1"/>
      <c r="M316" s="1"/>
    </row>
    <row r="317" spans="3:13" x14ac:dyDescent="0.3">
      <c r="C317" s="618" t="s">
        <v>142</v>
      </c>
      <c r="D317" s="615"/>
      <c r="E317" s="613"/>
      <c r="F317" s="623">
        <v>0</v>
      </c>
      <c r="G317" s="623">
        <v>0</v>
      </c>
      <c r="H317" s="623">
        <v>0</v>
      </c>
      <c r="I317" s="623">
        <v>0</v>
      </c>
      <c r="J317" s="1"/>
      <c r="L317" s="1"/>
      <c r="M317" s="1"/>
    </row>
    <row r="318" spans="3:13" x14ac:dyDescent="0.3">
      <c r="C318" s="618" t="s">
        <v>143</v>
      </c>
      <c r="D318" s="615"/>
      <c r="E318" s="613"/>
      <c r="F318" s="623">
        <v>0</v>
      </c>
      <c r="G318" s="623">
        <v>0</v>
      </c>
      <c r="H318" s="623">
        <v>0</v>
      </c>
      <c r="I318" s="623">
        <v>0</v>
      </c>
      <c r="J318" s="1"/>
      <c r="L318" s="1"/>
      <c r="M318" s="1"/>
    </row>
    <row r="319" spans="3:13" x14ac:dyDescent="0.3">
      <c r="C319" s="618" t="s">
        <v>144</v>
      </c>
      <c r="D319" s="615"/>
      <c r="E319" s="613"/>
      <c r="F319" s="624">
        <v>0</v>
      </c>
      <c r="G319" s="624">
        <v>0</v>
      </c>
      <c r="H319" s="624">
        <v>0</v>
      </c>
      <c r="I319" s="624">
        <v>0</v>
      </c>
      <c r="J319" s="1"/>
      <c r="L319" s="1"/>
      <c r="M319" s="1"/>
    </row>
    <row r="320" spans="3:13" x14ac:dyDescent="0.3">
      <c r="C320" s="619" t="s">
        <v>1339</v>
      </c>
      <c r="D320" s="229"/>
      <c r="E320" s="613"/>
      <c r="F320" s="616"/>
      <c r="G320" s="24"/>
      <c r="H320" s="616"/>
      <c r="I320" s="24"/>
      <c r="J320" s="1"/>
      <c r="L320" s="1"/>
      <c r="M320" s="1"/>
    </row>
    <row r="321" spans="3:13" x14ac:dyDescent="0.3">
      <c r="C321" s="567" t="s">
        <v>141</v>
      </c>
      <c r="D321" s="614"/>
      <c r="E321" s="613"/>
      <c r="F321" s="616"/>
      <c r="G321" s="24"/>
      <c r="H321" s="616"/>
      <c r="I321" s="24"/>
      <c r="J321" s="1"/>
      <c r="L321" s="1"/>
      <c r="M321" s="1"/>
    </row>
    <row r="322" spans="3:13" x14ac:dyDescent="0.3">
      <c r="C322" s="618" t="s">
        <v>142</v>
      </c>
      <c r="D322" s="615"/>
      <c r="E322" s="613"/>
      <c r="F322" s="623">
        <v>0</v>
      </c>
      <c r="G322" s="623">
        <v>0</v>
      </c>
      <c r="H322" s="623">
        <v>0</v>
      </c>
      <c r="I322" s="623">
        <v>0</v>
      </c>
      <c r="J322" s="1"/>
      <c r="L322" s="1"/>
      <c r="M322" s="1"/>
    </row>
    <row r="323" spans="3:13" x14ac:dyDescent="0.3">
      <c r="C323" s="618" t="s">
        <v>143</v>
      </c>
      <c r="D323" s="615"/>
      <c r="E323" s="613"/>
      <c r="F323" s="623">
        <v>0</v>
      </c>
      <c r="G323" s="623">
        <v>0</v>
      </c>
      <c r="H323" s="623">
        <v>0</v>
      </c>
      <c r="I323" s="623">
        <v>0</v>
      </c>
      <c r="J323" s="1"/>
      <c r="L323" s="1"/>
      <c r="M323" s="1"/>
    </row>
    <row r="324" spans="3:13" x14ac:dyDescent="0.3">
      <c r="C324" s="618" t="s">
        <v>144</v>
      </c>
      <c r="D324" s="615"/>
      <c r="E324" s="613"/>
      <c r="F324" s="624">
        <v>0</v>
      </c>
      <c r="G324" s="624">
        <v>0</v>
      </c>
      <c r="H324" s="624">
        <v>0</v>
      </c>
      <c r="I324" s="624">
        <v>0</v>
      </c>
      <c r="J324" s="1"/>
      <c r="L324" s="1"/>
      <c r="M324" s="1"/>
    </row>
    <row r="325" spans="3:13" x14ac:dyDescent="0.3">
      <c r="C325" s="619" t="s">
        <v>1340</v>
      </c>
      <c r="D325" s="229"/>
      <c r="E325" s="613"/>
      <c r="F325" s="616"/>
      <c r="G325" s="24"/>
      <c r="H325" s="616"/>
      <c r="I325" s="24"/>
      <c r="J325" s="1"/>
      <c r="L325" s="1"/>
      <c r="M325" s="1"/>
    </row>
    <row r="326" spans="3:13" x14ac:dyDescent="0.3">
      <c r="C326" s="567" t="s">
        <v>141</v>
      </c>
      <c r="D326" s="614"/>
      <c r="E326" s="613"/>
      <c r="F326" s="616"/>
      <c r="G326" s="24"/>
      <c r="H326" s="616"/>
      <c r="I326" s="24"/>
      <c r="J326" s="1"/>
      <c r="L326" s="1"/>
      <c r="M326" s="1"/>
    </row>
    <row r="327" spans="3:13" x14ac:dyDescent="0.3">
      <c r="C327" s="618" t="s">
        <v>142</v>
      </c>
      <c r="D327" s="615"/>
      <c r="E327" s="613"/>
      <c r="F327" s="623">
        <v>0</v>
      </c>
      <c r="G327" s="623">
        <v>0</v>
      </c>
      <c r="H327" s="623">
        <v>0</v>
      </c>
      <c r="I327" s="623">
        <v>0</v>
      </c>
      <c r="J327" s="1"/>
      <c r="L327" s="1"/>
      <c r="M327" s="1"/>
    </row>
    <row r="328" spans="3:13" x14ac:dyDescent="0.3">
      <c r="C328" s="618" t="s">
        <v>143</v>
      </c>
      <c r="D328" s="615"/>
      <c r="E328" s="613"/>
      <c r="F328" s="623">
        <v>0</v>
      </c>
      <c r="G328" s="623">
        <v>0</v>
      </c>
      <c r="H328" s="623">
        <v>0</v>
      </c>
      <c r="I328" s="623">
        <v>0</v>
      </c>
      <c r="J328" s="1"/>
      <c r="L328" s="1"/>
      <c r="M328" s="1"/>
    </row>
    <row r="329" spans="3:13" x14ac:dyDescent="0.3">
      <c r="C329" s="620" t="s">
        <v>144</v>
      </c>
      <c r="D329" s="621"/>
      <c r="E329" s="507"/>
      <c r="F329" s="624">
        <v>0</v>
      </c>
      <c r="G329" s="624">
        <v>0</v>
      </c>
      <c r="H329" s="624">
        <v>0</v>
      </c>
      <c r="I329" s="624">
        <v>0</v>
      </c>
      <c r="J329" s="1"/>
      <c r="L329" s="1"/>
      <c r="M329" s="1"/>
    </row>
    <row r="330" spans="3:13" x14ac:dyDescent="0.3">
      <c r="C330" s="1"/>
      <c r="D330" s="1"/>
      <c r="E330" s="1"/>
      <c r="F330" s="1"/>
      <c r="G330" s="1"/>
      <c r="H330" s="1"/>
      <c r="I330" s="1"/>
      <c r="J330" s="1"/>
      <c r="L330" s="1"/>
      <c r="M330" s="1"/>
    </row>
    <row r="331" spans="3:13" x14ac:dyDescent="0.3">
      <c r="C331" s="4" t="str">
        <f>Liabilities!C337</f>
        <v>(viii) Details of forfeited shares</v>
      </c>
      <c r="D331" s="1"/>
      <c r="E331" s="1"/>
      <c r="F331" s="1"/>
      <c r="G331" s="1"/>
      <c r="H331" s="1"/>
      <c r="I331" s="1"/>
      <c r="J331" s="1"/>
      <c r="L331" s="1"/>
      <c r="M331" s="1"/>
    </row>
    <row r="332" spans="3:13" x14ac:dyDescent="0.3">
      <c r="C332" s="4"/>
      <c r="D332" s="1"/>
      <c r="E332" s="1"/>
      <c r="F332" s="1"/>
      <c r="G332" s="1"/>
      <c r="H332" s="1"/>
      <c r="I332" s="1"/>
      <c r="J332" s="1"/>
      <c r="L332" s="1"/>
      <c r="M332" s="1"/>
    </row>
    <row r="333" spans="3:13" x14ac:dyDescent="0.3">
      <c r="C333" s="2777" t="s">
        <v>146</v>
      </c>
      <c r="D333" s="3197"/>
      <c r="E333" s="2778"/>
      <c r="F333" s="2851" t="str">
        <f>BSCY</f>
        <v>As At 31st March 2025</v>
      </c>
      <c r="G333" s="2852"/>
      <c r="H333" s="2851" t="str">
        <f>BSPY</f>
        <v>As At 31st March 2024</v>
      </c>
      <c r="I333" s="2852"/>
      <c r="J333" s="1"/>
      <c r="L333" s="1"/>
      <c r="M333" s="1"/>
    </row>
    <row r="334" spans="3:13" s="333" customFormat="1" ht="30" x14ac:dyDescent="0.25">
      <c r="C334" s="2779"/>
      <c r="D334" s="3198"/>
      <c r="E334" s="2780"/>
      <c r="F334" s="607" t="s">
        <v>447</v>
      </c>
      <c r="G334" s="607" t="s">
        <v>1561</v>
      </c>
      <c r="H334" s="607" t="s">
        <v>447</v>
      </c>
      <c r="I334" s="607" t="s">
        <v>1561</v>
      </c>
    </row>
    <row r="335" spans="3:13" x14ac:dyDescent="0.3">
      <c r="C335" s="609" t="s">
        <v>124</v>
      </c>
      <c r="D335" s="610"/>
      <c r="E335" s="362"/>
      <c r="F335" s="1900">
        <v>0</v>
      </c>
      <c r="G335" s="1900">
        <v>0</v>
      </c>
      <c r="H335" s="1900">
        <v>0</v>
      </c>
      <c r="I335" s="1900">
        <v>0</v>
      </c>
      <c r="J335" s="1"/>
      <c r="L335" s="1"/>
      <c r="M335" s="1"/>
    </row>
    <row r="336" spans="3:13" x14ac:dyDescent="0.3">
      <c r="C336" s="380" t="s">
        <v>126</v>
      </c>
      <c r="D336" s="14"/>
      <c r="E336" s="305"/>
      <c r="F336" s="1901">
        <v>0</v>
      </c>
      <c r="G336" s="1901">
        <v>0</v>
      </c>
      <c r="H336" s="1901">
        <v>0</v>
      </c>
      <c r="I336" s="1901">
        <v>0</v>
      </c>
      <c r="J336" s="1"/>
      <c r="L336" s="1"/>
      <c r="M336" s="1"/>
    </row>
    <row r="337" spans="3:13" x14ac:dyDescent="0.3">
      <c r="C337" s="380" t="s">
        <v>127</v>
      </c>
      <c r="D337" s="14"/>
      <c r="E337" s="305"/>
      <c r="F337" s="1901">
        <v>0</v>
      </c>
      <c r="G337" s="1901">
        <v>0</v>
      </c>
      <c r="H337" s="1901">
        <v>0</v>
      </c>
      <c r="I337" s="1901">
        <v>0</v>
      </c>
      <c r="J337" s="1"/>
      <c r="L337" s="1"/>
      <c r="M337" s="1"/>
    </row>
    <row r="338" spans="3:13" x14ac:dyDescent="0.3">
      <c r="C338" s="380" t="s">
        <v>128</v>
      </c>
      <c r="D338" s="14"/>
      <c r="E338" s="305"/>
      <c r="F338" s="1901">
        <v>0</v>
      </c>
      <c r="G338" s="1901">
        <v>0</v>
      </c>
      <c r="H338" s="1901">
        <v>0</v>
      </c>
      <c r="I338" s="1901">
        <v>0</v>
      </c>
      <c r="J338" s="1"/>
      <c r="L338" s="1"/>
      <c r="M338" s="1"/>
    </row>
    <row r="339" spans="3:13" x14ac:dyDescent="0.3">
      <c r="C339" s="611" t="s">
        <v>129</v>
      </c>
      <c r="D339" s="612"/>
      <c r="E339" s="363"/>
      <c r="F339" s="1902">
        <v>0</v>
      </c>
      <c r="G339" s="1902">
        <v>0</v>
      </c>
      <c r="H339" s="1902">
        <v>0</v>
      </c>
      <c r="I339" s="1902">
        <v>0</v>
      </c>
      <c r="J339" s="1"/>
      <c r="L339" s="1"/>
      <c r="M339" s="1"/>
    </row>
    <row r="340" spans="3:13" x14ac:dyDescent="0.3">
      <c r="C340" s="1"/>
      <c r="D340" s="1"/>
      <c r="E340" s="1"/>
      <c r="F340" s="1"/>
      <c r="G340" s="1"/>
      <c r="H340" s="1"/>
      <c r="I340" s="1"/>
      <c r="J340" s="1"/>
      <c r="L340" s="1"/>
      <c r="M340" s="1"/>
    </row>
    <row r="341" spans="3:13" x14ac:dyDescent="0.3">
      <c r="C341" s="4" t="str">
        <f>Liabilities!C354</f>
        <v>Note 4 : Reserves and Surplus</v>
      </c>
      <c r="D341" s="1"/>
      <c r="E341" s="1"/>
      <c r="F341" s="1"/>
      <c r="G341" s="1"/>
      <c r="H341" s="1"/>
      <c r="I341" s="1"/>
      <c r="J341" s="1"/>
      <c r="L341" s="1"/>
      <c r="M341" s="1"/>
    </row>
    <row r="342" spans="3:13" x14ac:dyDescent="0.3">
      <c r="C342" s="4"/>
      <c r="D342" s="1"/>
      <c r="E342" s="1"/>
      <c r="F342" s="1"/>
      <c r="G342" s="1"/>
      <c r="H342" s="1"/>
      <c r="I342" s="1"/>
      <c r="J342" s="1"/>
      <c r="L342" s="1"/>
      <c r="M342" s="1"/>
    </row>
    <row r="343" spans="3:13" ht="30" x14ac:dyDescent="0.3">
      <c r="C343" s="2711" t="s">
        <v>20</v>
      </c>
      <c r="D343" s="2712"/>
      <c r="E343" s="2756"/>
      <c r="F343" s="1934" t="str">
        <f>BSCY</f>
        <v>As At 31st March 2025</v>
      </c>
      <c r="G343" s="1929" t="str">
        <f>BSPY</f>
        <v>As At 31st March 2024</v>
      </c>
      <c r="H343" s="1"/>
      <c r="I343" s="1"/>
      <c r="J343" s="1"/>
      <c r="L343" s="1"/>
      <c r="M343" s="1"/>
    </row>
    <row r="344" spans="3:13" hidden="1" x14ac:dyDescent="0.3">
      <c r="C344" s="330" t="s">
        <v>147</v>
      </c>
      <c r="D344" s="764"/>
      <c r="E344" s="493"/>
      <c r="F344" s="259"/>
      <c r="G344" s="259"/>
      <c r="H344" s="1"/>
      <c r="I344" s="1"/>
      <c r="J344" s="1"/>
      <c r="L344" s="1"/>
      <c r="M344" s="1"/>
    </row>
    <row r="345" spans="3:13" hidden="1" x14ac:dyDescent="0.3">
      <c r="C345" s="450" t="s">
        <v>148</v>
      </c>
      <c r="D345" s="766"/>
      <c r="E345" s="490"/>
      <c r="F345" s="1903">
        <f>G348</f>
        <v>0</v>
      </c>
      <c r="G345" s="259">
        <v>0</v>
      </c>
      <c r="H345" s="1"/>
      <c r="I345" s="1"/>
      <c r="J345" s="1"/>
      <c r="L345" s="1"/>
      <c r="M345" s="1"/>
    </row>
    <row r="346" spans="3:13" hidden="1" x14ac:dyDescent="0.3">
      <c r="C346" s="753" t="s">
        <v>1701</v>
      </c>
      <c r="D346" s="766"/>
      <c r="E346" s="490"/>
      <c r="F346" s="1903">
        <v>0</v>
      </c>
      <c r="G346" s="259">
        <v>0</v>
      </c>
      <c r="H346" s="1"/>
      <c r="I346" s="1"/>
      <c r="J346" s="1"/>
      <c r="L346" s="1"/>
      <c r="M346" s="1"/>
    </row>
    <row r="347" spans="3:13" hidden="1" x14ac:dyDescent="0.3">
      <c r="C347" s="753" t="s">
        <v>1702</v>
      </c>
      <c r="D347" s="766"/>
      <c r="E347" s="490"/>
      <c r="F347" s="1903">
        <v>0</v>
      </c>
      <c r="G347" s="202">
        <v>0</v>
      </c>
      <c r="H347" s="1"/>
      <c r="I347" s="1"/>
      <c r="J347" s="1"/>
      <c r="L347" s="1"/>
      <c r="M347" s="1"/>
    </row>
    <row r="348" spans="3:13" hidden="1" x14ac:dyDescent="0.3">
      <c r="C348" s="450" t="s">
        <v>150</v>
      </c>
      <c r="D348" s="765"/>
      <c r="E348" s="491"/>
      <c r="F348" s="512">
        <f>SUM(F345:F347)</f>
        <v>0</v>
      </c>
      <c r="G348" s="259">
        <v>0</v>
      </c>
      <c r="H348" s="1"/>
      <c r="I348" s="1"/>
      <c r="J348" s="1"/>
      <c r="L348" s="1"/>
      <c r="M348" s="1"/>
    </row>
    <row r="349" spans="3:13" hidden="1" x14ac:dyDescent="0.3">
      <c r="C349" s="256"/>
      <c r="D349" s="767"/>
      <c r="E349" s="492"/>
      <c r="F349" s="259"/>
      <c r="G349" s="259"/>
      <c r="H349" s="1"/>
      <c r="I349" s="1"/>
      <c r="J349" s="1"/>
      <c r="L349" s="1"/>
      <c r="M349" s="1"/>
    </row>
    <row r="350" spans="3:13" hidden="1" x14ac:dyDescent="0.3">
      <c r="C350" s="330" t="s">
        <v>151</v>
      </c>
      <c r="D350" s="764"/>
      <c r="E350" s="493"/>
      <c r="F350" s="259"/>
      <c r="G350" s="259"/>
      <c r="H350" s="1"/>
      <c r="I350" s="1"/>
      <c r="J350" s="1"/>
      <c r="L350" s="1"/>
      <c r="M350" s="1"/>
    </row>
    <row r="351" spans="3:13" hidden="1" x14ac:dyDescent="0.3">
      <c r="C351" s="448" t="s">
        <v>148</v>
      </c>
      <c r="D351" s="766"/>
      <c r="E351" s="490"/>
      <c r="F351" s="443">
        <v>0</v>
      </c>
      <c r="G351" s="259">
        <v>0</v>
      </c>
      <c r="H351" s="1"/>
      <c r="I351" s="1"/>
      <c r="J351" s="1"/>
      <c r="L351" s="1"/>
      <c r="M351" s="1"/>
    </row>
    <row r="352" spans="3:13" hidden="1" x14ac:dyDescent="0.3">
      <c r="C352" s="753" t="s">
        <v>152</v>
      </c>
      <c r="D352" s="766"/>
      <c r="E352" s="490"/>
      <c r="F352" s="259"/>
      <c r="G352" s="259"/>
      <c r="H352" s="1"/>
      <c r="I352" s="1"/>
      <c r="J352" s="1"/>
      <c r="L352" s="1"/>
      <c r="M352" s="1"/>
    </row>
    <row r="353" spans="3:13" hidden="1" x14ac:dyDescent="0.3">
      <c r="C353" s="449" t="s">
        <v>1703</v>
      </c>
      <c r="D353" s="769"/>
      <c r="E353" s="494"/>
      <c r="F353" s="443">
        <f>F440</f>
        <v>0</v>
      </c>
      <c r="G353" s="259">
        <v>0</v>
      </c>
      <c r="H353" s="1"/>
      <c r="I353" s="1"/>
      <c r="J353" s="1"/>
      <c r="L353" s="1"/>
      <c r="M353" s="1"/>
    </row>
    <row r="354" spans="3:13" hidden="1" x14ac:dyDescent="0.3">
      <c r="C354" s="449" t="s">
        <v>1704</v>
      </c>
      <c r="D354" s="769"/>
      <c r="E354" s="494"/>
      <c r="F354" s="443">
        <f t="shared" ref="F354:F355" si="3">F441</f>
        <v>0</v>
      </c>
      <c r="G354" s="259">
        <v>0</v>
      </c>
      <c r="H354" s="1"/>
      <c r="I354" s="1"/>
      <c r="J354" s="1"/>
      <c r="L354" s="1"/>
      <c r="M354" s="1"/>
    </row>
    <row r="355" spans="3:13" hidden="1" x14ac:dyDescent="0.3">
      <c r="C355" s="753" t="s">
        <v>1705</v>
      </c>
      <c r="D355" s="766"/>
      <c r="E355" s="490"/>
      <c r="F355" s="443">
        <f t="shared" si="3"/>
        <v>0</v>
      </c>
      <c r="G355" s="202">
        <v>0</v>
      </c>
      <c r="H355" s="1"/>
      <c r="I355" s="1"/>
      <c r="J355" s="1"/>
      <c r="L355" s="1"/>
      <c r="M355" s="1"/>
    </row>
    <row r="356" spans="3:13" hidden="1" x14ac:dyDescent="0.3">
      <c r="C356" s="448" t="s">
        <v>150</v>
      </c>
      <c r="D356" s="766"/>
      <c r="E356" s="490"/>
      <c r="F356" s="512">
        <f>SUM(F351:F355)</f>
        <v>0</v>
      </c>
      <c r="G356" s="259">
        <v>0</v>
      </c>
      <c r="H356" s="1"/>
      <c r="I356" s="1"/>
      <c r="J356" s="1"/>
      <c r="L356" s="1"/>
      <c r="M356" s="1"/>
    </row>
    <row r="357" spans="3:13" hidden="1" x14ac:dyDescent="0.3">
      <c r="C357" s="257"/>
      <c r="D357" s="191"/>
      <c r="E357" s="197"/>
      <c r="F357" s="259"/>
      <c r="G357" s="259"/>
      <c r="H357" s="1"/>
      <c r="I357" s="1"/>
      <c r="J357" s="1"/>
      <c r="L357" s="1"/>
      <c r="M357" s="1"/>
    </row>
    <row r="358" spans="3:13" hidden="1" x14ac:dyDescent="0.3">
      <c r="C358" s="755" t="s">
        <v>1169</v>
      </c>
      <c r="D358" s="770"/>
      <c r="E358" s="495"/>
      <c r="F358" s="259"/>
      <c r="G358" s="259"/>
      <c r="H358" s="1"/>
      <c r="I358" s="1"/>
      <c r="J358" s="1"/>
      <c r="L358" s="1"/>
      <c r="M358" s="1"/>
    </row>
    <row r="359" spans="3:13" hidden="1" x14ac:dyDescent="0.3">
      <c r="C359" s="447" t="s">
        <v>148</v>
      </c>
      <c r="D359" s="771"/>
      <c r="E359" s="496"/>
      <c r="F359" s="443">
        <v>0</v>
      </c>
      <c r="G359" s="443">
        <v>0</v>
      </c>
      <c r="H359" s="1"/>
      <c r="I359" s="1"/>
      <c r="J359" s="1"/>
      <c r="L359" s="1"/>
      <c r="M359" s="1"/>
    </row>
    <row r="360" spans="3:13" hidden="1" x14ac:dyDescent="0.3">
      <c r="C360" s="756" t="s">
        <v>153</v>
      </c>
      <c r="D360" s="771"/>
      <c r="E360" s="496"/>
      <c r="F360" s="443">
        <v>0</v>
      </c>
      <c r="G360" s="443">
        <v>0</v>
      </c>
      <c r="H360" s="1"/>
      <c r="I360" s="1"/>
      <c r="J360" s="1"/>
      <c r="L360" s="1"/>
      <c r="M360" s="1"/>
    </row>
    <row r="361" spans="3:13" hidden="1" x14ac:dyDescent="0.3">
      <c r="C361" s="756" t="s">
        <v>154</v>
      </c>
      <c r="D361" s="771"/>
      <c r="E361" s="496"/>
      <c r="F361" s="443">
        <v>0</v>
      </c>
      <c r="G361" s="443">
        <v>0</v>
      </c>
      <c r="H361" s="1"/>
      <c r="I361" s="1"/>
      <c r="J361" s="1"/>
      <c r="L361" s="1"/>
      <c r="M361" s="1"/>
    </row>
    <row r="362" spans="3:13" hidden="1" x14ac:dyDescent="0.3">
      <c r="C362" s="449" t="s">
        <v>1706</v>
      </c>
      <c r="D362" s="776"/>
      <c r="E362" s="494"/>
      <c r="F362" s="443">
        <v>0</v>
      </c>
      <c r="G362" s="443">
        <v>0</v>
      </c>
      <c r="H362" s="1"/>
      <c r="I362" s="1"/>
      <c r="J362" s="1"/>
      <c r="L362" s="1"/>
      <c r="M362" s="1"/>
    </row>
    <row r="363" spans="3:13" hidden="1" x14ac:dyDescent="0.3">
      <c r="C363" s="449" t="s">
        <v>1707</v>
      </c>
      <c r="D363" s="776"/>
      <c r="E363" s="494"/>
      <c r="F363" s="443">
        <v>0</v>
      </c>
      <c r="G363" s="443">
        <v>0</v>
      </c>
      <c r="H363" s="1"/>
      <c r="I363" s="1"/>
      <c r="J363" s="1"/>
      <c r="L363" s="1"/>
      <c r="M363" s="1"/>
    </row>
    <row r="364" spans="3:13" hidden="1" x14ac:dyDescent="0.3">
      <c r="C364" s="449" t="s">
        <v>1708</v>
      </c>
      <c r="D364" s="776"/>
      <c r="E364" s="494"/>
      <c r="F364" s="443">
        <v>0</v>
      </c>
      <c r="G364" s="443">
        <v>0</v>
      </c>
      <c r="H364" s="1"/>
      <c r="I364" s="1"/>
      <c r="J364" s="1"/>
      <c r="L364" s="1"/>
      <c r="M364" s="1"/>
    </row>
    <row r="365" spans="3:13" hidden="1" x14ac:dyDescent="0.3">
      <c r="C365" s="2796" t="s">
        <v>1709</v>
      </c>
      <c r="D365" s="2797"/>
      <c r="E365" s="761"/>
      <c r="F365" s="443">
        <v>0</v>
      </c>
      <c r="G365" s="443">
        <v>0</v>
      </c>
      <c r="H365" s="1"/>
      <c r="I365" s="1"/>
      <c r="J365" s="1"/>
      <c r="L365" s="1"/>
      <c r="M365" s="1"/>
    </row>
    <row r="366" spans="3:13" hidden="1" x14ac:dyDescent="0.3">
      <c r="C366" s="449" t="s">
        <v>1710</v>
      </c>
      <c r="D366" s="776"/>
      <c r="E366" s="494"/>
      <c r="F366" s="443">
        <v>0</v>
      </c>
      <c r="G366" s="443">
        <v>0</v>
      </c>
      <c r="H366" s="1"/>
      <c r="I366" s="1"/>
      <c r="J366" s="1"/>
      <c r="L366" s="1"/>
      <c r="M366" s="1"/>
    </row>
    <row r="367" spans="3:13" hidden="1" x14ac:dyDescent="0.3">
      <c r="C367" s="449" t="s">
        <v>1711</v>
      </c>
      <c r="D367" s="776"/>
      <c r="E367" s="494"/>
      <c r="F367" s="443">
        <v>0</v>
      </c>
      <c r="G367" s="443">
        <v>0</v>
      </c>
      <c r="H367" s="1"/>
      <c r="I367" s="1"/>
      <c r="J367" s="1"/>
      <c r="L367" s="1"/>
      <c r="M367" s="1"/>
    </row>
    <row r="368" spans="3:13" hidden="1" x14ac:dyDescent="0.3">
      <c r="C368" s="447" t="s">
        <v>150</v>
      </c>
      <c r="D368" s="771"/>
      <c r="E368" s="496"/>
      <c r="F368" s="512">
        <f>SUM(F359:F367)</f>
        <v>0</v>
      </c>
      <c r="G368" s="235">
        <f>+SUM(G359:G367)</f>
        <v>0</v>
      </c>
      <c r="H368" s="1"/>
      <c r="I368" s="1"/>
      <c r="J368" s="1"/>
      <c r="L368" s="1"/>
      <c r="M368" s="1"/>
    </row>
    <row r="369" spans="3:13" hidden="1" x14ac:dyDescent="0.3">
      <c r="C369" s="405"/>
      <c r="D369" s="770"/>
      <c r="E369" s="495"/>
      <c r="F369" s="259"/>
      <c r="G369" s="259"/>
      <c r="H369" s="1"/>
      <c r="I369" s="1"/>
      <c r="J369" s="1"/>
      <c r="L369" s="1"/>
      <c r="M369" s="1"/>
    </row>
    <row r="370" spans="3:13" hidden="1" x14ac:dyDescent="0.3">
      <c r="C370" s="755" t="s">
        <v>155</v>
      </c>
      <c r="D370" s="770"/>
      <c r="E370" s="495"/>
      <c r="F370" s="259"/>
      <c r="G370" s="259"/>
      <c r="H370" s="1"/>
      <c r="I370" s="1"/>
      <c r="J370" s="1"/>
      <c r="L370" s="1"/>
      <c r="M370" s="1"/>
    </row>
    <row r="371" spans="3:13" hidden="1" x14ac:dyDescent="0.3">
      <c r="C371" s="447" t="s">
        <v>148</v>
      </c>
      <c r="D371" s="771"/>
      <c r="E371" s="496"/>
      <c r="F371" s="443">
        <v>0</v>
      </c>
      <c r="G371" s="259">
        <v>0</v>
      </c>
      <c r="H371" s="1"/>
      <c r="I371" s="1"/>
      <c r="J371" s="1"/>
      <c r="L371" s="1"/>
      <c r="M371" s="1"/>
    </row>
    <row r="372" spans="3:13" hidden="1" x14ac:dyDescent="0.3">
      <c r="C372" s="756" t="s">
        <v>1712</v>
      </c>
      <c r="D372" s="771"/>
      <c r="E372" s="496"/>
      <c r="F372" s="259"/>
      <c r="G372" s="259"/>
      <c r="H372" s="1"/>
      <c r="I372" s="1"/>
      <c r="J372" s="1"/>
      <c r="L372" s="1"/>
      <c r="M372" s="1"/>
    </row>
    <row r="373" spans="3:13" hidden="1" x14ac:dyDescent="0.3">
      <c r="C373" s="449" t="s">
        <v>1703</v>
      </c>
      <c r="D373" s="772"/>
      <c r="E373" s="497"/>
      <c r="F373" s="443">
        <f>F441</f>
        <v>0</v>
      </c>
      <c r="G373" s="259">
        <v>0</v>
      </c>
      <c r="H373" s="1"/>
      <c r="I373" s="1"/>
      <c r="J373" s="1"/>
      <c r="L373" s="1"/>
      <c r="M373" s="1"/>
    </row>
    <row r="374" spans="3:13" hidden="1" x14ac:dyDescent="0.3">
      <c r="C374" s="449" t="s">
        <v>1704</v>
      </c>
      <c r="D374" s="772"/>
      <c r="E374" s="497"/>
      <c r="F374" s="754"/>
      <c r="G374" s="259"/>
      <c r="H374" s="1"/>
      <c r="I374" s="1"/>
      <c r="J374" s="1"/>
      <c r="L374" s="1"/>
      <c r="M374" s="1"/>
    </row>
    <row r="375" spans="3:13" hidden="1" x14ac:dyDescent="0.3">
      <c r="C375" s="756" t="s">
        <v>149</v>
      </c>
      <c r="D375" s="771"/>
      <c r="E375" s="496"/>
      <c r="F375" s="754"/>
      <c r="G375" s="259"/>
      <c r="H375" s="1"/>
      <c r="I375" s="1"/>
      <c r="J375" s="1"/>
      <c r="L375" s="1"/>
      <c r="M375" s="1"/>
    </row>
    <row r="376" spans="3:13" hidden="1" x14ac:dyDescent="0.3">
      <c r="C376" s="447" t="s">
        <v>150</v>
      </c>
      <c r="D376" s="771"/>
      <c r="E376" s="496"/>
      <c r="F376" s="512">
        <f>SUM(F371:F375)</f>
        <v>0</v>
      </c>
      <c r="G376" s="258">
        <f>+SUM(G371,G373)</f>
        <v>0</v>
      </c>
      <c r="H376" s="1"/>
      <c r="I376" s="1"/>
      <c r="J376" s="1"/>
      <c r="L376" s="1"/>
      <c r="M376" s="1"/>
    </row>
    <row r="377" spans="3:13" hidden="1" x14ac:dyDescent="0.3">
      <c r="C377" s="405"/>
      <c r="D377" s="770"/>
      <c r="E377" s="495"/>
      <c r="F377" s="259"/>
      <c r="G377" s="259"/>
      <c r="H377" s="1"/>
      <c r="I377" s="1"/>
      <c r="J377" s="1"/>
      <c r="L377" s="1"/>
      <c r="M377" s="1"/>
    </row>
    <row r="378" spans="3:13" hidden="1" x14ac:dyDescent="0.3">
      <c r="C378" s="755" t="s">
        <v>156</v>
      </c>
      <c r="D378" s="770"/>
      <c r="E378" s="495"/>
      <c r="F378" s="259"/>
      <c r="G378" s="259"/>
      <c r="H378" s="1"/>
      <c r="I378" s="1"/>
      <c r="J378" s="1"/>
      <c r="L378" s="1"/>
      <c r="M378" s="1"/>
    </row>
    <row r="379" spans="3:13" hidden="1" x14ac:dyDescent="0.3">
      <c r="C379" s="447" t="s">
        <v>148</v>
      </c>
      <c r="D379" s="771"/>
      <c r="E379" s="496"/>
      <c r="F379" s="443">
        <v>0</v>
      </c>
      <c r="G379" s="259">
        <v>0</v>
      </c>
      <c r="H379" s="1"/>
      <c r="I379" s="1"/>
      <c r="J379" s="1"/>
      <c r="L379" s="1"/>
      <c r="M379" s="1"/>
    </row>
    <row r="380" spans="3:13" hidden="1" x14ac:dyDescent="0.3">
      <c r="C380" s="756" t="s">
        <v>157</v>
      </c>
      <c r="D380" s="771"/>
      <c r="E380" s="496"/>
      <c r="F380" s="754"/>
      <c r="G380" s="259"/>
      <c r="H380" s="1"/>
      <c r="I380" s="1"/>
      <c r="J380" s="1"/>
      <c r="L380" s="1"/>
      <c r="M380" s="1"/>
    </row>
    <row r="381" spans="3:13" hidden="1" x14ac:dyDescent="0.3">
      <c r="C381" s="756" t="s">
        <v>803</v>
      </c>
      <c r="D381" s="771"/>
      <c r="E381" s="496"/>
      <c r="F381" s="754"/>
      <c r="G381" s="259"/>
      <c r="H381" s="1"/>
      <c r="I381" s="1"/>
      <c r="J381" s="1"/>
      <c r="L381" s="1"/>
      <c r="M381" s="1"/>
    </row>
    <row r="382" spans="3:13" hidden="1" x14ac:dyDescent="0.3">
      <c r="C382" s="447" t="s">
        <v>150</v>
      </c>
      <c r="D382" s="771"/>
      <c r="E382" s="496"/>
      <c r="F382" s="512">
        <f>SUM(F379:F381)</f>
        <v>0</v>
      </c>
      <c r="G382" s="561">
        <v>0</v>
      </c>
      <c r="H382" s="1"/>
      <c r="I382" s="1"/>
      <c r="J382" s="1"/>
      <c r="L382" s="1"/>
      <c r="M382" s="1"/>
    </row>
    <row r="383" spans="3:13" hidden="1" x14ac:dyDescent="0.3">
      <c r="C383" s="405"/>
      <c r="D383" s="770"/>
      <c r="E383" s="495"/>
      <c r="F383" s="259"/>
      <c r="G383" s="259"/>
      <c r="H383" s="1"/>
      <c r="I383" s="1"/>
      <c r="J383" s="1"/>
      <c r="L383" s="1"/>
      <c r="M383" s="1"/>
    </row>
    <row r="384" spans="3:13" hidden="1" x14ac:dyDescent="0.3">
      <c r="C384" s="755" t="s">
        <v>1173</v>
      </c>
      <c r="D384" s="770"/>
      <c r="E384" s="495"/>
      <c r="F384" s="259"/>
      <c r="G384" s="259"/>
      <c r="H384" s="1"/>
      <c r="I384" s="1"/>
      <c r="J384" s="1"/>
      <c r="L384" s="1"/>
      <c r="M384" s="1"/>
    </row>
    <row r="385" spans="3:13" hidden="1" x14ac:dyDescent="0.3">
      <c r="C385" s="757" t="s">
        <v>148</v>
      </c>
      <c r="D385" s="771"/>
      <c r="E385" s="496"/>
      <c r="F385" s="443">
        <v>0</v>
      </c>
      <c r="G385" s="259">
        <v>0</v>
      </c>
      <c r="H385" s="1"/>
      <c r="I385" s="1"/>
      <c r="J385" s="1"/>
      <c r="L385" s="1"/>
      <c r="M385" s="1"/>
    </row>
    <row r="386" spans="3:13" hidden="1" x14ac:dyDescent="0.3">
      <c r="C386" s="3243" t="s">
        <v>644</v>
      </c>
      <c r="D386" s="3244"/>
      <c r="E386" s="762"/>
      <c r="F386" s="754"/>
      <c r="G386" s="259"/>
      <c r="H386" s="1"/>
      <c r="I386" s="1"/>
      <c r="J386" s="1"/>
      <c r="L386" s="1"/>
      <c r="M386" s="1"/>
    </row>
    <row r="387" spans="3:13" hidden="1" x14ac:dyDescent="0.3">
      <c r="C387" s="3243" t="s">
        <v>1174</v>
      </c>
      <c r="D387" s="3244"/>
      <c r="E387" s="762"/>
      <c r="F387" s="259"/>
      <c r="G387" s="259"/>
      <c r="H387" s="1"/>
      <c r="I387" s="1"/>
      <c r="J387" s="1"/>
      <c r="L387" s="1"/>
      <c r="M387" s="1"/>
    </row>
    <row r="388" spans="3:13" hidden="1" x14ac:dyDescent="0.3">
      <c r="C388" s="449" t="s">
        <v>1713</v>
      </c>
      <c r="D388" s="768"/>
      <c r="E388" s="781"/>
      <c r="F388" s="259"/>
      <c r="G388" s="259"/>
      <c r="H388" s="1"/>
      <c r="I388" s="1"/>
      <c r="J388" s="1"/>
      <c r="L388" s="1"/>
      <c r="M388" s="1"/>
    </row>
    <row r="389" spans="3:13" hidden="1" x14ac:dyDescent="0.3">
      <c r="C389" s="449" t="s">
        <v>1714</v>
      </c>
      <c r="D389" s="768"/>
      <c r="E389" s="781"/>
      <c r="F389" s="259"/>
      <c r="G389" s="259"/>
      <c r="H389" s="1"/>
      <c r="I389" s="1"/>
      <c r="J389" s="1"/>
      <c r="L389" s="1"/>
      <c r="M389" s="1"/>
    </row>
    <row r="390" spans="3:13" hidden="1" x14ac:dyDescent="0.3">
      <c r="C390" s="3243" t="s">
        <v>1175</v>
      </c>
      <c r="D390" s="3244"/>
      <c r="E390" s="762"/>
      <c r="F390" s="260"/>
      <c r="G390" s="194"/>
      <c r="H390" s="1"/>
      <c r="I390" s="1"/>
      <c r="J390" s="1"/>
      <c r="L390" s="1"/>
      <c r="M390" s="1"/>
    </row>
    <row r="391" spans="3:13" hidden="1" x14ac:dyDescent="0.3">
      <c r="C391" s="447" t="s">
        <v>150</v>
      </c>
      <c r="D391" s="773"/>
      <c r="E391" s="499"/>
      <c r="F391" s="513">
        <f>SUM(F385:F390)</f>
        <v>0</v>
      </c>
      <c r="G391" s="515">
        <v>0</v>
      </c>
      <c r="H391" s="1"/>
      <c r="I391" s="1"/>
      <c r="J391" s="1"/>
      <c r="L391" s="1"/>
      <c r="M391" s="1"/>
    </row>
    <row r="392" spans="3:13" hidden="1" x14ac:dyDescent="0.3">
      <c r="C392" s="257"/>
      <c r="D392" s="191"/>
      <c r="E392" s="197"/>
      <c r="F392" s="259"/>
      <c r="G392" s="259"/>
      <c r="H392" s="1"/>
      <c r="I392" s="1"/>
      <c r="J392" s="1"/>
      <c r="L392" s="1"/>
      <c r="M392" s="1"/>
    </row>
    <row r="393" spans="3:13" hidden="1" x14ac:dyDescent="0.3">
      <c r="C393" s="759" t="s">
        <v>158</v>
      </c>
      <c r="D393" s="774"/>
      <c r="E393" s="485"/>
      <c r="F393" s="259"/>
      <c r="G393" s="259"/>
      <c r="H393" s="1"/>
      <c r="I393" s="1"/>
      <c r="J393" s="1"/>
      <c r="L393" s="1"/>
      <c r="M393" s="1"/>
    </row>
    <row r="394" spans="3:13" hidden="1" x14ac:dyDescent="0.3">
      <c r="C394" s="447" t="s">
        <v>148</v>
      </c>
      <c r="D394" s="771"/>
      <c r="E394" s="496"/>
      <c r="F394" s="443">
        <v>0</v>
      </c>
      <c r="G394" s="259">
        <v>0</v>
      </c>
      <c r="H394" s="1"/>
      <c r="I394" s="1"/>
      <c r="J394" s="1"/>
      <c r="L394" s="1"/>
      <c r="M394" s="1"/>
    </row>
    <row r="395" spans="3:13" hidden="1" x14ac:dyDescent="0.3">
      <c r="C395" s="756" t="s">
        <v>1712</v>
      </c>
      <c r="D395" s="771"/>
      <c r="E395" s="496"/>
      <c r="F395" s="443"/>
      <c r="G395" s="259"/>
      <c r="H395" s="1"/>
      <c r="I395" s="1"/>
      <c r="J395" s="1"/>
      <c r="L395" s="1"/>
      <c r="M395" s="1"/>
    </row>
    <row r="396" spans="3:13" hidden="1" x14ac:dyDescent="0.3">
      <c r="C396" s="782" t="s">
        <v>1703</v>
      </c>
      <c r="D396" s="771"/>
      <c r="E396" s="496"/>
      <c r="F396" s="443">
        <v>0</v>
      </c>
      <c r="G396" s="259">
        <v>0</v>
      </c>
      <c r="H396" s="1"/>
      <c r="I396" s="1"/>
      <c r="J396" s="1"/>
      <c r="L396" s="1"/>
      <c r="M396" s="1"/>
    </row>
    <row r="397" spans="3:13" hidden="1" x14ac:dyDescent="0.3">
      <c r="C397" s="786" t="s">
        <v>1715</v>
      </c>
      <c r="D397" s="775"/>
      <c r="E397" s="500"/>
      <c r="F397" s="443">
        <v>0</v>
      </c>
      <c r="G397" s="259"/>
      <c r="H397" s="1"/>
      <c r="I397" s="1"/>
      <c r="J397" s="1"/>
      <c r="L397" s="1"/>
      <c r="M397" s="1"/>
    </row>
    <row r="398" spans="3:13" hidden="1" x14ac:dyDescent="0.3">
      <c r="C398" s="756" t="s">
        <v>159</v>
      </c>
      <c r="D398" s="771"/>
      <c r="E398" s="496"/>
      <c r="F398" s="259"/>
      <c r="G398" s="259"/>
      <c r="H398" s="1"/>
      <c r="I398" s="1"/>
      <c r="J398" s="1"/>
      <c r="L398" s="1"/>
      <c r="M398" s="1"/>
    </row>
    <row r="399" spans="3:13" hidden="1" x14ac:dyDescent="0.3">
      <c r="C399" s="785" t="s">
        <v>1706</v>
      </c>
      <c r="D399" s="776"/>
      <c r="E399" s="501"/>
      <c r="F399" s="259">
        <v>0</v>
      </c>
      <c r="G399" s="259"/>
      <c r="H399" s="1"/>
      <c r="I399" s="1"/>
      <c r="J399" s="1"/>
      <c r="L399" s="1"/>
      <c r="M399" s="1"/>
    </row>
    <row r="400" spans="3:13" hidden="1" x14ac:dyDescent="0.3">
      <c r="C400" s="785" t="s">
        <v>1711</v>
      </c>
      <c r="D400" s="776"/>
      <c r="E400" s="501"/>
      <c r="F400" s="259">
        <v>0</v>
      </c>
      <c r="G400" s="259"/>
      <c r="H400" s="1"/>
      <c r="I400" s="1"/>
      <c r="J400" s="1"/>
      <c r="L400" s="1"/>
      <c r="M400" s="1"/>
    </row>
    <row r="401" spans="3:13" hidden="1" x14ac:dyDescent="0.3">
      <c r="C401" s="447" t="s">
        <v>150</v>
      </c>
      <c r="D401" s="771"/>
      <c r="E401" s="496"/>
      <c r="F401" s="512">
        <f>SUM(F394:F400)</f>
        <v>0</v>
      </c>
      <c r="G401" s="512">
        <f>SUM(G394:G400)</f>
        <v>0</v>
      </c>
      <c r="H401" s="1"/>
      <c r="I401" s="1"/>
      <c r="J401" s="1"/>
      <c r="L401" s="1"/>
      <c r="M401" s="1"/>
    </row>
    <row r="402" spans="3:13" hidden="1" x14ac:dyDescent="0.3">
      <c r="C402" s="405"/>
      <c r="D402" s="770"/>
      <c r="E402" s="495"/>
      <c r="F402" s="259"/>
      <c r="G402" s="259"/>
      <c r="H402" s="1"/>
      <c r="I402" s="1"/>
      <c r="J402" s="1"/>
      <c r="L402" s="1"/>
      <c r="M402" s="1"/>
    </row>
    <row r="403" spans="3:13" hidden="1" x14ac:dyDescent="0.3">
      <c r="C403" s="755" t="s">
        <v>160</v>
      </c>
      <c r="D403" s="774"/>
      <c r="E403" s="485"/>
      <c r="F403" s="259"/>
      <c r="G403" s="259"/>
      <c r="H403" s="1"/>
      <c r="I403" s="1"/>
      <c r="J403" s="1"/>
      <c r="L403" s="1"/>
      <c r="M403" s="1"/>
    </row>
    <row r="404" spans="3:13" hidden="1" x14ac:dyDescent="0.3">
      <c r="C404" s="447" t="s">
        <v>148</v>
      </c>
      <c r="D404" s="771"/>
      <c r="E404" s="496"/>
      <c r="F404" s="443">
        <v>0</v>
      </c>
      <c r="G404" s="259">
        <v>0</v>
      </c>
      <c r="H404" s="1"/>
      <c r="I404" s="1"/>
      <c r="J404" s="1"/>
      <c r="L404" s="1"/>
      <c r="M404" s="1"/>
    </row>
    <row r="405" spans="3:13" hidden="1" x14ac:dyDescent="0.3">
      <c r="C405" s="756" t="s">
        <v>161</v>
      </c>
      <c r="D405" s="771"/>
      <c r="E405" s="496"/>
      <c r="F405" s="259"/>
      <c r="G405" s="259"/>
      <c r="H405" s="1"/>
      <c r="I405" s="1"/>
      <c r="J405" s="1"/>
      <c r="L405" s="1"/>
      <c r="M405" s="1"/>
    </row>
    <row r="406" spans="3:13" hidden="1" x14ac:dyDescent="0.3">
      <c r="C406" s="3243" t="s">
        <v>1716</v>
      </c>
      <c r="D406" s="3244"/>
      <c r="E406" s="762"/>
      <c r="F406" s="259"/>
      <c r="G406" s="259"/>
      <c r="H406" s="1"/>
      <c r="I406" s="1"/>
      <c r="J406" s="1"/>
      <c r="L406" s="1"/>
      <c r="M406" s="1"/>
    </row>
    <row r="407" spans="3:13" hidden="1" x14ac:dyDescent="0.3">
      <c r="C407" s="447" t="s">
        <v>150</v>
      </c>
      <c r="D407" s="771"/>
      <c r="E407" s="496"/>
      <c r="F407" s="512">
        <f>SUM(F404:F406)</f>
        <v>0</v>
      </c>
      <c r="G407" s="258">
        <v>0</v>
      </c>
      <c r="H407" s="1"/>
      <c r="I407" s="1"/>
      <c r="J407" s="1"/>
      <c r="L407" s="1"/>
      <c r="M407" s="1"/>
    </row>
    <row r="408" spans="3:13" hidden="1" x14ac:dyDescent="0.3">
      <c r="C408" s="446"/>
      <c r="D408" s="777"/>
      <c r="E408" s="502"/>
      <c r="F408" s="259"/>
      <c r="G408" s="451"/>
      <c r="H408" s="1"/>
      <c r="I408" s="1"/>
      <c r="J408" s="1"/>
      <c r="L408" s="1"/>
      <c r="M408" s="1"/>
    </row>
    <row r="409" spans="3:13" hidden="1" x14ac:dyDescent="0.3">
      <c r="C409" s="759" t="s">
        <v>162</v>
      </c>
      <c r="D409" s="774"/>
      <c r="E409" s="485"/>
      <c r="F409" s="259"/>
      <c r="G409" s="259"/>
      <c r="H409" s="1"/>
      <c r="I409" s="1"/>
      <c r="J409" s="1"/>
      <c r="L409" s="1"/>
      <c r="M409" s="1"/>
    </row>
    <row r="410" spans="3:13" hidden="1" x14ac:dyDescent="0.3">
      <c r="C410" s="447" t="s">
        <v>148</v>
      </c>
      <c r="D410" s="771"/>
      <c r="E410" s="496"/>
      <c r="F410" s="443">
        <v>0</v>
      </c>
      <c r="G410" s="259">
        <v>0</v>
      </c>
      <c r="H410" s="1"/>
      <c r="I410" s="1"/>
      <c r="J410" s="1"/>
      <c r="L410" s="1"/>
      <c r="M410" s="1"/>
    </row>
    <row r="411" spans="3:13" hidden="1" x14ac:dyDescent="0.3">
      <c r="C411" s="3243" t="s">
        <v>596</v>
      </c>
      <c r="D411" s="3244"/>
      <c r="E411" s="762"/>
      <c r="F411" s="259"/>
      <c r="G411" s="259"/>
      <c r="H411" s="1"/>
      <c r="I411" s="1"/>
      <c r="J411" s="1"/>
      <c r="L411" s="1"/>
      <c r="M411" s="1"/>
    </row>
    <row r="412" spans="3:13" hidden="1" x14ac:dyDescent="0.3">
      <c r="C412" s="756" t="s">
        <v>163</v>
      </c>
      <c r="D412" s="771"/>
      <c r="E412" s="496"/>
      <c r="F412" s="259"/>
      <c r="G412" s="259"/>
      <c r="H412" s="1"/>
      <c r="I412" s="1"/>
      <c r="J412" s="1"/>
      <c r="L412" s="1"/>
      <c r="M412" s="1"/>
    </row>
    <row r="413" spans="3:13" hidden="1" x14ac:dyDescent="0.3">
      <c r="C413" s="447" t="s">
        <v>150</v>
      </c>
      <c r="D413" s="771"/>
      <c r="E413" s="496"/>
      <c r="F413" s="512">
        <f>SUM(F410:F412)</f>
        <v>0</v>
      </c>
      <c r="G413" s="258">
        <v>0</v>
      </c>
      <c r="H413" s="1"/>
      <c r="I413" s="1"/>
      <c r="J413" s="1"/>
      <c r="L413" s="1"/>
      <c r="M413" s="1"/>
    </row>
    <row r="414" spans="3:13" hidden="1" x14ac:dyDescent="0.3">
      <c r="C414" s="405"/>
      <c r="D414" s="770"/>
      <c r="E414" s="495"/>
      <c r="F414" s="259"/>
      <c r="G414" s="259"/>
      <c r="H414" s="1"/>
      <c r="I414" s="1"/>
      <c r="J414" s="1"/>
      <c r="L414" s="1"/>
      <c r="M414" s="1"/>
    </row>
    <row r="415" spans="3:13" hidden="1" x14ac:dyDescent="0.3">
      <c r="C415" s="755" t="s">
        <v>703</v>
      </c>
      <c r="D415" s="770"/>
      <c r="E415" s="495"/>
      <c r="F415" s="259"/>
      <c r="G415" s="259"/>
      <c r="H415" s="1"/>
      <c r="I415" s="1"/>
      <c r="J415" s="1"/>
      <c r="L415" s="1"/>
      <c r="M415" s="1"/>
    </row>
    <row r="416" spans="3:13" hidden="1" x14ac:dyDescent="0.3">
      <c r="C416" s="447" t="s">
        <v>701</v>
      </c>
      <c r="D416" s="771"/>
      <c r="E416" s="496"/>
      <c r="F416" s="443">
        <v>0</v>
      </c>
      <c r="G416" s="259">
        <v>0</v>
      </c>
      <c r="H416" s="1"/>
      <c r="I416" s="1"/>
      <c r="J416" s="1"/>
      <c r="L416" s="1"/>
      <c r="M416" s="1"/>
    </row>
    <row r="417" spans="3:13" hidden="1" x14ac:dyDescent="0.3">
      <c r="C417" s="3243" t="s">
        <v>699</v>
      </c>
      <c r="D417" s="3244"/>
      <c r="E417" s="762"/>
      <c r="F417" s="259"/>
      <c r="G417" s="259"/>
      <c r="H417" s="1"/>
      <c r="I417" s="1"/>
      <c r="J417" s="1"/>
      <c r="L417" s="1"/>
      <c r="M417" s="1"/>
    </row>
    <row r="418" spans="3:13" hidden="1" x14ac:dyDescent="0.3">
      <c r="C418" s="758" t="s">
        <v>700</v>
      </c>
      <c r="D418" s="778"/>
      <c r="E418" s="498"/>
      <c r="F418" s="260"/>
      <c r="G418" s="260"/>
      <c r="H418" s="1"/>
      <c r="I418" s="1"/>
      <c r="J418" s="1"/>
      <c r="L418" s="1"/>
      <c r="M418" s="1"/>
    </row>
    <row r="419" spans="3:13" hidden="1" x14ac:dyDescent="0.3">
      <c r="C419" s="447" t="s">
        <v>702</v>
      </c>
      <c r="D419" s="771"/>
      <c r="E419" s="496"/>
      <c r="F419" s="443">
        <f>SUM(F416:F418)</f>
        <v>0</v>
      </c>
      <c r="G419" s="259">
        <v>0</v>
      </c>
      <c r="H419" s="1"/>
      <c r="I419" s="1"/>
      <c r="J419" s="1"/>
      <c r="L419" s="1"/>
      <c r="M419" s="1"/>
    </row>
    <row r="420" spans="3:13" hidden="1" x14ac:dyDescent="0.3">
      <c r="C420" s="405"/>
      <c r="D420" s="770"/>
      <c r="E420" s="495"/>
      <c r="F420" s="259"/>
      <c r="G420" s="259"/>
      <c r="H420" s="1"/>
      <c r="I420" s="1"/>
      <c r="J420" s="1"/>
      <c r="L420" s="1"/>
      <c r="M420" s="1"/>
    </row>
    <row r="421" spans="3:13" hidden="1" x14ac:dyDescent="0.3">
      <c r="C421" s="759" t="s">
        <v>1181</v>
      </c>
      <c r="D421" s="774"/>
      <c r="E421" s="485"/>
      <c r="F421" s="259"/>
      <c r="G421" s="259"/>
      <c r="H421" s="1"/>
      <c r="I421" s="1"/>
      <c r="J421" s="1"/>
      <c r="L421" s="1"/>
      <c r="M421" s="1"/>
    </row>
    <row r="422" spans="3:13" hidden="1" x14ac:dyDescent="0.3">
      <c r="C422" s="447" t="s">
        <v>148</v>
      </c>
      <c r="D422" s="771"/>
      <c r="E422" s="496"/>
      <c r="F422" s="443">
        <v>0</v>
      </c>
      <c r="G422" s="259">
        <v>0</v>
      </c>
      <c r="H422" s="1"/>
      <c r="I422" s="1"/>
      <c r="J422" s="1"/>
      <c r="L422" s="1"/>
      <c r="M422" s="1"/>
    </row>
    <row r="423" spans="3:13" hidden="1" x14ac:dyDescent="0.3">
      <c r="C423" s="756" t="s">
        <v>440</v>
      </c>
      <c r="D423" s="771"/>
      <c r="E423" s="496"/>
      <c r="F423" s="259"/>
      <c r="G423" s="259"/>
      <c r="H423" s="1"/>
      <c r="I423" s="1"/>
      <c r="J423" s="1"/>
      <c r="L423" s="1"/>
      <c r="M423" s="1"/>
    </row>
    <row r="424" spans="3:13" hidden="1" x14ac:dyDescent="0.3">
      <c r="C424" s="3243" t="s">
        <v>441</v>
      </c>
      <c r="D424" s="3244"/>
      <c r="E424" s="762"/>
      <c r="F424" s="259"/>
      <c r="G424" s="259"/>
      <c r="H424" s="1"/>
      <c r="I424" s="1"/>
      <c r="J424" s="1"/>
      <c r="L424" s="1"/>
      <c r="M424" s="1"/>
    </row>
    <row r="425" spans="3:13" hidden="1" x14ac:dyDescent="0.3">
      <c r="C425" s="447" t="s">
        <v>150</v>
      </c>
      <c r="D425" s="771"/>
      <c r="E425" s="496"/>
      <c r="F425" s="514">
        <f>SUM(F422:F424)</f>
        <v>0</v>
      </c>
      <c r="G425" s="258">
        <v>0</v>
      </c>
      <c r="H425" s="1"/>
      <c r="I425" s="1"/>
      <c r="J425" s="1"/>
      <c r="L425" s="1"/>
      <c r="M425" s="1"/>
    </row>
    <row r="426" spans="3:13" x14ac:dyDescent="0.3">
      <c r="C426" s="257"/>
      <c r="D426" s="191"/>
      <c r="E426" s="197"/>
      <c r="F426" s="259"/>
      <c r="G426" s="259"/>
      <c r="H426" s="1"/>
      <c r="I426" s="1"/>
      <c r="J426" s="1"/>
      <c r="L426" s="1"/>
      <c r="M426" s="1"/>
    </row>
    <row r="427" spans="3:13" x14ac:dyDescent="0.3">
      <c r="C427" s="755" t="s">
        <v>1176</v>
      </c>
      <c r="D427" s="774"/>
      <c r="E427" s="485"/>
      <c r="F427" s="259"/>
      <c r="G427" s="259"/>
      <c r="H427" s="1"/>
      <c r="I427" s="1"/>
      <c r="J427" s="1"/>
      <c r="L427" s="1"/>
      <c r="M427" s="1"/>
    </row>
    <row r="428" spans="3:13" x14ac:dyDescent="0.3">
      <c r="C428" s="447" t="s">
        <v>148</v>
      </c>
      <c r="D428" s="771"/>
      <c r="E428" s="496"/>
      <c r="F428" s="443">
        <f>+G443</f>
        <v>808743.69529999793</v>
      </c>
      <c r="G428" s="259">
        <f>+'Balance Sheet-FY 22-23'!F18</f>
        <v>599398.21249999839</v>
      </c>
      <c r="H428" s="1">
        <f>+G428*100</f>
        <v>59939821.249999836</v>
      </c>
      <c r="I428" s="1"/>
      <c r="J428" s="1"/>
      <c r="L428" s="1"/>
      <c r="M428" s="1"/>
    </row>
    <row r="429" spans="3:13" x14ac:dyDescent="0.3">
      <c r="C429" s="756" t="s">
        <v>1712</v>
      </c>
      <c r="D429" s="771"/>
      <c r="E429" s="496"/>
      <c r="F429" s="679"/>
      <c r="G429" s="452"/>
      <c r="H429" s="1"/>
      <c r="I429" s="1"/>
      <c r="J429" s="1"/>
      <c r="L429" s="1"/>
      <c r="M429" s="1"/>
    </row>
    <row r="430" spans="3:13" x14ac:dyDescent="0.3">
      <c r="C430" s="760" t="s">
        <v>1717</v>
      </c>
      <c r="D430" s="771"/>
      <c r="E430" s="496"/>
      <c r="F430" s="679">
        <f>+'Profit and Loss'!F64</f>
        <v>326016.54773805174</v>
      </c>
      <c r="G430" s="679">
        <f>+'Profit and Loss'!G64</f>
        <v>209345.48279999947</v>
      </c>
      <c r="H430" s="1">
        <f>+G430*100</f>
        <v>20934548.279999949</v>
      </c>
      <c r="I430" s="1"/>
      <c r="J430" s="1"/>
      <c r="L430" s="1"/>
      <c r="M430" s="1"/>
    </row>
    <row r="431" spans="3:13" hidden="1" x14ac:dyDescent="0.3">
      <c r="C431" s="760" t="s">
        <v>1725</v>
      </c>
      <c r="D431" s="779"/>
      <c r="E431" s="503"/>
      <c r="F431" s="452"/>
      <c r="G431" s="452"/>
      <c r="H431" s="1"/>
      <c r="I431" s="1"/>
      <c r="J431" s="1"/>
      <c r="L431" s="1"/>
      <c r="M431" s="1"/>
    </row>
    <row r="432" spans="3:13" hidden="1" x14ac:dyDescent="0.3">
      <c r="C432" s="783" t="s">
        <v>1718</v>
      </c>
      <c r="D432" s="780"/>
      <c r="E432" s="504"/>
      <c r="F432" s="452">
        <f>-F400</f>
        <v>0</v>
      </c>
      <c r="G432" s="452">
        <v>0</v>
      </c>
      <c r="H432" s="1"/>
      <c r="I432" s="1"/>
      <c r="J432" s="1"/>
      <c r="L432" s="1"/>
      <c r="M432" s="1"/>
    </row>
    <row r="433" spans="3:13" hidden="1" x14ac:dyDescent="0.3">
      <c r="C433" s="784" t="s">
        <v>1719</v>
      </c>
      <c r="D433" s="780"/>
      <c r="E433" s="504"/>
      <c r="F433" s="452">
        <f>-F424</f>
        <v>0</v>
      </c>
      <c r="G433" s="452">
        <v>0</v>
      </c>
      <c r="H433" s="1"/>
      <c r="I433" s="1"/>
      <c r="J433" s="1"/>
      <c r="L433" s="1"/>
      <c r="M433" s="1"/>
    </row>
    <row r="434" spans="3:13" hidden="1" x14ac:dyDescent="0.3">
      <c r="C434" s="758" t="s">
        <v>165</v>
      </c>
      <c r="D434" s="778"/>
      <c r="E434" s="498"/>
      <c r="F434" s="259"/>
      <c r="G434" s="259"/>
      <c r="H434" s="1"/>
      <c r="I434" s="1"/>
      <c r="J434" s="1"/>
      <c r="L434" s="1"/>
      <c r="M434" s="1"/>
    </row>
    <row r="435" spans="3:13" hidden="1" x14ac:dyDescent="0.3">
      <c r="C435" s="3245" t="s">
        <v>1720</v>
      </c>
      <c r="D435" s="3244"/>
      <c r="E435" s="763"/>
      <c r="F435" s="259">
        <v>0</v>
      </c>
      <c r="G435" s="259">
        <v>0</v>
      </c>
      <c r="H435" s="1"/>
      <c r="I435" s="1"/>
      <c r="J435" s="1"/>
      <c r="L435" s="1"/>
      <c r="M435" s="1"/>
    </row>
    <row r="436" spans="3:13" hidden="1" x14ac:dyDescent="0.3">
      <c r="C436" s="3245" t="s">
        <v>1721</v>
      </c>
      <c r="D436" s="3244"/>
      <c r="E436" s="763"/>
      <c r="F436" s="259">
        <v>0</v>
      </c>
      <c r="G436" s="259">
        <v>0</v>
      </c>
      <c r="H436" s="1"/>
      <c r="I436" s="1"/>
      <c r="J436" s="1"/>
      <c r="L436" s="1"/>
      <c r="M436" s="1"/>
    </row>
    <row r="437" spans="3:13" hidden="1" x14ac:dyDescent="0.3">
      <c r="C437" s="760" t="s">
        <v>1722</v>
      </c>
      <c r="D437" s="787"/>
      <c r="E437" s="504"/>
      <c r="F437" s="259">
        <v>0</v>
      </c>
      <c r="G437" s="259">
        <v>0</v>
      </c>
      <c r="H437" s="1"/>
      <c r="I437" s="1"/>
      <c r="J437" s="1"/>
      <c r="L437" s="1"/>
      <c r="M437" s="1"/>
    </row>
    <row r="438" spans="3:13" hidden="1" x14ac:dyDescent="0.3">
      <c r="C438" s="756" t="s">
        <v>166</v>
      </c>
      <c r="D438" s="777"/>
      <c r="E438" s="505"/>
      <c r="F438" s="259"/>
      <c r="G438" s="259"/>
      <c r="H438" s="1"/>
      <c r="I438" s="1"/>
      <c r="J438" s="1"/>
      <c r="L438" s="1"/>
      <c r="M438" s="1"/>
    </row>
    <row r="439" spans="3:13" hidden="1" x14ac:dyDescent="0.3">
      <c r="C439" s="783" t="s">
        <v>1718</v>
      </c>
      <c r="D439" s="787"/>
      <c r="E439" s="504"/>
      <c r="F439" s="259">
        <v>0</v>
      </c>
      <c r="G439" s="259">
        <v>0</v>
      </c>
      <c r="H439" s="1"/>
      <c r="I439" s="1"/>
      <c r="J439" s="1"/>
      <c r="L439" s="1"/>
      <c r="M439" s="1"/>
    </row>
    <row r="440" spans="3:13" hidden="1" x14ac:dyDescent="0.3">
      <c r="C440" s="783" t="s">
        <v>1723</v>
      </c>
      <c r="D440" s="787"/>
      <c r="E440" s="504"/>
      <c r="F440" s="259">
        <v>0</v>
      </c>
      <c r="G440" s="259">
        <v>0</v>
      </c>
      <c r="H440" s="1"/>
      <c r="I440" s="1"/>
      <c r="J440" s="1"/>
      <c r="L440" s="1"/>
      <c r="M440" s="1"/>
    </row>
    <row r="441" spans="3:13" hidden="1" x14ac:dyDescent="0.3">
      <c r="C441" s="783" t="s">
        <v>1724</v>
      </c>
      <c r="D441" s="787"/>
      <c r="E441" s="504"/>
      <c r="F441" s="259">
        <v>0</v>
      </c>
      <c r="G441" s="259">
        <v>0</v>
      </c>
      <c r="H441" s="1"/>
      <c r="I441" s="1"/>
      <c r="J441" s="1"/>
      <c r="L441" s="1"/>
      <c r="M441" s="1"/>
    </row>
    <row r="442" spans="3:13" hidden="1" x14ac:dyDescent="0.3">
      <c r="C442" s="783" t="s">
        <v>1719</v>
      </c>
      <c r="D442" s="787"/>
      <c r="E442" s="504"/>
      <c r="F442" s="259">
        <v>0</v>
      </c>
      <c r="G442" s="259">
        <v>0</v>
      </c>
      <c r="H442" s="1"/>
      <c r="I442" s="1"/>
      <c r="J442" s="1"/>
      <c r="L442" s="1"/>
      <c r="M442" s="1"/>
    </row>
    <row r="443" spans="3:13" x14ac:dyDescent="0.3">
      <c r="C443" s="447" t="s">
        <v>150</v>
      </c>
      <c r="D443" s="771"/>
      <c r="E443" s="496"/>
      <c r="F443" s="513">
        <f>SUM(F428:F442)</f>
        <v>1134760.2430380497</v>
      </c>
      <c r="G443" s="513">
        <f>SUM(G428:G442)</f>
        <v>808743.69529999793</v>
      </c>
      <c r="H443" s="1"/>
      <c r="I443" s="1"/>
      <c r="J443" s="1"/>
      <c r="L443" s="1"/>
      <c r="M443" s="1"/>
    </row>
    <row r="444" spans="3:13" x14ac:dyDescent="0.3">
      <c r="C444" s="405"/>
      <c r="D444" s="770"/>
      <c r="E444" s="495"/>
      <c r="F444" s="259"/>
      <c r="G444" s="259"/>
      <c r="H444" s="1"/>
      <c r="I444" s="1"/>
      <c r="J444" s="1"/>
      <c r="L444" s="1"/>
      <c r="M444" s="1"/>
    </row>
    <row r="445" spans="3:13" x14ac:dyDescent="0.3">
      <c r="C445" s="2769" t="s">
        <v>35</v>
      </c>
      <c r="D445" s="2769"/>
      <c r="E445" s="2769"/>
      <c r="F445" s="1931">
        <f>+F348+F356+F368+F376+F382+F391+F401+F407+F413+F419+F425+F443</f>
        <v>1134760.2430380497</v>
      </c>
      <c r="G445" s="1932">
        <f>+G348+G356+G368+G376+G382+G391+G401+G407+G413+G419+G425+G443</f>
        <v>808743.69529999793</v>
      </c>
      <c r="H445" s="1"/>
      <c r="I445" s="1"/>
      <c r="J445" s="1"/>
      <c r="L445" s="1"/>
      <c r="M445" s="1"/>
    </row>
    <row r="446" spans="3:13" x14ac:dyDescent="0.3">
      <c r="C446" s="1"/>
      <c r="D446" s="1"/>
      <c r="E446" s="1"/>
      <c r="F446" s="1"/>
      <c r="G446" s="1"/>
      <c r="H446" s="1"/>
      <c r="I446" s="1"/>
      <c r="J446" s="1"/>
      <c r="L446" s="1"/>
      <c r="M446" s="1"/>
    </row>
    <row r="447" spans="3:13" hidden="1" x14ac:dyDescent="0.3">
      <c r="C447" s="1"/>
      <c r="D447" s="1"/>
      <c r="E447" s="1"/>
      <c r="F447" s="1"/>
      <c r="G447" s="1"/>
      <c r="H447" s="1"/>
      <c r="I447" s="1"/>
      <c r="J447" s="1"/>
      <c r="L447" s="1"/>
      <c r="M447" s="1"/>
    </row>
    <row r="448" spans="3:13" hidden="1" x14ac:dyDescent="0.3">
      <c r="C448" s="4" t="str">
        <f>+"Note "&amp;'Balance Sheet'!E24&amp;" &amp; "&amp;'Balance Sheet'!E31&amp;" : Borrowings"</f>
        <v>Note 4 &amp; 5 : Borrowings</v>
      </c>
      <c r="D448" s="1"/>
      <c r="E448" s="1"/>
      <c r="F448" s="1"/>
      <c r="G448" s="1"/>
      <c r="H448" s="1"/>
      <c r="I448" s="1"/>
      <c r="J448" s="1"/>
      <c r="L448" s="1"/>
      <c r="M448" s="1"/>
    </row>
    <row r="449" spans="3:13" hidden="1" x14ac:dyDescent="0.3">
      <c r="C449" s="1"/>
      <c r="D449" s="1"/>
      <c r="E449" s="1"/>
      <c r="F449" s="1"/>
      <c r="G449" s="1"/>
      <c r="H449" s="1"/>
      <c r="I449" s="1"/>
      <c r="J449" s="1"/>
      <c r="L449" s="1"/>
      <c r="M449" s="1"/>
    </row>
    <row r="450" spans="3:13" hidden="1" x14ac:dyDescent="0.3">
      <c r="C450" s="307" t="s">
        <v>1238</v>
      </c>
      <c r="D450" s="3"/>
      <c r="E450" s="3"/>
      <c r="F450" s="3"/>
      <c r="G450" s="1"/>
      <c r="H450" s="1"/>
      <c r="I450" s="1"/>
      <c r="J450" s="1"/>
      <c r="L450" s="1"/>
      <c r="M450" s="1"/>
    </row>
    <row r="451" spans="3:13" customFormat="1" ht="15" hidden="1" x14ac:dyDescent="0.25"/>
    <row r="452" spans="3:13" ht="30" hidden="1" x14ac:dyDescent="0.3">
      <c r="C452" s="46" t="s">
        <v>20</v>
      </c>
      <c r="D452" s="46" t="s">
        <v>1239</v>
      </c>
      <c r="E452" s="253" t="str">
        <f>BSCY</f>
        <v>As At 31st March 2025</v>
      </c>
      <c r="F452" s="253" t="str">
        <f>BSPY</f>
        <v>As At 31st March 2024</v>
      </c>
      <c r="G452" s="1"/>
      <c r="H452" s="1"/>
      <c r="I452" s="1"/>
      <c r="J452" s="1"/>
      <c r="L452" s="1"/>
      <c r="M452" s="1"/>
    </row>
    <row r="453" spans="3:13" hidden="1" x14ac:dyDescent="0.3">
      <c r="C453" s="569" t="s">
        <v>169</v>
      </c>
      <c r="D453" s="568"/>
      <c r="E453" s="571"/>
      <c r="F453" s="571"/>
      <c r="G453" s="1"/>
      <c r="H453" s="1"/>
      <c r="I453" s="1"/>
      <c r="J453" s="1"/>
      <c r="L453" s="1"/>
      <c r="M453" s="1"/>
    </row>
    <row r="454" spans="3:13" hidden="1" x14ac:dyDescent="0.3">
      <c r="C454" s="569" t="s">
        <v>1335</v>
      </c>
      <c r="D454" s="568"/>
      <c r="E454" s="571"/>
      <c r="F454" s="571"/>
      <c r="G454" s="1"/>
      <c r="H454" s="1"/>
      <c r="I454" s="1"/>
      <c r="J454" s="1"/>
      <c r="L454" s="1"/>
      <c r="M454" s="1"/>
    </row>
    <row r="455" spans="3:13" hidden="1" x14ac:dyDescent="0.3">
      <c r="C455" s="574" t="s">
        <v>1347</v>
      </c>
      <c r="D455" s="568"/>
      <c r="E455" s="571"/>
      <c r="F455" s="571"/>
      <c r="G455" s="1"/>
      <c r="H455" s="1"/>
      <c r="I455" s="1"/>
      <c r="J455" s="1"/>
      <c r="L455" s="1"/>
      <c r="M455" s="1"/>
    </row>
    <row r="456" spans="3:13" hidden="1" x14ac:dyDescent="0.3">
      <c r="C456" s="574" t="s">
        <v>1347</v>
      </c>
      <c r="D456" s="568"/>
      <c r="E456" s="571"/>
      <c r="F456" s="571"/>
      <c r="G456" s="1"/>
      <c r="H456" s="1"/>
      <c r="I456" s="1"/>
      <c r="J456" s="1"/>
      <c r="L456" s="1"/>
      <c r="M456" s="1"/>
    </row>
    <row r="457" spans="3:13" hidden="1" x14ac:dyDescent="0.3">
      <c r="C457" s="574" t="s">
        <v>1347</v>
      </c>
      <c r="D457" s="568"/>
      <c r="E457" s="571"/>
      <c r="F457" s="571"/>
      <c r="G457" s="1"/>
      <c r="H457" s="1"/>
      <c r="I457" s="1"/>
      <c r="J457" s="1"/>
      <c r="L457" s="1"/>
      <c r="M457" s="1"/>
    </row>
    <row r="458" spans="3:13" hidden="1" x14ac:dyDescent="0.3">
      <c r="C458" s="574" t="s">
        <v>1347</v>
      </c>
      <c r="D458" s="568"/>
      <c r="E458" s="571"/>
      <c r="F458" s="571"/>
      <c r="G458" s="1"/>
      <c r="H458" s="1"/>
      <c r="I458" s="1"/>
      <c r="J458" s="1"/>
      <c r="L458" s="1"/>
      <c r="M458" s="1"/>
    </row>
    <row r="459" spans="3:13" hidden="1" x14ac:dyDescent="0.3">
      <c r="C459" s="574" t="s">
        <v>1347</v>
      </c>
      <c r="D459" s="572"/>
      <c r="E459" s="572"/>
      <c r="F459" s="572"/>
      <c r="G459" s="1"/>
      <c r="H459" s="1"/>
      <c r="I459" s="1"/>
      <c r="J459" s="1"/>
      <c r="L459" s="1"/>
      <c r="M459" s="1"/>
    </row>
    <row r="460" spans="3:13" hidden="1" x14ac:dyDescent="0.3">
      <c r="C460" s="574" t="s">
        <v>1347</v>
      </c>
      <c r="D460" s="3207"/>
      <c r="E460" s="569"/>
      <c r="F460" s="569"/>
      <c r="G460" s="1"/>
      <c r="H460" s="1"/>
      <c r="I460" s="1"/>
      <c r="J460" s="1"/>
      <c r="L460" s="1"/>
      <c r="M460" s="1"/>
    </row>
    <row r="461" spans="3:13" hidden="1" x14ac:dyDescent="0.3">
      <c r="C461" s="574" t="s">
        <v>1347</v>
      </c>
      <c r="D461" s="3207"/>
      <c r="E461" s="569"/>
      <c r="F461" s="569"/>
      <c r="G461" s="1"/>
      <c r="H461" s="1"/>
      <c r="I461" s="1"/>
      <c r="J461" s="1"/>
      <c r="L461" s="1"/>
      <c r="M461" s="1"/>
    </row>
    <row r="462" spans="3:13" hidden="1" x14ac:dyDescent="0.3">
      <c r="C462" s="573" t="s">
        <v>170</v>
      </c>
      <c r="D462" s="3208"/>
      <c r="E462" s="569"/>
      <c r="F462" s="569"/>
      <c r="G462" s="1"/>
      <c r="H462" s="1"/>
      <c r="I462" s="1"/>
      <c r="J462" s="1"/>
      <c r="L462" s="1"/>
      <c r="M462" s="1"/>
    </row>
    <row r="463" spans="3:13" hidden="1" x14ac:dyDescent="0.3">
      <c r="C463" s="33" t="s">
        <v>171</v>
      </c>
      <c r="D463" s="254"/>
      <c r="E463" s="254"/>
      <c r="F463" s="254"/>
      <c r="G463" s="1"/>
      <c r="H463" s="1"/>
      <c r="I463" s="1"/>
      <c r="J463" s="1"/>
      <c r="L463" s="1"/>
      <c r="M463" s="1"/>
    </row>
    <row r="464" spans="3:13" hidden="1" x14ac:dyDescent="0.3">
      <c r="C464" s="1"/>
      <c r="D464" s="1"/>
      <c r="E464" s="1"/>
      <c r="F464" s="1"/>
      <c r="G464" s="1"/>
      <c r="H464" s="1"/>
      <c r="I464" s="1"/>
      <c r="J464" s="1"/>
      <c r="L464" s="1"/>
      <c r="M464" s="1"/>
    </row>
    <row r="465" spans="3:13" ht="14.45" hidden="1" customHeight="1" x14ac:dyDescent="0.3">
      <c r="C465" s="32" t="s">
        <v>966</v>
      </c>
      <c r="D465" s="32"/>
      <c r="E465" s="32"/>
      <c r="F465" s="32"/>
      <c r="G465" s="32"/>
      <c r="H465" s="32"/>
      <c r="I465" s="1"/>
      <c r="J465" s="1"/>
      <c r="L465" s="1"/>
      <c r="M465" s="1"/>
    </row>
    <row r="466" spans="3:13" hidden="1" x14ac:dyDescent="0.3">
      <c r="C466" s="1"/>
      <c r="D466" s="1"/>
      <c r="E466" s="1"/>
      <c r="F466" s="1"/>
      <c r="G466" s="1"/>
      <c r="H466" s="1"/>
      <c r="I466" s="1"/>
      <c r="J466" s="1"/>
      <c r="L466" s="1"/>
      <c r="M466" s="1"/>
    </row>
    <row r="467" spans="3:13" ht="14.45" hidden="1" customHeight="1" x14ac:dyDescent="0.3">
      <c r="C467" s="32" t="s">
        <v>550</v>
      </c>
      <c r="D467" s="32"/>
      <c r="E467" s="32"/>
      <c r="F467" s="32"/>
      <c r="G467" s="32"/>
      <c r="H467" s="32"/>
      <c r="I467" s="1"/>
      <c r="J467" s="1"/>
      <c r="L467" s="1"/>
      <c r="M467" s="1"/>
    </row>
    <row r="468" spans="3:13" hidden="1" x14ac:dyDescent="0.3">
      <c r="C468" s="954"/>
      <c r="D468" s="31"/>
      <c r="E468" s="954"/>
      <c r="F468" s="954"/>
      <c r="G468" s="954"/>
      <c r="H468" s="954"/>
      <c r="I468" s="1"/>
      <c r="J468" s="1"/>
      <c r="L468" s="1"/>
      <c r="M468" s="1"/>
    </row>
    <row r="469" spans="3:13" hidden="1" x14ac:dyDescent="0.3">
      <c r="C469" s="3180" t="s">
        <v>20</v>
      </c>
      <c r="D469" s="3070" t="s">
        <v>1240</v>
      </c>
      <c r="E469" s="3209" t="str">
        <f>BSCY</f>
        <v>As At 31st March 2025</v>
      </c>
      <c r="F469" s="3180"/>
      <c r="G469" s="3209" t="str">
        <f>BSPY</f>
        <v>As At 31st March 2024</v>
      </c>
      <c r="H469" s="3180"/>
      <c r="I469" s="1"/>
      <c r="J469" s="1"/>
      <c r="L469" s="1"/>
      <c r="M469" s="1"/>
    </row>
    <row r="470" spans="3:13" hidden="1" x14ac:dyDescent="0.3">
      <c r="C470" s="3180"/>
      <c r="D470" s="3071"/>
      <c r="E470" s="454" t="s">
        <v>825</v>
      </c>
      <c r="F470" s="454" t="s">
        <v>826</v>
      </c>
      <c r="G470" s="577" t="s">
        <v>825</v>
      </c>
      <c r="H470" s="454" t="s">
        <v>826</v>
      </c>
      <c r="I470" s="1"/>
      <c r="J470" s="1"/>
      <c r="L470" s="1"/>
      <c r="M470" s="1"/>
    </row>
    <row r="471" spans="3:13" hidden="1" x14ac:dyDescent="0.3">
      <c r="C471" s="462" t="s">
        <v>172</v>
      </c>
      <c r="D471" s="48"/>
      <c r="E471" s="196"/>
      <c r="F471" s="196"/>
      <c r="G471" s="459"/>
      <c r="H471" s="168"/>
      <c r="I471" s="1"/>
      <c r="J471" s="1"/>
      <c r="L471" s="1"/>
      <c r="M471" s="1"/>
    </row>
    <row r="472" spans="3:13" hidden="1" x14ac:dyDescent="0.3">
      <c r="C472" s="578" t="s">
        <v>173</v>
      </c>
      <c r="D472" s="579"/>
      <c r="E472" s="572"/>
      <c r="F472" s="572"/>
      <c r="G472" s="580"/>
      <c r="H472" s="539"/>
      <c r="I472" s="1"/>
      <c r="J472" s="1"/>
      <c r="L472" s="1"/>
      <c r="M472" s="1"/>
    </row>
    <row r="473" spans="3:13" hidden="1" x14ac:dyDescent="0.3">
      <c r="C473" s="578" t="s">
        <v>173</v>
      </c>
      <c r="D473" s="579"/>
      <c r="E473" s="581"/>
      <c r="F473" s="581"/>
      <c r="G473" s="582"/>
      <c r="H473" s="581"/>
      <c r="I473" s="1"/>
      <c r="J473" s="1"/>
      <c r="L473" s="1"/>
      <c r="M473" s="1"/>
    </row>
    <row r="474" spans="3:13" hidden="1" x14ac:dyDescent="0.3">
      <c r="C474" s="578" t="s">
        <v>173</v>
      </c>
      <c r="D474" s="579"/>
      <c r="E474" s="572"/>
      <c r="F474" s="583"/>
      <c r="G474" s="570"/>
      <c r="H474" s="539"/>
      <c r="I474" s="1"/>
      <c r="J474" s="1"/>
      <c r="L474" s="1"/>
      <c r="M474" s="1"/>
    </row>
    <row r="475" spans="3:13" hidden="1" x14ac:dyDescent="0.3">
      <c r="C475" s="578" t="s">
        <v>173</v>
      </c>
      <c r="D475" s="579"/>
      <c r="E475" s="572"/>
      <c r="F475" s="572"/>
      <c r="G475" s="572"/>
      <c r="H475" s="539"/>
      <c r="I475" s="1"/>
      <c r="J475" s="1"/>
      <c r="L475" s="1"/>
      <c r="M475" s="1"/>
    </row>
    <row r="476" spans="3:13" hidden="1" x14ac:dyDescent="0.3">
      <c r="C476" s="578" t="s">
        <v>173</v>
      </c>
      <c r="D476" s="579"/>
      <c r="E476" s="572"/>
      <c r="F476" s="572"/>
      <c r="G476" s="572"/>
      <c r="H476" s="539"/>
      <c r="I476" s="1"/>
      <c r="J476" s="1"/>
      <c r="L476" s="1"/>
      <c r="M476" s="1"/>
    </row>
    <row r="477" spans="3:13" hidden="1" x14ac:dyDescent="0.3">
      <c r="C477" s="578" t="s">
        <v>173</v>
      </c>
      <c r="D477" s="579"/>
      <c r="E477" s="572"/>
      <c r="F477" s="572"/>
      <c r="G477" s="572"/>
      <c r="H477" s="539"/>
      <c r="I477" s="1"/>
      <c r="J477" s="1"/>
      <c r="L477" s="1"/>
      <c r="M477" s="1"/>
    </row>
    <row r="478" spans="3:13" hidden="1" x14ac:dyDescent="0.3">
      <c r="C478" s="578" t="s">
        <v>173</v>
      </c>
      <c r="D478" s="579"/>
      <c r="E478" s="572"/>
      <c r="F478" s="572"/>
      <c r="G478" s="572"/>
      <c r="H478" s="539"/>
      <c r="I478" s="1"/>
      <c r="J478" s="1"/>
      <c r="L478" s="1"/>
      <c r="M478" s="1"/>
    </row>
    <row r="479" spans="3:13" hidden="1" x14ac:dyDescent="0.3">
      <c r="C479" s="578" t="s">
        <v>173</v>
      </c>
      <c r="D479" s="579"/>
      <c r="E479" s="572"/>
      <c r="F479" s="572"/>
      <c r="G479" s="572"/>
      <c r="H479" s="539"/>
      <c r="I479" s="1"/>
      <c r="J479" s="1"/>
      <c r="L479" s="1"/>
      <c r="M479" s="1"/>
    </row>
    <row r="480" spans="3:13" hidden="1" x14ac:dyDescent="0.3">
      <c r="C480" s="578" t="s">
        <v>173</v>
      </c>
      <c r="D480" s="579"/>
      <c r="E480" s="572"/>
      <c r="F480" s="572"/>
      <c r="G480" s="572"/>
      <c r="H480" s="539"/>
      <c r="I480" s="1"/>
      <c r="J480" s="1"/>
      <c r="L480" s="1"/>
      <c r="M480" s="1"/>
    </row>
    <row r="481" spans="3:13" hidden="1" x14ac:dyDescent="0.3">
      <c r="C481" s="578" t="s">
        <v>173</v>
      </c>
      <c r="D481" s="579"/>
      <c r="E481" s="572"/>
      <c r="F481" s="572"/>
      <c r="G481" s="572"/>
      <c r="H481" s="539"/>
      <c r="I481" s="1"/>
      <c r="J481" s="1"/>
      <c r="L481" s="1"/>
      <c r="M481" s="1"/>
    </row>
    <row r="482" spans="3:13" hidden="1" x14ac:dyDescent="0.3">
      <c r="C482" s="37" t="s">
        <v>597</v>
      </c>
      <c r="D482" s="72"/>
      <c r="E482" s="508">
        <f>SUM(E472:E481)</f>
        <v>0</v>
      </c>
      <c r="F482" s="508">
        <f>SUM(F472:F481)</f>
        <v>0</v>
      </c>
      <c r="G482" s="508">
        <f>SUM(G472:G481)</f>
        <v>0</v>
      </c>
      <c r="H482" s="508">
        <f>SUM(H472:H481)</f>
        <v>0</v>
      </c>
      <c r="I482" s="1"/>
      <c r="J482" s="1"/>
      <c r="L482" s="1"/>
      <c r="M482" s="1"/>
    </row>
    <row r="483" spans="3:13" hidden="1" x14ac:dyDescent="0.3">
      <c r="C483" s="37"/>
      <c r="D483" s="72"/>
      <c r="E483" s="48"/>
      <c r="F483" s="48"/>
      <c r="G483" s="48"/>
      <c r="H483" s="134"/>
      <c r="I483" s="1"/>
      <c r="J483" s="1"/>
      <c r="L483" s="1"/>
      <c r="M483" s="1"/>
    </row>
    <row r="484" spans="3:13" hidden="1" x14ac:dyDescent="0.3">
      <c r="C484" s="584" t="s">
        <v>170</v>
      </c>
      <c r="D484" s="579"/>
      <c r="E484" s="572"/>
      <c r="F484" s="572"/>
      <c r="G484" s="572"/>
      <c r="H484" s="539"/>
      <c r="I484" s="1"/>
      <c r="J484" s="1"/>
      <c r="L484" s="1"/>
      <c r="M484" s="1"/>
    </row>
    <row r="485" spans="3:13" hidden="1" x14ac:dyDescent="0.3">
      <c r="C485" s="584" t="s">
        <v>170</v>
      </c>
      <c r="D485" s="579"/>
      <c r="E485" s="572"/>
      <c r="F485" s="572"/>
      <c r="G485" s="572"/>
      <c r="H485" s="539"/>
      <c r="I485" s="1"/>
      <c r="J485" s="1"/>
      <c r="L485" s="1"/>
      <c r="M485" s="1"/>
    </row>
    <row r="486" spans="3:13" hidden="1" x14ac:dyDescent="0.3">
      <c r="C486" s="584" t="s">
        <v>170</v>
      </c>
      <c r="D486" s="579"/>
      <c r="E486" s="572"/>
      <c r="F486" s="572"/>
      <c r="G486" s="572"/>
      <c r="H486" s="539"/>
      <c r="I486" s="1"/>
      <c r="J486" s="1"/>
      <c r="L486" s="1"/>
      <c r="M486" s="1"/>
    </row>
    <row r="487" spans="3:13" hidden="1" x14ac:dyDescent="0.3">
      <c r="C487" s="584" t="s">
        <v>170</v>
      </c>
      <c r="D487" s="579"/>
      <c r="E487" s="572"/>
      <c r="F487" s="572"/>
      <c r="G487" s="572"/>
      <c r="H487" s="539"/>
      <c r="I487" s="1"/>
      <c r="J487" s="1"/>
      <c r="L487" s="1"/>
      <c r="M487" s="1"/>
    </row>
    <row r="488" spans="3:13" hidden="1" x14ac:dyDescent="0.3">
      <c r="C488" s="584" t="s">
        <v>170</v>
      </c>
      <c r="D488" s="579"/>
      <c r="E488" s="572"/>
      <c r="F488" s="572"/>
      <c r="G488" s="572"/>
      <c r="H488" s="539"/>
      <c r="I488" s="1"/>
      <c r="J488" s="1"/>
      <c r="L488" s="1"/>
      <c r="M488" s="1"/>
    </row>
    <row r="489" spans="3:13" hidden="1" x14ac:dyDescent="0.3">
      <c r="C489" s="584" t="s">
        <v>170</v>
      </c>
      <c r="D489" s="579"/>
      <c r="E489" s="572"/>
      <c r="F489" s="572"/>
      <c r="G489" s="572"/>
      <c r="H489" s="539"/>
      <c r="I489" s="1"/>
      <c r="J489" s="1"/>
      <c r="L489" s="1"/>
      <c r="M489" s="1"/>
    </row>
    <row r="490" spans="3:13" hidden="1" x14ac:dyDescent="0.3">
      <c r="C490" s="250" t="s">
        <v>801</v>
      </c>
      <c r="D490" s="74"/>
      <c r="E490" s="575">
        <f>SUM(E484:E489)</f>
        <v>0</v>
      </c>
      <c r="F490" s="575">
        <f>SUM(F484:F489)</f>
        <v>0</v>
      </c>
      <c r="G490" s="575">
        <f>SUM(G484:G489)</f>
        <v>0</v>
      </c>
      <c r="H490" s="575">
        <f>SUM(H484:H489)</f>
        <v>0</v>
      </c>
      <c r="I490" s="1"/>
      <c r="J490" s="1"/>
      <c r="L490" s="1"/>
      <c r="M490" s="1"/>
    </row>
    <row r="491" spans="3:13" hidden="1" x14ac:dyDescent="0.3">
      <c r="C491" s="1"/>
      <c r="D491" s="1"/>
      <c r="E491" s="1"/>
      <c r="F491" s="1"/>
      <c r="G491" s="1"/>
      <c r="H491" s="1"/>
      <c r="I491" s="1"/>
      <c r="J491" s="1"/>
      <c r="L491" s="1"/>
      <c r="M491" s="1"/>
    </row>
    <row r="492" spans="3:13" hidden="1" x14ac:dyDescent="0.3">
      <c r="C492" s="1" t="str">
        <f>Liabilities!C550</f>
        <v xml:space="preserve">(i) Details of borrowings guaranteed by some of the directors or others: </v>
      </c>
      <c r="D492" s="1"/>
      <c r="E492" s="1"/>
      <c r="F492" s="1"/>
      <c r="G492" s="1"/>
      <c r="H492" s="1"/>
      <c r="I492" s="1"/>
      <c r="J492" s="1"/>
      <c r="L492" s="1"/>
      <c r="M492" s="1"/>
    </row>
    <row r="493" spans="3:13" hidden="1" x14ac:dyDescent="0.3">
      <c r="C493" s="1"/>
      <c r="D493" s="1"/>
      <c r="E493" s="1"/>
      <c r="F493" s="1"/>
      <c r="G493" s="1"/>
      <c r="H493" s="1"/>
      <c r="I493" s="1"/>
      <c r="J493" s="1"/>
      <c r="L493" s="1"/>
      <c r="M493" s="1"/>
    </row>
    <row r="494" spans="3:13" ht="30" hidden="1" x14ac:dyDescent="0.3">
      <c r="C494" s="2830" t="s">
        <v>20</v>
      </c>
      <c r="D494" s="2831"/>
      <c r="E494" s="174" t="str">
        <f>BSCY</f>
        <v>As At 31st March 2025</v>
      </c>
      <c r="F494" s="174" t="str">
        <f>BSPY</f>
        <v>As At 31st March 2024</v>
      </c>
      <c r="G494" s="1"/>
      <c r="H494" s="1"/>
      <c r="I494" s="1"/>
      <c r="J494" s="1"/>
      <c r="L494" s="1"/>
      <c r="M494" s="1"/>
    </row>
    <row r="495" spans="3:13" hidden="1" x14ac:dyDescent="0.3">
      <c r="C495" s="585" t="s">
        <v>174</v>
      </c>
      <c r="D495" s="586"/>
      <c r="E495" s="587"/>
      <c r="F495" s="584"/>
      <c r="G495" s="1"/>
      <c r="H495" s="1"/>
      <c r="I495" s="1"/>
      <c r="J495" s="1"/>
      <c r="L495" s="1"/>
      <c r="M495" s="1"/>
    </row>
    <row r="496" spans="3:13" hidden="1" x14ac:dyDescent="0.3">
      <c r="C496" s="588" t="s">
        <v>175</v>
      </c>
      <c r="D496" s="589"/>
      <c r="E496" s="587"/>
      <c r="F496" s="584"/>
      <c r="G496" s="1"/>
      <c r="H496" s="1"/>
      <c r="I496" s="1"/>
      <c r="J496" s="1"/>
      <c r="L496" s="1"/>
      <c r="M496" s="1"/>
    </row>
    <row r="497" spans="3:13" hidden="1" x14ac:dyDescent="0.3">
      <c r="C497" s="590" t="s">
        <v>176</v>
      </c>
      <c r="D497" s="587"/>
      <c r="E497" s="587"/>
      <c r="F497" s="584"/>
      <c r="G497" s="1"/>
      <c r="H497" s="1"/>
      <c r="I497" s="1"/>
      <c r="J497" s="1"/>
      <c r="L497" s="1"/>
      <c r="M497" s="1"/>
    </row>
    <row r="498" spans="3:13" hidden="1" x14ac:dyDescent="0.3">
      <c r="C498" s="590" t="s">
        <v>800</v>
      </c>
      <c r="D498" s="587"/>
      <c r="E498" s="587"/>
      <c r="F498" s="584"/>
      <c r="G498" s="1"/>
      <c r="H498" s="1"/>
      <c r="I498" s="1"/>
      <c r="J498" s="1"/>
      <c r="L498" s="1"/>
      <c r="M498" s="1"/>
    </row>
    <row r="499" spans="3:13" hidden="1" x14ac:dyDescent="0.3">
      <c r="C499" s="590"/>
      <c r="D499" s="587"/>
      <c r="E499" s="587"/>
      <c r="F499" s="587"/>
      <c r="G499" s="1"/>
      <c r="H499" s="1"/>
      <c r="I499" s="1"/>
      <c r="J499" s="1"/>
      <c r="L499" s="1"/>
      <c r="M499" s="1"/>
    </row>
    <row r="500" spans="3:13" hidden="1" x14ac:dyDescent="0.3">
      <c r="C500" s="590"/>
      <c r="D500" s="587"/>
      <c r="E500" s="587"/>
      <c r="F500" s="587"/>
      <c r="G500" s="1"/>
      <c r="H500" s="1"/>
      <c r="I500" s="1"/>
      <c r="J500" s="1"/>
      <c r="L500" s="1"/>
      <c r="M500" s="1"/>
    </row>
    <row r="501" spans="3:13" hidden="1" x14ac:dyDescent="0.3">
      <c r="C501" s="590"/>
      <c r="D501" s="587"/>
      <c r="E501" s="587"/>
      <c r="F501" s="587"/>
      <c r="G501" s="1"/>
      <c r="H501" s="1"/>
      <c r="I501" s="1"/>
      <c r="J501" s="1"/>
      <c r="L501" s="1"/>
      <c r="M501" s="1"/>
    </row>
    <row r="502" spans="3:13" hidden="1" x14ac:dyDescent="0.3">
      <c r="C502" s="590"/>
      <c r="D502" s="587"/>
      <c r="E502" s="587"/>
      <c r="F502" s="587"/>
      <c r="G502" s="1"/>
      <c r="H502" s="1"/>
      <c r="I502" s="1"/>
      <c r="J502" s="1"/>
      <c r="L502" s="1"/>
      <c r="M502" s="1"/>
    </row>
    <row r="503" spans="3:13" hidden="1" x14ac:dyDescent="0.3">
      <c r="C503" s="590"/>
      <c r="D503" s="587"/>
      <c r="E503" s="587"/>
      <c r="F503" s="587"/>
      <c r="G503" s="1"/>
      <c r="H503" s="1"/>
      <c r="I503" s="1"/>
      <c r="J503" s="1"/>
      <c r="L503" s="1"/>
      <c r="M503" s="1"/>
    </row>
    <row r="504" spans="3:13" hidden="1" x14ac:dyDescent="0.3">
      <c r="C504" s="590"/>
      <c r="D504" s="587"/>
      <c r="E504" s="587"/>
      <c r="F504" s="587"/>
      <c r="G504" s="1"/>
      <c r="H504" s="1"/>
      <c r="I504" s="1"/>
      <c r="J504" s="1"/>
      <c r="L504" s="1"/>
      <c r="M504" s="1"/>
    </row>
    <row r="505" spans="3:13" hidden="1" x14ac:dyDescent="0.3">
      <c r="C505" s="590"/>
      <c r="D505" s="587"/>
      <c r="E505" s="587"/>
      <c r="F505" s="587"/>
      <c r="G505" s="1"/>
      <c r="H505" s="1"/>
      <c r="I505" s="1"/>
      <c r="J505" s="1"/>
      <c r="L505" s="1"/>
      <c r="M505" s="1"/>
    </row>
    <row r="506" spans="3:13" hidden="1" x14ac:dyDescent="0.3">
      <c r="C506" s="590"/>
      <c r="D506" s="587"/>
      <c r="E506" s="587"/>
      <c r="F506" s="587"/>
      <c r="G506" s="1"/>
      <c r="H506" s="1"/>
      <c r="I506" s="1"/>
      <c r="J506" s="1"/>
      <c r="L506" s="1"/>
      <c r="M506" s="1"/>
    </row>
    <row r="507" spans="3:13" hidden="1" x14ac:dyDescent="0.3">
      <c r="C507" s="248" t="s">
        <v>35</v>
      </c>
      <c r="D507" s="244"/>
      <c r="E507" s="304">
        <f>SUM(E495:E498)</f>
        <v>0</v>
      </c>
      <c r="F507" s="516">
        <f>SUM(F495:F498)</f>
        <v>0</v>
      </c>
      <c r="G507" s="1"/>
      <c r="H507" s="1"/>
      <c r="I507" s="1"/>
      <c r="J507" s="1"/>
      <c r="L507" s="1"/>
      <c r="M507" s="1"/>
    </row>
    <row r="508" spans="3:13" hidden="1" x14ac:dyDescent="0.3">
      <c r="C508" s="1"/>
      <c r="D508" s="1"/>
      <c r="E508" s="1"/>
      <c r="F508" s="1"/>
      <c r="G508" s="1"/>
      <c r="H508" s="1"/>
      <c r="I508" s="1"/>
      <c r="J508" s="1"/>
      <c r="L508" s="1"/>
      <c r="M508" s="1"/>
    </row>
    <row r="509" spans="3:13" hidden="1" x14ac:dyDescent="0.3">
      <c r="C509" s="1" t="str">
        <f>Liabilities!C566</f>
        <v>(i) The Company has defaulted in repayment of loans and interest in respect of the following:</v>
      </c>
      <c r="D509" s="1"/>
      <c r="E509" s="1"/>
      <c r="F509" s="1"/>
      <c r="G509" s="1"/>
      <c r="H509" s="1"/>
      <c r="I509" s="1"/>
      <c r="J509" s="1"/>
      <c r="L509" s="1"/>
      <c r="M509" s="1"/>
    </row>
    <row r="510" spans="3:13" hidden="1" x14ac:dyDescent="0.3">
      <c r="C510" s="1"/>
      <c r="D510" s="1"/>
      <c r="E510" s="1"/>
      <c r="F510" s="1"/>
      <c r="G510" s="1"/>
      <c r="H510" s="1"/>
      <c r="I510" s="1"/>
      <c r="J510" s="1"/>
      <c r="L510" s="1"/>
      <c r="M510" s="1"/>
    </row>
    <row r="511" spans="3:13" ht="14.45" hidden="1" customHeight="1" x14ac:dyDescent="0.3">
      <c r="C511" s="3199" t="s">
        <v>20</v>
      </c>
      <c r="D511" s="3201" t="s">
        <v>177</v>
      </c>
      <c r="E511" s="3203" t="str">
        <f>BSCY</f>
        <v>As At 31st March 2025</v>
      </c>
      <c r="F511" s="2961"/>
      <c r="G511" s="3204" t="str">
        <f>BSPY</f>
        <v>As At 31st March 2024</v>
      </c>
      <c r="H511" s="2961"/>
      <c r="I511" s="1"/>
      <c r="J511" s="1"/>
      <c r="L511" s="1"/>
      <c r="M511" s="1"/>
    </row>
    <row r="512" spans="3:13" hidden="1" x14ac:dyDescent="0.3">
      <c r="C512" s="3200"/>
      <c r="D512" s="3202"/>
      <c r="E512" s="236" t="s">
        <v>825</v>
      </c>
      <c r="F512" s="236" t="s">
        <v>826</v>
      </c>
      <c r="G512" s="236" t="s">
        <v>825</v>
      </c>
      <c r="H512" s="236" t="s">
        <v>826</v>
      </c>
      <c r="I512" s="1"/>
      <c r="J512" s="1"/>
      <c r="L512" s="1"/>
      <c r="M512" s="1"/>
    </row>
    <row r="513" spans="3:13" hidden="1" x14ac:dyDescent="0.3">
      <c r="C513" s="596" t="s">
        <v>827</v>
      </c>
      <c r="D513" s="594"/>
      <c r="E513" s="591"/>
      <c r="F513" s="591"/>
      <c r="G513" s="591"/>
      <c r="H513" s="591"/>
      <c r="I513" s="1"/>
      <c r="J513" s="1"/>
      <c r="L513" s="1"/>
      <c r="M513" s="1"/>
    </row>
    <row r="514" spans="3:13" hidden="1" x14ac:dyDescent="0.3">
      <c r="C514" s="230" t="s">
        <v>178</v>
      </c>
      <c r="D514" s="587"/>
      <c r="E514" s="584"/>
      <c r="F514" s="584"/>
      <c r="G514" s="584"/>
      <c r="H514" s="584"/>
      <c r="I514" s="1"/>
      <c r="J514" s="1"/>
      <c r="L514" s="1"/>
      <c r="M514" s="1"/>
    </row>
    <row r="515" spans="3:13" hidden="1" x14ac:dyDescent="0.3">
      <c r="C515" s="230" t="s">
        <v>179</v>
      </c>
      <c r="D515" s="587"/>
      <c r="E515" s="592"/>
      <c r="F515" s="592"/>
      <c r="G515" s="592"/>
      <c r="H515" s="592"/>
      <c r="I515" s="1"/>
      <c r="J515" s="1"/>
      <c r="L515" s="1"/>
      <c r="M515" s="1"/>
    </row>
    <row r="516" spans="3:13" hidden="1" x14ac:dyDescent="0.3">
      <c r="C516" s="230"/>
      <c r="D516" s="587"/>
      <c r="E516" s="576">
        <f>SUM(E514:E515)</f>
        <v>0</v>
      </c>
      <c r="F516" s="576">
        <f>SUM(F514:F515)</f>
        <v>0</v>
      </c>
      <c r="G516" s="576">
        <f>SUM(G514:G515)</f>
        <v>0</v>
      </c>
      <c r="H516" s="576">
        <f>SUM(H514:H515)</f>
        <v>0</v>
      </c>
      <c r="I516" s="1"/>
      <c r="J516" s="1"/>
      <c r="L516" s="1"/>
      <c r="M516" s="1"/>
    </row>
    <row r="517" spans="3:13" hidden="1" x14ac:dyDescent="0.3">
      <c r="C517" s="584" t="s">
        <v>802</v>
      </c>
      <c r="D517" s="583"/>
      <c r="E517" s="48"/>
      <c r="F517" s="48"/>
      <c r="G517" s="48"/>
      <c r="H517" s="48"/>
      <c r="I517" s="1"/>
      <c r="J517" s="1"/>
      <c r="L517" s="1"/>
      <c r="M517" s="1"/>
    </row>
    <row r="518" spans="3:13" hidden="1" x14ac:dyDescent="0.3">
      <c r="C518" s="230" t="s">
        <v>178</v>
      </c>
      <c r="D518" s="583"/>
      <c r="E518" s="572"/>
      <c r="F518" s="572"/>
      <c r="G518" s="572"/>
      <c r="H518" s="572"/>
      <c r="I518" s="1"/>
      <c r="J518" s="1"/>
      <c r="L518" s="1"/>
      <c r="M518" s="1"/>
    </row>
    <row r="519" spans="3:13" hidden="1" x14ac:dyDescent="0.3">
      <c r="C519" s="230" t="s">
        <v>179</v>
      </c>
      <c r="D519" s="583"/>
      <c r="E519" s="592"/>
      <c r="F519" s="592"/>
      <c r="G519" s="592"/>
      <c r="H519" s="592"/>
      <c r="I519" s="1"/>
      <c r="J519" s="1"/>
      <c r="L519" s="1"/>
      <c r="M519" s="1"/>
    </row>
    <row r="520" spans="3:13" hidden="1" x14ac:dyDescent="0.3">
      <c r="C520" s="230"/>
      <c r="D520" s="583"/>
      <c r="E520" s="576">
        <f>SUM(E518:E519)</f>
        <v>0</v>
      </c>
      <c r="F520" s="576">
        <f>SUM(F518:F519)</f>
        <v>0</v>
      </c>
      <c r="G520" s="576">
        <f>SUM(G518:G519)</f>
        <v>0</v>
      </c>
      <c r="H520" s="576">
        <f>SUM(H518:H519)</f>
        <v>0</v>
      </c>
      <c r="I520" s="1"/>
      <c r="J520" s="1"/>
      <c r="L520" s="1"/>
      <c r="M520" s="1"/>
    </row>
    <row r="521" spans="3:13" hidden="1" x14ac:dyDescent="0.3">
      <c r="C521" s="584" t="s">
        <v>802</v>
      </c>
      <c r="D521" s="583"/>
      <c r="E521" s="48"/>
      <c r="F521" s="48"/>
      <c r="G521" s="48"/>
      <c r="H521" s="48"/>
      <c r="I521" s="1"/>
      <c r="J521" s="1"/>
      <c r="L521" s="1"/>
      <c r="M521" s="1"/>
    </row>
    <row r="522" spans="3:13" hidden="1" x14ac:dyDescent="0.3">
      <c r="C522" s="230" t="s">
        <v>178</v>
      </c>
      <c r="D522" s="583"/>
      <c r="E522" s="572"/>
      <c r="F522" s="572"/>
      <c r="G522" s="572"/>
      <c r="H522" s="572"/>
      <c r="I522" s="1"/>
      <c r="J522" s="1"/>
      <c r="L522" s="1"/>
      <c r="M522" s="1"/>
    </row>
    <row r="523" spans="3:13" hidden="1" x14ac:dyDescent="0.3">
      <c r="C523" s="230" t="s">
        <v>179</v>
      </c>
      <c r="D523" s="583"/>
      <c r="E523" s="592"/>
      <c r="F523" s="592"/>
      <c r="G523" s="592"/>
      <c r="H523" s="592"/>
      <c r="I523" s="1"/>
      <c r="J523" s="1"/>
      <c r="L523" s="1"/>
      <c r="M523" s="1"/>
    </row>
    <row r="524" spans="3:13" hidden="1" x14ac:dyDescent="0.3">
      <c r="C524" s="230"/>
      <c r="D524" s="583"/>
      <c r="E524" s="576">
        <f>SUM(E522:E523)</f>
        <v>0</v>
      </c>
      <c r="F524" s="576">
        <f>SUM(F522:F523)</f>
        <v>0</v>
      </c>
      <c r="G524" s="576">
        <f>SUM(G522:G523)</f>
        <v>0</v>
      </c>
      <c r="H524" s="576">
        <f>SUM(H522:H523)</f>
        <v>0</v>
      </c>
      <c r="I524" s="1"/>
      <c r="J524" s="1"/>
      <c r="L524" s="1"/>
      <c r="M524" s="1"/>
    </row>
    <row r="525" spans="3:13" hidden="1" x14ac:dyDescent="0.3">
      <c r="C525" s="584" t="s">
        <v>802</v>
      </c>
      <c r="D525" s="583"/>
      <c r="E525" s="48"/>
      <c r="F525" s="48"/>
      <c r="G525" s="48"/>
      <c r="H525" s="48"/>
      <c r="I525" s="1"/>
      <c r="J525" s="1"/>
      <c r="L525" s="1"/>
      <c r="M525" s="1"/>
    </row>
    <row r="526" spans="3:13" hidden="1" x14ac:dyDescent="0.3">
      <c r="C526" s="230" t="s">
        <v>178</v>
      </c>
      <c r="D526" s="583"/>
      <c r="E526" s="572"/>
      <c r="F526" s="572"/>
      <c r="G526" s="572"/>
      <c r="H526" s="572"/>
      <c r="I526" s="1"/>
      <c r="J526" s="1"/>
      <c r="L526" s="1"/>
      <c r="M526" s="1"/>
    </row>
    <row r="527" spans="3:13" hidden="1" x14ac:dyDescent="0.3">
      <c r="C527" s="230" t="s">
        <v>179</v>
      </c>
      <c r="D527" s="583"/>
      <c r="E527" s="592"/>
      <c r="F527" s="592"/>
      <c r="G527" s="592"/>
      <c r="H527" s="592"/>
      <c r="I527" s="1"/>
      <c r="J527" s="1"/>
      <c r="L527" s="1"/>
      <c r="M527" s="1"/>
    </row>
    <row r="528" spans="3:13" hidden="1" x14ac:dyDescent="0.3">
      <c r="C528" s="230"/>
      <c r="D528" s="583"/>
      <c r="E528" s="576">
        <f>SUM(E526:E527)</f>
        <v>0</v>
      </c>
      <c r="F528" s="576">
        <f>SUM(F526:F527)</f>
        <v>0</v>
      </c>
      <c r="G528" s="576">
        <f>SUM(G526:G527)</f>
        <v>0</v>
      </c>
      <c r="H528" s="576">
        <f>SUM(H526:H527)</f>
        <v>0</v>
      </c>
      <c r="I528" s="1"/>
      <c r="J528" s="1"/>
      <c r="L528" s="1"/>
      <c r="M528" s="1"/>
    </row>
    <row r="529" spans="3:13" hidden="1" x14ac:dyDescent="0.3">
      <c r="C529" s="584" t="s">
        <v>802</v>
      </c>
      <c r="D529" s="583"/>
      <c r="E529" s="48"/>
      <c r="F529" s="48"/>
      <c r="G529" s="48"/>
      <c r="H529" s="48"/>
      <c r="I529" s="1"/>
      <c r="J529" s="1"/>
      <c r="L529" s="1"/>
      <c r="M529" s="1"/>
    </row>
    <row r="530" spans="3:13" hidden="1" x14ac:dyDescent="0.3">
      <c r="C530" s="230" t="s">
        <v>178</v>
      </c>
      <c r="D530" s="583"/>
      <c r="E530" s="572"/>
      <c r="F530" s="572"/>
      <c r="G530" s="572"/>
      <c r="H530" s="572"/>
      <c r="I530" s="1"/>
      <c r="J530" s="1"/>
      <c r="L530" s="1"/>
      <c r="M530" s="1"/>
    </row>
    <row r="531" spans="3:13" hidden="1" x14ac:dyDescent="0.3">
      <c r="C531" s="230" t="s">
        <v>179</v>
      </c>
      <c r="D531" s="583"/>
      <c r="E531" s="592"/>
      <c r="F531" s="592"/>
      <c r="G531" s="592"/>
      <c r="H531" s="592"/>
      <c r="I531" s="1"/>
      <c r="J531" s="1"/>
      <c r="L531" s="1"/>
      <c r="M531" s="1"/>
    </row>
    <row r="532" spans="3:13" hidden="1" x14ac:dyDescent="0.3">
      <c r="C532" s="230"/>
      <c r="D532" s="583"/>
      <c r="E532" s="576">
        <f>SUM(E530:E531)</f>
        <v>0</v>
      </c>
      <c r="F532" s="576">
        <f>SUM(F530:F531)</f>
        <v>0</v>
      </c>
      <c r="G532" s="576">
        <f>SUM(G530:G531)</f>
        <v>0</v>
      </c>
      <c r="H532" s="576">
        <f>SUM(H530:H531)</f>
        <v>0</v>
      </c>
      <c r="I532" s="1"/>
      <c r="J532" s="1"/>
      <c r="L532" s="1"/>
      <c r="M532" s="1"/>
    </row>
    <row r="533" spans="3:13" hidden="1" x14ac:dyDescent="0.3">
      <c r="C533" s="464" t="s">
        <v>35</v>
      </c>
      <c r="D533" s="595"/>
      <c r="E533" s="509">
        <f>+E532+E528+E524+E520+E516</f>
        <v>0</v>
      </c>
      <c r="F533" s="509">
        <f>+F532+F528+F524+F520+F516</f>
        <v>0</v>
      </c>
      <c r="G533" s="509">
        <f>+G532+G528+G524+G520+G516</f>
        <v>0</v>
      </c>
      <c r="H533" s="509">
        <f>+H532+H528+H524+H520+H516</f>
        <v>0</v>
      </c>
      <c r="I533" s="1"/>
      <c r="J533" s="1"/>
      <c r="L533" s="1"/>
      <c r="M533" s="1"/>
    </row>
    <row r="534" spans="3:13" hidden="1" x14ac:dyDescent="0.3">
      <c r="C534" s="565"/>
      <c r="D534" s="81"/>
      <c r="E534" s="81"/>
      <c r="F534" s="81"/>
      <c r="G534" s="81"/>
      <c r="H534" s="81"/>
      <c r="I534" s="1"/>
      <c r="J534" s="1"/>
      <c r="L534" s="1"/>
      <c r="M534" s="1"/>
    </row>
    <row r="535" spans="3:13" x14ac:dyDescent="0.3">
      <c r="C535" s="565"/>
      <c r="D535" s="81"/>
      <c r="E535" s="81"/>
      <c r="F535" s="81"/>
      <c r="G535" s="81"/>
      <c r="H535" s="81"/>
      <c r="I535" s="1"/>
      <c r="J535" s="1"/>
      <c r="L535" s="1"/>
      <c r="M535" s="1"/>
    </row>
    <row r="536" spans="3:13" x14ac:dyDescent="0.3">
      <c r="C536" s="4" t="str">
        <f>+'Notes To P&amp;L'!C11</f>
        <v>Note 15 - Revenue from operations</v>
      </c>
      <c r="D536" s="1"/>
      <c r="E536" s="1"/>
      <c r="F536" s="1"/>
      <c r="G536" s="1"/>
      <c r="H536" s="1"/>
      <c r="I536" s="1"/>
      <c r="J536" s="1"/>
      <c r="L536" s="1"/>
      <c r="M536" s="1"/>
    </row>
    <row r="537" spans="3:13" x14ac:dyDescent="0.3">
      <c r="C537" s="1"/>
      <c r="D537" s="1"/>
      <c r="E537" s="1"/>
      <c r="F537" s="1"/>
      <c r="G537" s="1"/>
      <c r="H537" s="1"/>
      <c r="I537" s="1"/>
      <c r="J537" s="1"/>
      <c r="L537" s="1"/>
      <c r="M537" s="1"/>
    </row>
    <row r="538" spans="3:13" ht="30" x14ac:dyDescent="0.3">
      <c r="C538" s="2870" t="s">
        <v>20</v>
      </c>
      <c r="D538" s="2871"/>
      <c r="E538" s="1935" t="s">
        <v>3285</v>
      </c>
      <c r="F538" s="1936" t="s">
        <v>3286</v>
      </c>
      <c r="G538" s="1"/>
      <c r="H538" s="1"/>
      <c r="I538" s="1"/>
      <c r="J538" s="1"/>
      <c r="L538" s="1"/>
      <c r="M538" s="1"/>
    </row>
    <row r="539" spans="3:13" x14ac:dyDescent="0.3">
      <c r="C539" s="609" t="s">
        <v>787</v>
      </c>
      <c r="D539" s="362"/>
      <c r="E539" s="1232"/>
      <c r="F539" s="1251"/>
      <c r="G539" s="1"/>
      <c r="H539" s="1" t="s">
        <v>1003</v>
      </c>
      <c r="I539" s="1"/>
      <c r="J539" s="1"/>
      <c r="L539" s="1"/>
      <c r="M539" s="1"/>
    </row>
    <row r="540" spans="3:13" hidden="1" x14ac:dyDescent="0.3">
      <c r="C540" s="1233" t="s">
        <v>204</v>
      </c>
      <c r="D540" s="1234"/>
      <c r="E540" s="227"/>
      <c r="F540" s="1252"/>
      <c r="G540" s="1"/>
      <c r="H540" s="1"/>
      <c r="I540" s="1"/>
      <c r="J540" s="1"/>
      <c r="L540" s="1"/>
      <c r="M540" s="1"/>
    </row>
    <row r="541" spans="3:13" hidden="1" x14ac:dyDescent="0.3">
      <c r="C541" s="1235" t="s">
        <v>205</v>
      </c>
      <c r="D541" s="1236"/>
      <c r="E541" s="1775">
        <v>0</v>
      </c>
      <c r="F541" s="1252">
        <v>0</v>
      </c>
      <c r="G541" s="1"/>
      <c r="H541" s="1"/>
      <c r="I541" s="1"/>
      <c r="J541" s="1"/>
      <c r="L541" s="1"/>
      <c r="M541" s="1"/>
    </row>
    <row r="542" spans="3:13" hidden="1" x14ac:dyDescent="0.3">
      <c r="C542" s="1235" t="s">
        <v>206</v>
      </c>
      <c r="D542" s="1236"/>
      <c r="E542" s="1775">
        <v>0</v>
      </c>
      <c r="F542" s="1252">
        <v>0</v>
      </c>
      <c r="G542" s="1"/>
      <c r="H542" s="1"/>
      <c r="I542" s="1"/>
      <c r="J542" s="1"/>
      <c r="L542" s="1"/>
      <c r="M542" s="1"/>
    </row>
    <row r="543" spans="3:13" hidden="1" x14ac:dyDescent="0.3">
      <c r="C543" s="1235" t="s">
        <v>207</v>
      </c>
      <c r="D543" s="1236"/>
      <c r="E543" s="1775">
        <v>0</v>
      </c>
      <c r="F543" s="1252">
        <v>0</v>
      </c>
      <c r="G543" s="1"/>
      <c r="H543" s="1"/>
      <c r="I543" s="1"/>
      <c r="J543" s="1"/>
      <c r="L543" s="1"/>
      <c r="M543" s="1"/>
    </row>
    <row r="544" spans="3:13" hidden="1" x14ac:dyDescent="0.3">
      <c r="C544" s="1235" t="s">
        <v>208</v>
      </c>
      <c r="D544" s="1236"/>
      <c r="E544" s="1775">
        <v>0</v>
      </c>
      <c r="F544" s="1252">
        <v>0</v>
      </c>
      <c r="G544" s="1"/>
      <c r="H544" s="1"/>
      <c r="I544" s="1"/>
      <c r="J544" s="1"/>
      <c r="L544" s="1"/>
      <c r="M544" s="1"/>
    </row>
    <row r="545" spans="3:13" hidden="1" x14ac:dyDescent="0.3">
      <c r="C545" s="1235"/>
      <c r="D545" s="1236"/>
      <c r="E545" s="227"/>
      <c r="F545" s="1252"/>
      <c r="G545" s="1"/>
      <c r="H545" s="1"/>
      <c r="I545" s="1"/>
      <c r="J545" s="1"/>
      <c r="L545" s="1"/>
      <c r="M545" s="1"/>
    </row>
    <row r="546" spans="3:13" hidden="1" x14ac:dyDescent="0.3">
      <c r="C546" s="1235"/>
      <c r="D546" s="1236"/>
      <c r="E546" s="227"/>
      <c r="F546" s="1252"/>
      <c r="G546" s="1"/>
      <c r="H546" s="1"/>
      <c r="I546" s="1"/>
      <c r="J546" s="1"/>
      <c r="L546" s="1"/>
      <c r="M546" s="1"/>
    </row>
    <row r="547" spans="3:13" hidden="1" x14ac:dyDescent="0.3">
      <c r="C547" s="1235"/>
      <c r="D547" s="1236"/>
      <c r="E547" s="227"/>
      <c r="F547" s="1252"/>
      <c r="G547" s="1"/>
      <c r="H547" s="1"/>
      <c r="I547" s="1"/>
      <c r="J547" s="1"/>
      <c r="L547" s="1"/>
      <c r="M547" s="1"/>
    </row>
    <row r="548" spans="3:13" hidden="1" x14ac:dyDescent="0.3">
      <c r="C548" s="1235"/>
      <c r="D548" s="1236"/>
      <c r="E548" s="227"/>
      <c r="F548" s="1252"/>
      <c r="G548" s="1"/>
      <c r="H548" s="1"/>
      <c r="I548" s="1"/>
      <c r="J548" s="1"/>
      <c r="L548" s="1"/>
      <c r="M548" s="1"/>
    </row>
    <row r="549" spans="3:13" hidden="1" x14ac:dyDescent="0.3">
      <c r="C549" s="2876" t="s">
        <v>209</v>
      </c>
      <c r="D549" s="2877"/>
      <c r="E549" s="1238">
        <v>0</v>
      </c>
      <c r="F549" s="1201">
        <v>0</v>
      </c>
      <c r="G549" s="1"/>
      <c r="H549" s="1"/>
      <c r="I549" s="1"/>
      <c r="J549" s="1"/>
      <c r="L549" s="1"/>
      <c r="M549" s="1"/>
    </row>
    <row r="550" spans="3:13" hidden="1" x14ac:dyDescent="0.3">
      <c r="C550" s="1233" t="s">
        <v>210</v>
      </c>
      <c r="D550" s="1234"/>
      <c r="E550" s="227"/>
      <c r="F550" s="1252">
        <v>0</v>
      </c>
      <c r="G550" s="1"/>
      <c r="I550" s="1"/>
      <c r="J550" s="1"/>
      <c r="L550" s="1"/>
      <c r="M550" s="1"/>
    </row>
    <row r="551" spans="3:13" x14ac:dyDescent="0.3">
      <c r="C551" s="1235" t="s">
        <v>3182</v>
      </c>
      <c r="D551" s="1236"/>
      <c r="E551" s="1775">
        <f>-SUMIF('TB Grouping'!H:H,'Qualitative Disclosures'!$H$539,'TB Grouping'!F:F)/100-SUMIF('TB Grouping'!H:H,'Qualitative Disclosures'!$H$564,'TB Grouping'!F:F)/100</f>
        <v>1877072.2483999997</v>
      </c>
      <c r="F551" s="1252">
        <f>-SUMIF('TB Grouping'!Q:Q,'Qualitative Disclosures'!$H$539,'TB Grouping'!O:O)/100-SUMIF('TB Grouping'!Q:Q,'Qualitative Disclosures'!$H$564,'TB Grouping'!O:O)/100</f>
        <v>1530037.7356999998</v>
      </c>
      <c r="G551" s="1"/>
      <c r="H551" s="1" t="s">
        <v>1004</v>
      </c>
      <c r="I551" s="1"/>
      <c r="J551" s="1"/>
      <c r="L551" s="1"/>
      <c r="M551" s="1"/>
    </row>
    <row r="552" spans="3:13" hidden="1" x14ac:dyDescent="0.3">
      <c r="C552" s="1235"/>
      <c r="D552" s="1236"/>
      <c r="E552" s="227"/>
      <c r="F552" s="1252">
        <v>0</v>
      </c>
      <c r="G552" s="1"/>
      <c r="H552" s="1" t="s">
        <v>749</v>
      </c>
      <c r="I552" s="1"/>
      <c r="J552" s="1"/>
      <c r="L552" s="1"/>
      <c r="M552" s="1"/>
    </row>
    <row r="553" spans="3:13" hidden="1" x14ac:dyDescent="0.3">
      <c r="C553" s="1235"/>
      <c r="D553" s="1236"/>
      <c r="E553" s="227"/>
      <c r="F553" s="1252">
        <v>0</v>
      </c>
      <c r="G553" s="1"/>
      <c r="H553" s="1"/>
      <c r="I553" s="1"/>
      <c r="J553" s="1"/>
      <c r="L553" s="1"/>
      <c r="M553" s="1"/>
    </row>
    <row r="554" spans="3:13" hidden="1" x14ac:dyDescent="0.3">
      <c r="C554" s="1235"/>
      <c r="D554" s="1236"/>
      <c r="E554" s="227"/>
      <c r="F554" s="1252">
        <v>0</v>
      </c>
      <c r="G554" s="1"/>
      <c r="H554" s="1"/>
      <c r="I554" s="1"/>
      <c r="J554" s="1"/>
      <c r="L554" s="1"/>
      <c r="M554" s="1"/>
    </row>
    <row r="555" spans="3:13" hidden="1" x14ac:dyDescent="0.3">
      <c r="C555" s="1235"/>
      <c r="D555" s="1236"/>
      <c r="E555" s="227"/>
      <c r="F555" s="1252"/>
      <c r="G555" s="1"/>
      <c r="H555" s="1"/>
      <c r="I555" s="1"/>
      <c r="J555" s="1"/>
      <c r="L555" s="1"/>
      <c r="M555" s="1"/>
    </row>
    <row r="556" spans="3:13" hidden="1" x14ac:dyDescent="0.3">
      <c r="C556" s="1235"/>
      <c r="D556" s="1236"/>
      <c r="E556" s="227"/>
      <c r="F556" s="1252"/>
      <c r="G556" s="1"/>
      <c r="H556" s="1"/>
      <c r="I556" s="1"/>
      <c r="J556" s="1"/>
      <c r="L556" s="1"/>
      <c r="M556" s="1"/>
    </row>
    <row r="557" spans="3:13" hidden="1" x14ac:dyDescent="0.3">
      <c r="C557" s="1235"/>
      <c r="D557" s="1236"/>
      <c r="E557" s="227"/>
      <c r="F557" s="1252"/>
      <c r="G557" s="1"/>
      <c r="H557" s="1"/>
      <c r="I557" s="1"/>
      <c r="J557" s="1"/>
      <c r="L557" s="1"/>
      <c r="M557" s="1"/>
    </row>
    <row r="558" spans="3:13" hidden="1" x14ac:dyDescent="0.3">
      <c r="C558" s="1235"/>
      <c r="D558" s="1236"/>
      <c r="E558" s="227"/>
      <c r="F558" s="1252"/>
      <c r="G558" s="1"/>
      <c r="H558" s="1"/>
      <c r="I558" s="1"/>
      <c r="J558" s="1"/>
      <c r="L558" s="1"/>
      <c r="M558" s="1"/>
    </row>
    <row r="559" spans="3:13" hidden="1" x14ac:dyDescent="0.3">
      <c r="C559" s="1235"/>
      <c r="D559" s="1236"/>
      <c r="E559" s="227"/>
      <c r="F559" s="1252"/>
      <c r="G559" s="1"/>
      <c r="H559" s="1"/>
      <c r="I559" s="1"/>
      <c r="J559" s="1"/>
      <c r="L559" s="1"/>
      <c r="M559" s="1"/>
    </row>
    <row r="560" spans="3:13" x14ac:dyDescent="0.3">
      <c r="C560" s="2876" t="s">
        <v>1628</v>
      </c>
      <c r="D560" s="2877"/>
      <c r="E560" s="1944">
        <f>+SUM(E551:E553)</f>
        <v>1877072.2483999997</v>
      </c>
      <c r="F560" s="1944">
        <f>+SUM(F551:F553)</f>
        <v>1530037.7356999998</v>
      </c>
      <c r="G560" s="1"/>
      <c r="H560" s="1" t="s">
        <v>749</v>
      </c>
      <c r="I560" s="1"/>
      <c r="J560" s="1"/>
      <c r="L560" s="1"/>
      <c r="M560" s="1"/>
    </row>
    <row r="561" spans="3:13" hidden="1" x14ac:dyDescent="0.3">
      <c r="C561" s="1237"/>
      <c r="D561" s="1239"/>
      <c r="E561" s="1240"/>
      <c r="F561" s="1253"/>
      <c r="G561" s="1"/>
      <c r="H561" s="1"/>
      <c r="I561" s="1"/>
      <c r="J561" s="1"/>
      <c r="L561" s="1"/>
      <c r="M561" s="1"/>
    </row>
    <row r="562" spans="3:13" hidden="1" x14ac:dyDescent="0.3">
      <c r="C562" s="2876" t="s">
        <v>209</v>
      </c>
      <c r="D562" s="2877"/>
      <c r="E562" s="1241">
        <v>0</v>
      </c>
      <c r="F562" s="1202">
        <v>0</v>
      </c>
      <c r="G562" s="1"/>
      <c r="H562" s="1"/>
      <c r="I562" s="1"/>
      <c r="J562" s="1"/>
      <c r="L562" s="1"/>
      <c r="M562" s="1"/>
    </row>
    <row r="563" spans="3:13" x14ac:dyDescent="0.3">
      <c r="C563" s="1224" t="s">
        <v>788</v>
      </c>
      <c r="D563" s="1225"/>
      <c r="E563" s="1242"/>
      <c r="F563" s="1254"/>
      <c r="G563" s="1"/>
      <c r="H563" s="1" t="s">
        <v>750</v>
      </c>
      <c r="I563" s="1"/>
      <c r="J563" s="1"/>
      <c r="L563" s="1"/>
      <c r="M563" s="1"/>
    </row>
    <row r="564" spans="3:13" x14ac:dyDescent="0.3">
      <c r="C564" s="1235" t="s">
        <v>3183</v>
      </c>
      <c r="D564" s="1236"/>
      <c r="E564" s="1775">
        <f>-SUMIF('TB Grouping'!H:H,'Qualitative Disclosures'!$H$551,'TB Grouping'!F:F)/100-SUMIF('TB Grouping'!H:H,'Qualitative Disclosures'!$H$560,'TB Grouping'!F:F)/100-SUMIF('TB Grouping'!H:H,'Qualitative Disclosures'!$H$563,'TB Grouping'!F:F)/100</f>
        <v>3309327.1046000002</v>
      </c>
      <c r="F564" s="1255">
        <f>-SUMIFS('TB Grouping'!O:O,'TB Grouping'!Q:Q,'Qualitative Disclosures'!$H$560)/100-SUMIFS('TB Grouping'!O:O,'TB Grouping'!Q:Q,'Qualitative Disclosures'!$H$563)/100-SUMIFS('TB Grouping'!O:O,'TB Grouping'!Q:Q,'Qualitative Disclosures'!$H$551)/100</f>
        <v>3249363.0963000003</v>
      </c>
      <c r="G564" s="1"/>
      <c r="H564" s="1" t="s">
        <v>1002</v>
      </c>
      <c r="I564" s="1"/>
      <c r="J564" s="1"/>
      <c r="L564" s="1"/>
      <c r="M564" s="1"/>
    </row>
    <row r="565" spans="3:13" hidden="1" x14ac:dyDescent="0.3">
      <c r="C565" s="1235"/>
      <c r="D565" s="1236"/>
      <c r="E565" s="227"/>
      <c r="F565" s="1255">
        <v>0</v>
      </c>
      <c r="G565" s="1"/>
      <c r="H565" s="1"/>
      <c r="I565" s="1"/>
      <c r="J565" s="1"/>
      <c r="L565" s="1"/>
      <c r="M565" s="1"/>
    </row>
    <row r="566" spans="3:13" hidden="1" x14ac:dyDescent="0.3">
      <c r="C566" s="1235"/>
      <c r="D566" s="1236"/>
      <c r="E566" s="227"/>
      <c r="F566" s="1255">
        <v>0</v>
      </c>
      <c r="G566" s="1"/>
      <c r="H566" s="1"/>
      <c r="I566" s="1"/>
      <c r="J566" s="1"/>
      <c r="L566" s="1"/>
      <c r="M566" s="1"/>
    </row>
    <row r="567" spans="3:13" hidden="1" x14ac:dyDescent="0.3">
      <c r="C567" s="1235"/>
      <c r="D567" s="1236"/>
      <c r="E567" s="227"/>
      <c r="F567" s="1255">
        <v>0</v>
      </c>
      <c r="G567" s="1"/>
      <c r="H567" s="1"/>
      <c r="I567" s="1"/>
      <c r="J567" s="1"/>
      <c r="L567" s="1"/>
      <c r="M567" s="1"/>
    </row>
    <row r="568" spans="3:13" hidden="1" x14ac:dyDescent="0.3">
      <c r="C568" s="1235"/>
      <c r="D568" s="1236"/>
      <c r="E568" s="227"/>
      <c r="F568" s="1255"/>
      <c r="G568" s="1"/>
      <c r="H568" s="1"/>
      <c r="I568" s="1"/>
      <c r="J568" s="1"/>
      <c r="L568" s="1"/>
      <c r="M568" s="1"/>
    </row>
    <row r="569" spans="3:13" hidden="1" x14ac:dyDescent="0.3">
      <c r="C569" s="1235"/>
      <c r="D569" s="1236"/>
      <c r="E569" s="227"/>
      <c r="F569" s="1255"/>
      <c r="G569" s="1"/>
      <c r="H569" s="1"/>
      <c r="I569" s="1"/>
      <c r="J569" s="1"/>
      <c r="L569" s="1"/>
      <c r="M569" s="1"/>
    </row>
    <row r="570" spans="3:13" hidden="1" x14ac:dyDescent="0.3">
      <c r="C570" s="1235"/>
      <c r="D570" s="1236"/>
      <c r="E570" s="227"/>
      <c r="F570" s="1255"/>
      <c r="G570" s="1"/>
      <c r="H570" s="1"/>
      <c r="I570" s="1"/>
      <c r="J570" s="1"/>
      <c r="L570" s="1"/>
      <c r="M570" s="1"/>
    </row>
    <row r="571" spans="3:13" hidden="1" x14ac:dyDescent="0.3">
      <c r="C571" s="1235"/>
      <c r="D571" s="1236"/>
      <c r="E571" s="227"/>
      <c r="F571" s="1255"/>
      <c r="G571" s="1"/>
      <c r="H571" s="1"/>
      <c r="I571" s="1"/>
      <c r="J571" s="1"/>
      <c r="L571" s="1"/>
      <c r="M571" s="1"/>
    </row>
    <row r="572" spans="3:13" hidden="1" x14ac:dyDescent="0.3">
      <c r="C572" s="1235"/>
      <c r="D572" s="1236"/>
      <c r="E572" s="227"/>
      <c r="F572" s="1255"/>
      <c r="G572" s="1"/>
      <c r="H572" s="1"/>
      <c r="I572" s="1"/>
      <c r="J572" s="1"/>
      <c r="L572" s="1"/>
      <c r="M572" s="1"/>
    </row>
    <row r="573" spans="3:13" hidden="1" x14ac:dyDescent="0.3">
      <c r="C573" s="1235"/>
      <c r="D573" s="1236"/>
      <c r="E573" s="227"/>
      <c r="F573" s="1255"/>
      <c r="G573" s="1"/>
      <c r="H573" s="1"/>
      <c r="I573" s="1"/>
      <c r="J573" s="1"/>
      <c r="L573" s="1"/>
      <c r="M573" s="1"/>
    </row>
    <row r="574" spans="3:13" x14ac:dyDescent="0.3">
      <c r="C574" s="3192" t="s">
        <v>211</v>
      </c>
      <c r="D574" s="3193"/>
      <c r="E574" s="1945">
        <f>+SUM(E564:E568)</f>
        <v>3309327.1046000002</v>
      </c>
      <c r="F574" s="1945">
        <f>+SUM(F564:F568)</f>
        <v>3249363.0963000003</v>
      </c>
      <c r="G574" s="1"/>
      <c r="H574" s="1"/>
      <c r="I574" s="1"/>
      <c r="J574" s="1"/>
      <c r="L574" s="1"/>
      <c r="M574" s="1"/>
    </row>
    <row r="575" spans="3:13" hidden="1" x14ac:dyDescent="0.3">
      <c r="C575" s="468" t="s">
        <v>1050</v>
      </c>
      <c r="D575" s="1243"/>
      <c r="E575" s="227"/>
      <c r="F575" s="1255">
        <v>0</v>
      </c>
      <c r="G575" s="1"/>
      <c r="H575" s="1"/>
      <c r="I575" s="1"/>
      <c r="J575" s="1"/>
      <c r="L575" s="1"/>
      <c r="M575" s="1"/>
    </row>
    <row r="576" spans="3:13" hidden="1" x14ac:dyDescent="0.3">
      <c r="C576" s="1235" t="s">
        <v>212</v>
      </c>
      <c r="D576" s="1236"/>
      <c r="E576" s="1775">
        <v>0</v>
      </c>
      <c r="F576" s="1244">
        <v>0</v>
      </c>
      <c r="G576" s="1"/>
      <c r="H576" s="1"/>
      <c r="I576" s="1"/>
      <c r="J576" s="1"/>
      <c r="L576" s="1"/>
      <c r="M576" s="1"/>
    </row>
    <row r="577" spans="3:13" hidden="1" x14ac:dyDescent="0.3">
      <c r="C577" s="1235" t="s">
        <v>487</v>
      </c>
      <c r="D577" s="1236"/>
      <c r="E577" s="1775">
        <v>0</v>
      </c>
      <c r="F577" s="1244">
        <v>0</v>
      </c>
      <c r="G577" s="1"/>
      <c r="H577" s="1"/>
      <c r="I577" s="1"/>
      <c r="J577" s="1"/>
      <c r="L577" s="1"/>
      <c r="M577" s="1"/>
    </row>
    <row r="578" spans="3:13" hidden="1" x14ac:dyDescent="0.3">
      <c r="C578" s="1235" t="s">
        <v>170</v>
      </c>
      <c r="D578" s="1236"/>
      <c r="E578" s="1775">
        <v>0</v>
      </c>
      <c r="F578" s="1244">
        <v>0</v>
      </c>
      <c r="G578" s="1"/>
      <c r="H578" s="1"/>
      <c r="I578" s="1"/>
      <c r="J578" s="1"/>
      <c r="L578" s="1"/>
      <c r="M578" s="1"/>
    </row>
    <row r="579" spans="3:13" hidden="1" x14ac:dyDescent="0.3">
      <c r="C579" s="1235"/>
      <c r="D579" s="1236"/>
      <c r="E579" s="227"/>
      <c r="F579" s="1244"/>
      <c r="G579" s="1"/>
      <c r="H579" s="1"/>
      <c r="I579" s="1"/>
      <c r="J579" s="1"/>
      <c r="L579" s="1"/>
      <c r="M579" s="1"/>
    </row>
    <row r="580" spans="3:13" hidden="1" x14ac:dyDescent="0.3">
      <c r="C580" s="1235"/>
      <c r="D580" s="1236"/>
      <c r="E580" s="227"/>
      <c r="F580" s="1244"/>
      <c r="G580" s="1"/>
      <c r="H580" s="1"/>
      <c r="I580" s="1"/>
      <c r="J580" s="1"/>
      <c r="L580" s="1"/>
      <c r="M580" s="1"/>
    </row>
    <row r="581" spans="3:13" hidden="1" x14ac:dyDescent="0.3">
      <c r="C581" s="1235"/>
      <c r="D581" s="1236"/>
      <c r="E581" s="227"/>
      <c r="F581" s="1244"/>
      <c r="G581" s="1"/>
      <c r="H581" s="1"/>
      <c r="I581" s="1"/>
      <c r="J581" s="1"/>
      <c r="L581" s="1"/>
      <c r="M581" s="1"/>
    </row>
    <row r="582" spans="3:13" hidden="1" x14ac:dyDescent="0.3">
      <c r="C582" s="1235"/>
      <c r="D582" s="1236"/>
      <c r="E582" s="227"/>
      <c r="F582" s="1244"/>
      <c r="G582" s="1"/>
      <c r="H582" s="1"/>
      <c r="I582" s="1"/>
      <c r="J582" s="1"/>
      <c r="L582" s="1"/>
      <c r="M582" s="1"/>
    </row>
    <row r="583" spans="3:13" hidden="1" x14ac:dyDescent="0.3">
      <c r="C583" s="1235"/>
      <c r="D583" s="1236"/>
      <c r="E583" s="227"/>
      <c r="F583" s="1244"/>
      <c r="G583" s="1"/>
      <c r="H583" s="1"/>
      <c r="I583" s="1"/>
      <c r="J583" s="1"/>
      <c r="L583" s="1"/>
      <c r="M583" s="1"/>
    </row>
    <row r="584" spans="3:13" hidden="1" x14ac:dyDescent="0.3">
      <c r="C584" s="1235"/>
      <c r="D584" s="1236"/>
      <c r="E584" s="227"/>
      <c r="F584" s="1244"/>
      <c r="G584" s="1"/>
      <c r="H584" s="1"/>
      <c r="I584" s="1"/>
      <c r="J584" s="1"/>
      <c r="L584" s="1"/>
      <c r="M584" s="1"/>
    </row>
    <row r="585" spans="3:13" hidden="1" x14ac:dyDescent="0.3">
      <c r="C585" s="1235"/>
      <c r="D585" s="1236"/>
      <c r="E585" s="227"/>
      <c r="F585" s="1244"/>
      <c r="G585" s="1"/>
      <c r="H585" s="1"/>
      <c r="I585" s="1"/>
      <c r="J585" s="1"/>
      <c r="L585" s="1"/>
      <c r="M585" s="1"/>
    </row>
    <row r="586" spans="3:13" hidden="1" x14ac:dyDescent="0.3">
      <c r="C586" s="3192" t="s">
        <v>213</v>
      </c>
      <c r="D586" s="3193"/>
      <c r="E586" s="1776">
        <f>+SUM(E576:E578)</f>
        <v>0</v>
      </c>
      <c r="F586" s="1256">
        <v>0</v>
      </c>
      <c r="G586" s="1"/>
      <c r="H586" s="1"/>
      <c r="I586" s="1"/>
      <c r="J586" s="1"/>
      <c r="L586" s="1"/>
      <c r="M586" s="1"/>
    </row>
    <row r="587" spans="3:13" x14ac:dyDescent="0.3">
      <c r="C587" s="1"/>
      <c r="D587" s="1"/>
      <c r="E587" s="1"/>
      <c r="F587" s="1"/>
      <c r="G587" s="1"/>
      <c r="H587" s="1917"/>
      <c r="I587" s="1"/>
      <c r="J587" s="1"/>
      <c r="L587" s="1"/>
      <c r="M587" s="1"/>
    </row>
    <row r="588" spans="3:13" x14ac:dyDescent="0.3">
      <c r="C588" s="4" t="str">
        <f>+'Notes To P&amp;L'!C109</f>
        <v>Note 16 - Other Income</v>
      </c>
      <c r="D588" s="1"/>
      <c r="E588" s="1"/>
      <c r="F588" s="1"/>
      <c r="G588" s="1"/>
      <c r="H588" s="1"/>
      <c r="I588" s="1"/>
      <c r="J588" s="1"/>
      <c r="L588" s="1"/>
      <c r="M588" s="1"/>
    </row>
    <row r="589" spans="3:13" x14ac:dyDescent="0.3">
      <c r="C589" s="1"/>
      <c r="D589" s="1"/>
      <c r="E589" s="1"/>
      <c r="F589" s="1"/>
      <c r="G589" s="1"/>
      <c r="H589" s="1"/>
      <c r="I589" s="1"/>
      <c r="J589" s="1"/>
      <c r="L589" s="1"/>
      <c r="M589" s="1"/>
    </row>
    <row r="590" spans="3:13" x14ac:dyDescent="0.3">
      <c r="C590" s="17" t="s">
        <v>1964</v>
      </c>
      <c r="D590" s="17"/>
      <c r="E590" s="229"/>
      <c r="F590" s="229"/>
      <c r="G590" s="1"/>
      <c r="H590" s="1"/>
      <c r="I590" s="1"/>
      <c r="J590" s="1"/>
      <c r="L590" s="1"/>
      <c r="M590" s="1"/>
    </row>
    <row r="591" spans="3:13" ht="30" x14ac:dyDescent="0.3">
      <c r="C591" s="2870" t="s">
        <v>20</v>
      </c>
      <c r="D591" s="2871"/>
      <c r="E591" s="1935" t="str">
        <f>PLCY</f>
        <v>For the Year ended 31st March 2025</v>
      </c>
      <c r="F591" s="1936" t="str">
        <f>PLPY</f>
        <v>For the Year ended 31st March 2024</v>
      </c>
      <c r="G591" s="1"/>
      <c r="H591" s="1"/>
      <c r="I591" s="1"/>
      <c r="J591" s="1"/>
      <c r="L591" s="1"/>
      <c r="M591" s="1"/>
    </row>
    <row r="592" spans="3:13" x14ac:dyDescent="0.3">
      <c r="C592" s="1245" t="s">
        <v>214</v>
      </c>
      <c r="D592" s="1246"/>
      <c r="E592" s="168"/>
      <c r="F592" s="251"/>
      <c r="G592" s="1"/>
      <c r="H592" s="1"/>
      <c r="I592" s="1804" t="s">
        <v>3804</v>
      </c>
      <c r="J592" s="1"/>
      <c r="L592" s="1"/>
      <c r="M592" s="1"/>
    </row>
    <row r="593" spans="3:13" x14ac:dyDescent="0.3">
      <c r="C593" s="1247" t="s">
        <v>3871</v>
      </c>
      <c r="D593" s="1248"/>
      <c r="E593" s="134"/>
      <c r="F593" s="249"/>
      <c r="G593" s="1"/>
      <c r="H593" s="1"/>
      <c r="I593" s="1" t="s">
        <v>3818</v>
      </c>
      <c r="J593" s="1"/>
      <c r="L593" s="1"/>
      <c r="M593" s="1"/>
    </row>
    <row r="594" spans="3:13" x14ac:dyDescent="0.3">
      <c r="C594" s="286" t="s">
        <v>3870</v>
      </c>
      <c r="D594" s="484"/>
      <c r="E594" s="845">
        <f>-SUMIFS('TB Grouping'!F:F,'TB Grouping'!H:H,"Interest income")/100</f>
        <v>54521.19</v>
      </c>
      <c r="F594" s="831">
        <f>-'TB Grouping'!O98/100</f>
        <v>32247.27</v>
      </c>
      <c r="G594" s="1"/>
      <c r="H594" s="1"/>
      <c r="I594" s="1"/>
      <c r="J594" s="1"/>
      <c r="L594" s="1"/>
      <c r="M594" s="1"/>
    </row>
    <row r="595" spans="3:13" x14ac:dyDescent="0.3">
      <c r="C595" s="286" t="s">
        <v>215</v>
      </c>
      <c r="D595" s="484"/>
      <c r="E595" s="970">
        <v>0</v>
      </c>
      <c r="F595" s="970"/>
      <c r="G595" s="1"/>
      <c r="H595" s="1"/>
      <c r="I595" s="1804" t="s">
        <v>1905</v>
      </c>
      <c r="J595" s="1"/>
      <c r="L595" s="1"/>
      <c r="M595" s="1"/>
    </row>
    <row r="596" spans="3:13" x14ac:dyDescent="0.3">
      <c r="C596" s="1247" t="s">
        <v>216</v>
      </c>
      <c r="D596" s="1248"/>
      <c r="E596" s="970">
        <v>0</v>
      </c>
      <c r="F596" s="970">
        <v>0</v>
      </c>
      <c r="G596" s="1"/>
      <c r="H596" s="1"/>
      <c r="I596" s="1"/>
      <c r="J596" s="1"/>
      <c r="L596" s="1"/>
      <c r="M596" s="1"/>
    </row>
    <row r="597" spans="3:13" x14ac:dyDescent="0.3">
      <c r="C597" s="1247" t="s">
        <v>217</v>
      </c>
      <c r="D597" s="1248"/>
      <c r="E597" s="970">
        <v>0</v>
      </c>
      <c r="F597" s="970">
        <v>0</v>
      </c>
      <c r="G597" s="1"/>
      <c r="H597" s="1"/>
      <c r="I597" s="1"/>
      <c r="J597" s="1"/>
      <c r="L597" s="1"/>
      <c r="M597" s="1"/>
    </row>
    <row r="598" spans="3:13" x14ac:dyDescent="0.3">
      <c r="C598" s="1247" t="s">
        <v>218</v>
      </c>
      <c r="D598" s="1248"/>
      <c r="E598" s="970">
        <v>0</v>
      </c>
      <c r="F598" s="970">
        <v>0</v>
      </c>
      <c r="G598" s="1"/>
      <c r="H598" s="1"/>
      <c r="I598" s="1"/>
      <c r="J598" s="1"/>
      <c r="L598" s="1"/>
      <c r="M598" s="1"/>
    </row>
    <row r="599" spans="3:13" x14ac:dyDescent="0.3">
      <c r="C599" s="1247" t="s">
        <v>626</v>
      </c>
      <c r="D599" s="1248"/>
      <c r="E599" s="970">
        <v>0</v>
      </c>
      <c r="F599" s="970">
        <v>0</v>
      </c>
      <c r="G599" s="1"/>
      <c r="H599" s="1"/>
      <c r="I599" s="1804" t="s">
        <v>98</v>
      </c>
      <c r="J599" s="1"/>
      <c r="L599" s="1"/>
      <c r="M599" s="1"/>
    </row>
    <row r="600" spans="3:13" x14ac:dyDescent="0.3">
      <c r="C600" s="1247" t="s">
        <v>3872</v>
      </c>
      <c r="D600" s="1248"/>
      <c r="E600" s="970">
        <v>0</v>
      </c>
      <c r="F600" s="970">
        <f>-'TB Grouping'!O99/100</f>
        <v>2366</v>
      </c>
      <c r="G600" s="1"/>
      <c r="H600" s="1"/>
      <c r="I600" s="1"/>
      <c r="J600" s="1"/>
      <c r="L600" s="1"/>
      <c r="M600" s="1"/>
    </row>
    <row r="601" spans="3:13" x14ac:dyDescent="0.3">
      <c r="C601" s="1247" t="s">
        <v>219</v>
      </c>
      <c r="D601" s="1248"/>
      <c r="E601" s="970">
        <v>0</v>
      </c>
      <c r="F601" s="970">
        <v>0</v>
      </c>
      <c r="G601" s="1"/>
      <c r="H601" s="1"/>
      <c r="I601" s="1"/>
      <c r="J601" s="1"/>
      <c r="L601" s="1"/>
      <c r="M601" s="1"/>
    </row>
    <row r="602" spans="3:13" x14ac:dyDescent="0.3">
      <c r="C602" s="1247"/>
      <c r="D602" s="1248"/>
      <c r="E602" s="970">
        <v>0</v>
      </c>
      <c r="F602" s="970">
        <v>0</v>
      </c>
      <c r="G602" s="1"/>
      <c r="H602" s="1"/>
      <c r="I602" s="1"/>
      <c r="J602" s="1"/>
      <c r="L602" s="1"/>
      <c r="M602" s="1"/>
    </row>
    <row r="603" spans="3:13" x14ac:dyDescent="0.3">
      <c r="C603" s="1247"/>
      <c r="D603" s="1248"/>
      <c r="E603" s="134"/>
      <c r="F603" s="249"/>
      <c r="G603" s="1"/>
      <c r="H603" s="1"/>
      <c r="I603" s="1"/>
      <c r="J603" s="1"/>
      <c r="L603" s="1"/>
      <c r="M603" s="1"/>
    </row>
    <row r="604" spans="3:13" x14ac:dyDescent="0.3">
      <c r="C604" s="1247"/>
      <c r="D604" s="1248"/>
      <c r="E604" s="134"/>
      <c r="F604" s="249"/>
      <c r="G604" s="1"/>
      <c r="H604" s="1"/>
      <c r="I604" s="1"/>
      <c r="J604" s="1"/>
      <c r="L604" s="1"/>
      <c r="M604" s="1"/>
    </row>
    <row r="605" spans="3:13" x14ac:dyDescent="0.3">
      <c r="C605" s="1247"/>
      <c r="D605" s="1248"/>
      <c r="E605" s="134"/>
      <c r="F605" s="249"/>
      <c r="G605" s="1"/>
      <c r="H605" s="1"/>
      <c r="I605" s="1"/>
      <c r="J605" s="1"/>
      <c r="L605" s="1"/>
      <c r="M605" s="1"/>
    </row>
    <row r="606" spans="3:13" x14ac:dyDescent="0.3">
      <c r="C606" s="1247"/>
      <c r="D606" s="1248"/>
      <c r="E606" s="134"/>
      <c r="F606" s="249"/>
      <c r="G606" s="1"/>
      <c r="H606" s="1"/>
      <c r="I606" s="1"/>
      <c r="J606" s="1"/>
      <c r="L606" s="1"/>
      <c r="M606" s="1"/>
    </row>
    <row r="607" spans="3:13" x14ac:dyDescent="0.3">
      <c r="C607" s="1247"/>
      <c r="D607" s="1248"/>
      <c r="E607" s="134"/>
      <c r="F607" s="249"/>
      <c r="G607" s="1"/>
      <c r="H607" s="1"/>
      <c r="I607" s="1"/>
      <c r="J607" s="1"/>
      <c r="L607" s="1"/>
      <c r="M607" s="1"/>
    </row>
    <row r="608" spans="3:13" x14ac:dyDescent="0.3">
      <c r="C608" s="1247"/>
      <c r="D608" s="1248"/>
      <c r="E608" s="134"/>
      <c r="F608" s="249"/>
      <c r="G608" s="1"/>
      <c r="H608" s="1"/>
      <c r="I608" s="1"/>
      <c r="J608" s="1"/>
      <c r="L608" s="1"/>
      <c r="M608" s="1"/>
    </row>
    <row r="609" spans="3:13" x14ac:dyDescent="0.3">
      <c r="C609" s="1247"/>
      <c r="D609" s="1248"/>
      <c r="E609" s="134"/>
      <c r="F609" s="249"/>
      <c r="G609" s="1"/>
      <c r="H609" s="1"/>
      <c r="I609" s="1"/>
      <c r="J609" s="1"/>
      <c r="L609" s="1"/>
      <c r="M609" s="1"/>
    </row>
    <row r="610" spans="3:13" x14ac:dyDescent="0.3">
      <c r="C610" s="1247"/>
      <c r="D610" s="1248"/>
      <c r="E610" s="134"/>
      <c r="F610" s="249"/>
      <c r="G610" s="1"/>
      <c r="H610" s="1"/>
      <c r="I610" s="1"/>
      <c r="J610" s="1"/>
      <c r="L610" s="1"/>
      <c r="M610" s="1"/>
    </row>
    <row r="611" spans="3:13" x14ac:dyDescent="0.3">
      <c r="C611" s="1247"/>
      <c r="D611" s="1248"/>
      <c r="E611" s="134"/>
      <c r="F611" s="249"/>
      <c r="G611" s="1"/>
      <c r="H611" s="1"/>
      <c r="I611" s="1"/>
      <c r="J611" s="1"/>
      <c r="L611" s="1"/>
      <c r="M611" s="1"/>
    </row>
    <row r="612" spans="3:13" x14ac:dyDescent="0.3">
      <c r="C612" s="2769" t="s">
        <v>220</v>
      </c>
      <c r="D612" s="2769"/>
      <c r="E612" s="1937">
        <f>+SUM(E594)</f>
        <v>54521.19</v>
      </c>
      <c r="F612" s="1937">
        <f>+SUM(F594,F595)</f>
        <v>32247.27</v>
      </c>
      <c r="G612" s="1"/>
      <c r="H612" s="1"/>
      <c r="I612" s="1"/>
      <c r="J612" s="1"/>
      <c r="L612" s="1"/>
      <c r="M612" s="1"/>
    </row>
    <row r="613" spans="3:13" x14ac:dyDescent="0.3">
      <c r="C613" s="17"/>
      <c r="D613" s="17"/>
      <c r="E613" s="41"/>
      <c r="F613" s="849"/>
      <c r="G613" s="1"/>
      <c r="H613" s="1"/>
      <c r="I613" s="1"/>
      <c r="J613" s="1"/>
      <c r="L613" s="1"/>
      <c r="M613" s="1"/>
    </row>
    <row r="614" spans="3:13" hidden="1" x14ac:dyDescent="0.3">
      <c r="C614" s="17" t="s">
        <v>1965</v>
      </c>
      <c r="D614" s="17"/>
      <c r="E614" s="41"/>
      <c r="F614" s="849"/>
      <c r="G614" s="1"/>
      <c r="H614" s="1"/>
      <c r="I614" s="1"/>
      <c r="J614" s="1"/>
      <c r="L614" s="1"/>
      <c r="M614" s="1"/>
    </row>
    <row r="615" spans="3:13" ht="30" hidden="1" x14ac:dyDescent="0.3">
      <c r="C615" s="2874" t="s">
        <v>20</v>
      </c>
      <c r="D615" s="2875"/>
      <c r="E615" s="314" t="str">
        <f>PLCY</f>
        <v>For the Year ended 31st March 2025</v>
      </c>
      <c r="F615" s="174" t="str">
        <f>PLPY</f>
        <v>For the Year ended 31st March 2024</v>
      </c>
      <c r="G615" s="1"/>
      <c r="H615" s="1"/>
      <c r="I615" s="1"/>
      <c r="J615" s="1"/>
      <c r="L615" s="1"/>
      <c r="M615" s="1"/>
    </row>
    <row r="616" spans="3:13" hidden="1" x14ac:dyDescent="0.3">
      <c r="C616" s="1245" t="s">
        <v>221</v>
      </c>
      <c r="D616" s="1246"/>
      <c r="E616" s="168"/>
      <c r="F616" s="251"/>
      <c r="G616" s="1"/>
      <c r="H616" s="1"/>
      <c r="I616" s="1"/>
      <c r="J616" s="1"/>
      <c r="L616" s="1"/>
      <c r="M616" s="1"/>
    </row>
    <row r="617" spans="3:13" hidden="1" x14ac:dyDescent="0.3">
      <c r="C617" s="127" t="s">
        <v>44</v>
      </c>
      <c r="D617" s="140"/>
      <c r="E617" s="1905">
        <v>0</v>
      </c>
      <c r="F617" s="1905">
        <v>0</v>
      </c>
      <c r="G617" s="1"/>
      <c r="H617" s="1"/>
      <c r="I617" s="1"/>
      <c r="J617" s="1"/>
      <c r="L617" s="1"/>
      <c r="M617" s="1"/>
    </row>
    <row r="618" spans="3:13" hidden="1" x14ac:dyDescent="0.3">
      <c r="C618" s="127" t="s">
        <v>45</v>
      </c>
      <c r="D618" s="140"/>
      <c r="E618" s="1905">
        <v>0</v>
      </c>
      <c r="F618" s="1905">
        <v>0</v>
      </c>
      <c r="G618" s="1"/>
      <c r="H618" s="1"/>
      <c r="I618" s="1"/>
      <c r="J618" s="1"/>
      <c r="L618" s="1"/>
      <c r="M618" s="1"/>
    </row>
    <row r="619" spans="3:13" ht="33" hidden="1" x14ac:dyDescent="0.3">
      <c r="C619" s="127" t="s">
        <v>823</v>
      </c>
      <c r="D619" s="140"/>
      <c r="E619" s="1905">
        <v>0</v>
      </c>
      <c r="F619" s="1905">
        <v>0</v>
      </c>
      <c r="G619" s="1"/>
      <c r="H619" s="1"/>
      <c r="I619" s="1"/>
      <c r="J619" s="1"/>
      <c r="L619" s="1"/>
      <c r="M619" s="1"/>
    </row>
    <row r="620" spans="3:13" hidden="1" x14ac:dyDescent="0.3">
      <c r="C620" s="127" t="s">
        <v>789</v>
      </c>
      <c r="D620" s="140"/>
      <c r="E620" s="1905">
        <v>0</v>
      </c>
      <c r="F620" s="1905">
        <v>0</v>
      </c>
      <c r="G620" s="1"/>
      <c r="H620" s="1"/>
      <c r="I620" s="1"/>
      <c r="J620" s="1"/>
      <c r="L620" s="1"/>
      <c r="M620" s="1"/>
    </row>
    <row r="621" spans="3:13" hidden="1" x14ac:dyDescent="0.3">
      <c r="C621" s="127" t="s">
        <v>790</v>
      </c>
      <c r="D621" s="140"/>
      <c r="E621" s="1905">
        <v>0</v>
      </c>
      <c r="F621" s="1905">
        <v>0</v>
      </c>
      <c r="G621" s="1"/>
      <c r="H621" s="1"/>
      <c r="I621" s="1"/>
      <c r="J621" s="1"/>
      <c r="L621" s="1"/>
      <c r="M621" s="1"/>
    </row>
    <row r="622" spans="3:13" hidden="1" x14ac:dyDescent="0.3">
      <c r="C622" s="127"/>
      <c r="D622" s="140"/>
      <c r="E622" s="1250"/>
      <c r="F622" s="1261"/>
      <c r="G622" s="1"/>
      <c r="H622" s="1"/>
      <c r="I622" s="1"/>
      <c r="J622" s="1"/>
      <c r="L622" s="1"/>
      <c r="M622" s="1"/>
    </row>
    <row r="623" spans="3:13" hidden="1" x14ac:dyDescent="0.3">
      <c r="C623" s="127"/>
      <c r="D623" s="140"/>
      <c r="E623" s="1250"/>
      <c r="F623" s="1261"/>
      <c r="G623" s="1"/>
      <c r="H623" s="1"/>
      <c r="I623" s="1"/>
      <c r="J623" s="1"/>
      <c r="L623" s="1"/>
      <c r="M623" s="1"/>
    </row>
    <row r="624" spans="3:13" hidden="1" x14ac:dyDescent="0.3">
      <c r="C624" s="127"/>
      <c r="D624" s="140"/>
      <c r="E624" s="1250"/>
      <c r="F624" s="1261"/>
      <c r="G624" s="1"/>
      <c r="H624" s="1"/>
      <c r="I624" s="1"/>
      <c r="J624" s="1"/>
      <c r="L624" s="1"/>
      <c r="M624" s="1"/>
    </row>
    <row r="625" spans="3:13" hidden="1" x14ac:dyDescent="0.3">
      <c r="C625" s="127"/>
      <c r="D625" s="140"/>
      <c r="E625" s="1250"/>
      <c r="F625" s="1261"/>
      <c r="G625" s="1"/>
      <c r="H625" s="1"/>
      <c r="I625" s="1"/>
      <c r="J625" s="1"/>
      <c r="L625" s="1"/>
      <c r="M625" s="1"/>
    </row>
    <row r="626" spans="3:13" hidden="1" x14ac:dyDescent="0.3">
      <c r="C626" s="127"/>
      <c r="D626" s="140"/>
      <c r="E626" s="1250"/>
      <c r="F626" s="1261"/>
      <c r="G626" s="1"/>
      <c r="H626" s="1"/>
      <c r="I626" s="1"/>
      <c r="J626" s="1"/>
      <c r="L626" s="1"/>
      <c r="M626" s="1"/>
    </row>
    <row r="627" spans="3:13" hidden="1" x14ac:dyDescent="0.3">
      <c r="C627" s="127"/>
      <c r="D627" s="140"/>
      <c r="E627" s="1250"/>
      <c r="F627" s="1261"/>
      <c r="G627" s="1"/>
      <c r="H627" s="1"/>
      <c r="I627" s="1"/>
      <c r="J627" s="1"/>
      <c r="L627" s="1"/>
      <c r="M627" s="1"/>
    </row>
    <row r="628" spans="3:13" hidden="1" x14ac:dyDescent="0.3">
      <c r="C628" s="127"/>
      <c r="D628" s="140"/>
      <c r="E628" s="1250"/>
      <c r="F628" s="1261"/>
      <c r="G628" s="1"/>
      <c r="H628" s="1"/>
      <c r="I628" s="1"/>
      <c r="J628" s="1"/>
      <c r="L628" s="1"/>
      <c r="M628" s="1"/>
    </row>
    <row r="629" spans="3:13" hidden="1" x14ac:dyDescent="0.3">
      <c r="C629" s="127"/>
      <c r="D629" s="140"/>
      <c r="E629" s="1250"/>
      <c r="F629" s="1261"/>
      <c r="G629" s="1"/>
      <c r="H629" s="1"/>
      <c r="I629" s="1"/>
      <c r="J629" s="1"/>
      <c r="L629" s="1"/>
      <c r="M629" s="1"/>
    </row>
    <row r="630" spans="3:13" hidden="1" x14ac:dyDescent="0.3">
      <c r="C630" s="127"/>
      <c r="D630" s="140"/>
      <c r="E630" s="1250"/>
      <c r="F630" s="1261"/>
      <c r="G630" s="1"/>
      <c r="H630" s="1"/>
      <c r="I630" s="1"/>
      <c r="J630" s="1"/>
      <c r="L630" s="1"/>
      <c r="M630" s="1"/>
    </row>
    <row r="631" spans="3:13" hidden="1" x14ac:dyDescent="0.3">
      <c r="C631" s="645" t="s">
        <v>222</v>
      </c>
      <c r="D631" s="664"/>
      <c r="E631" s="1249"/>
      <c r="F631" s="1262"/>
      <c r="G631" s="1"/>
      <c r="H631" s="1"/>
      <c r="I631" s="1"/>
      <c r="J631" s="1"/>
      <c r="L631" s="1"/>
      <c r="M631" s="1"/>
    </row>
    <row r="632" spans="3:13" hidden="1" x14ac:dyDescent="0.3">
      <c r="C632" s="231"/>
      <c r="D632" s="231"/>
      <c r="E632" s="41"/>
      <c r="F632" s="849"/>
      <c r="G632" s="1"/>
      <c r="H632" s="1"/>
      <c r="I632" s="1"/>
      <c r="J632" s="1"/>
      <c r="L632" s="1"/>
      <c r="M632" s="1"/>
    </row>
    <row r="633" spans="3:13" hidden="1" x14ac:dyDescent="0.3">
      <c r="C633" s="1"/>
      <c r="D633" s="1"/>
      <c r="E633" s="1"/>
      <c r="F633" s="1"/>
      <c r="G633" s="1"/>
      <c r="H633" s="1"/>
      <c r="I633" s="1"/>
      <c r="J633" s="1"/>
      <c r="L633" s="1"/>
      <c r="M633" s="1"/>
    </row>
    <row r="634" spans="3:13" x14ac:dyDescent="0.3">
      <c r="C634" s="4" t="str">
        <f>+'Notes To P&amp;L'!C285</f>
        <v>Note 20 - Other expenses</v>
      </c>
      <c r="D634" s="1"/>
      <c r="E634" s="1"/>
      <c r="F634" s="1"/>
      <c r="G634" s="1"/>
      <c r="H634" s="1"/>
      <c r="I634" s="1"/>
      <c r="J634" s="1"/>
      <c r="L634" s="1"/>
      <c r="M634" s="1"/>
    </row>
    <row r="635" spans="3:13" x14ac:dyDescent="0.3">
      <c r="C635" s="1"/>
      <c r="D635" s="1"/>
      <c r="E635" s="1"/>
      <c r="F635" s="1"/>
      <c r="G635" s="1"/>
      <c r="H635" s="1"/>
      <c r="I635" s="1"/>
      <c r="J635" s="1"/>
      <c r="L635" s="1"/>
      <c r="M635" s="1"/>
    </row>
    <row r="636" spans="3:13" ht="30" x14ac:dyDescent="0.3">
      <c r="C636" s="2870" t="s">
        <v>20</v>
      </c>
      <c r="D636" s="3189"/>
      <c r="E636" s="1929" t="str">
        <f>PLCY</f>
        <v>For the Year ended 31st March 2025</v>
      </c>
      <c r="F636" s="1938" t="str">
        <f>PLPY</f>
        <v>For the Year ended 31st March 2024</v>
      </c>
      <c r="G636" s="1"/>
      <c r="H636" s="1"/>
      <c r="I636" s="1"/>
      <c r="J636" s="1"/>
      <c r="L636" s="1"/>
      <c r="M636" s="1"/>
    </row>
    <row r="637" spans="3:13" x14ac:dyDescent="0.3">
      <c r="C637" s="400" t="s">
        <v>2322</v>
      </c>
      <c r="D637" s="1906"/>
      <c r="E637" s="1939">
        <f>+'Notes To P&amp;L'!E320</f>
        <v>8377.0280000000002</v>
      </c>
      <c r="F637" s="1939">
        <f>+'Notes To P&amp;L'!F320</f>
        <v>47540.795199999993</v>
      </c>
      <c r="G637" s="1"/>
      <c r="H637" s="1"/>
      <c r="I637" s="1"/>
      <c r="J637" s="1"/>
      <c r="L637" s="1"/>
      <c r="M637" s="1"/>
    </row>
    <row r="638" spans="3:13" x14ac:dyDescent="0.3">
      <c r="C638" s="186"/>
      <c r="D638" s="1"/>
      <c r="E638" s="1764"/>
      <c r="F638" s="1764"/>
      <c r="G638" s="1"/>
      <c r="H638" s="1"/>
      <c r="I638" s="1"/>
      <c r="J638" s="1"/>
      <c r="L638" s="1"/>
      <c r="M638" s="1"/>
    </row>
    <row r="639" spans="3:13" x14ac:dyDescent="0.3">
      <c r="C639" s="186"/>
      <c r="D639" s="1"/>
      <c r="E639" s="1764"/>
      <c r="F639" s="1764"/>
      <c r="G639" s="1"/>
      <c r="H639" s="1"/>
      <c r="I639" s="1"/>
      <c r="J639" s="1"/>
      <c r="L639" s="1"/>
      <c r="M639" s="1"/>
    </row>
    <row r="640" spans="3:13" x14ac:dyDescent="0.3">
      <c r="C640" s="186" t="s">
        <v>2001</v>
      </c>
      <c r="D640" s="1"/>
      <c r="E640" s="1764"/>
      <c r="F640" s="1764"/>
      <c r="G640" s="1"/>
      <c r="H640" s="1"/>
      <c r="I640" s="1"/>
      <c r="J640" s="1"/>
      <c r="L640" s="1"/>
      <c r="M640" s="1"/>
    </row>
    <row r="641" spans="3:13" x14ac:dyDescent="0.3">
      <c r="C641" s="186"/>
      <c r="D641" s="1"/>
      <c r="E641" s="1764"/>
      <c r="F641" s="1764"/>
      <c r="G641" s="1"/>
      <c r="H641" s="1"/>
      <c r="I641" s="1"/>
      <c r="J641" s="1"/>
      <c r="L641" s="1"/>
      <c r="M641" s="1"/>
    </row>
    <row r="642" spans="3:13" x14ac:dyDescent="0.3">
      <c r="C642" s="186"/>
      <c r="D642" s="1"/>
      <c r="E642" s="1764"/>
      <c r="F642" s="1764"/>
      <c r="G642" s="1"/>
      <c r="H642" s="1"/>
      <c r="I642" s="1"/>
      <c r="J642" s="1"/>
      <c r="L642" s="1"/>
      <c r="M642" s="1"/>
    </row>
    <row r="643" spans="3:13" x14ac:dyDescent="0.3">
      <c r="C643" s="186"/>
      <c r="D643" s="1"/>
      <c r="E643" s="1764"/>
      <c r="F643" s="1764"/>
      <c r="G643" s="1"/>
      <c r="H643" s="1"/>
      <c r="I643" s="1"/>
      <c r="J643" s="1"/>
      <c r="L643" s="1"/>
      <c r="M643" s="1"/>
    </row>
    <row r="644" spans="3:13" x14ac:dyDescent="0.3">
      <c r="C644" s="186"/>
      <c r="D644" s="1"/>
      <c r="E644" s="1764"/>
      <c r="F644" s="1764"/>
      <c r="G644" s="1"/>
      <c r="H644" s="1"/>
      <c r="I644" s="1"/>
      <c r="J644" s="1"/>
      <c r="L644" s="1"/>
      <c r="M644" s="1"/>
    </row>
    <row r="645" spans="3:13" x14ac:dyDescent="0.3">
      <c r="C645" s="186"/>
      <c r="D645" s="1"/>
      <c r="E645" s="1764"/>
      <c r="F645" s="1764"/>
      <c r="G645" s="1"/>
      <c r="H645" s="1"/>
      <c r="I645" s="1"/>
      <c r="J645" s="1"/>
      <c r="L645" s="1"/>
      <c r="M645" s="1"/>
    </row>
    <row r="646" spans="3:13" x14ac:dyDescent="0.3">
      <c r="C646" s="186"/>
      <c r="D646" s="1"/>
      <c r="E646" s="1764"/>
      <c r="F646" s="1764"/>
      <c r="G646" s="1"/>
      <c r="H646" s="1"/>
      <c r="I646" s="1"/>
      <c r="J646" s="1"/>
      <c r="L646" s="1"/>
      <c r="M646" s="1"/>
    </row>
    <row r="647" spans="3:13" x14ac:dyDescent="0.3">
      <c r="C647" s="186"/>
      <c r="D647" s="1"/>
      <c r="E647" s="1764"/>
      <c r="F647" s="1764"/>
      <c r="G647" s="1"/>
      <c r="H647" s="1"/>
      <c r="I647" s="1"/>
      <c r="J647" s="1"/>
      <c r="L647" s="1"/>
      <c r="M647" s="1"/>
    </row>
    <row r="648" spans="3:13" x14ac:dyDescent="0.3">
      <c r="C648" s="186"/>
      <c r="D648" s="1"/>
      <c r="E648" s="1764"/>
      <c r="F648" s="1764"/>
      <c r="G648" s="1"/>
      <c r="H648" s="1"/>
      <c r="I648" s="1"/>
      <c r="J648" s="1"/>
      <c r="L648" s="1"/>
      <c r="M648" s="1"/>
    </row>
    <row r="649" spans="3:13" x14ac:dyDescent="0.3">
      <c r="C649" s="964"/>
      <c r="D649" s="535"/>
      <c r="E649" s="1765"/>
      <c r="F649" s="1765"/>
      <c r="G649" s="1"/>
      <c r="H649" s="1"/>
      <c r="I649" s="1"/>
      <c r="J649" s="1"/>
      <c r="L649" s="1"/>
      <c r="M649" s="1"/>
    </row>
    <row r="650" spans="3:13" x14ac:dyDescent="0.3">
      <c r="C650" s="1"/>
      <c r="D650" s="1"/>
      <c r="E650" s="1"/>
      <c r="F650" s="1"/>
      <c r="G650" s="1"/>
      <c r="H650" s="1"/>
      <c r="I650" s="1"/>
      <c r="J650" s="1"/>
      <c r="L650" s="1"/>
      <c r="M650" s="1"/>
    </row>
    <row r="651" spans="3:13" x14ac:dyDescent="0.3">
      <c r="C651" s="42" t="s">
        <v>89</v>
      </c>
      <c r="D651" s="42"/>
      <c r="E651" s="41"/>
      <c r="F651" s="849"/>
      <c r="G651" s="1"/>
      <c r="H651" s="1"/>
      <c r="I651" s="1"/>
      <c r="J651" s="1"/>
      <c r="L651" s="1"/>
      <c r="M651" s="1"/>
    </row>
    <row r="652" spans="3:13" ht="30" x14ac:dyDescent="0.3">
      <c r="C652" s="2765" t="s">
        <v>20</v>
      </c>
      <c r="D652" s="2766"/>
      <c r="E652" s="1929" t="s">
        <v>3285</v>
      </c>
      <c r="F652" s="1938" t="s">
        <v>3286</v>
      </c>
      <c r="G652" s="1"/>
      <c r="H652" s="1"/>
      <c r="I652" s="1"/>
      <c r="J652" s="1"/>
      <c r="L652" s="1"/>
      <c r="M652" s="1"/>
    </row>
    <row r="653" spans="3:13" ht="33" x14ac:dyDescent="0.3">
      <c r="C653" s="116" t="str">
        <f>+'Notes To P&amp;L'!C347</f>
        <v>(i) Payments to the auditors comprise (net of service tax input credit, where applicable):</v>
      </c>
      <c r="D653" s="47"/>
      <c r="E653" s="134"/>
      <c r="F653" s="249"/>
      <c r="G653" s="1"/>
      <c r="H653" s="1"/>
      <c r="I653" s="1"/>
      <c r="J653" s="1"/>
      <c r="L653" s="1"/>
      <c r="M653" s="1"/>
    </row>
    <row r="654" spans="3:13" x14ac:dyDescent="0.3">
      <c r="C654" s="1265" t="str">
        <f>+'Notes To P&amp;L'!C348</f>
        <v>(a) To statutory auditors</v>
      </c>
      <c r="D654" s="1263"/>
      <c r="E654" s="134"/>
      <c r="F654" s="249"/>
      <c r="G654" s="1"/>
      <c r="H654" s="1"/>
      <c r="I654" s="1"/>
      <c r="J654" s="1"/>
      <c r="L654" s="1"/>
      <c r="M654" s="1"/>
    </row>
    <row r="655" spans="3:13" x14ac:dyDescent="0.3">
      <c r="C655" s="1266" t="str">
        <f>+'Notes To P&amp;L'!C349</f>
        <v>For audit</v>
      </c>
      <c r="D655" s="1264"/>
      <c r="E655" s="970">
        <f>250000/100</f>
        <v>2500</v>
      </c>
      <c r="F655" s="249">
        <f>1000000/100</f>
        <v>10000</v>
      </c>
      <c r="G655" s="1"/>
      <c r="H655" s="1"/>
      <c r="I655" s="1"/>
      <c r="J655" s="1"/>
      <c r="L655" s="1"/>
      <c r="M655" s="1"/>
    </row>
    <row r="656" spans="3:13" x14ac:dyDescent="0.3">
      <c r="C656" s="1266" t="str">
        <f>+'Notes To P&amp;L'!C350</f>
        <v xml:space="preserve">For taxation matters </v>
      </c>
      <c r="D656" s="1264"/>
      <c r="E656" s="970">
        <f>250000/100</f>
        <v>2500</v>
      </c>
      <c r="F656" s="249"/>
      <c r="G656" s="1"/>
      <c r="H656" s="1"/>
      <c r="I656" s="1"/>
      <c r="J656" s="1"/>
      <c r="L656" s="1"/>
      <c r="M656" s="1"/>
    </row>
    <row r="657" spans="1:16" x14ac:dyDescent="0.3">
      <c r="C657" s="1266" t="str">
        <f>+'Notes To P&amp;L'!C351</f>
        <v xml:space="preserve">For company law matters </v>
      </c>
      <c r="D657" s="1264"/>
      <c r="E657" s="970">
        <v>0</v>
      </c>
      <c r="F657" s="249"/>
      <c r="G657" s="1"/>
      <c r="H657" s="1"/>
      <c r="I657" s="1"/>
      <c r="J657" s="1"/>
      <c r="L657" s="1"/>
      <c r="M657" s="1"/>
    </row>
    <row r="658" spans="1:16" x14ac:dyDescent="0.3">
      <c r="C658" s="1266" t="str">
        <f>+'Notes To P&amp;L'!C352</f>
        <v xml:space="preserve">For management services </v>
      </c>
      <c r="D658" s="1264"/>
      <c r="E658" s="134"/>
      <c r="F658" s="249"/>
      <c r="G658" s="1"/>
      <c r="H658" s="1"/>
      <c r="I658" s="1"/>
      <c r="J658" s="1"/>
      <c r="L658" s="1"/>
      <c r="M658" s="1"/>
    </row>
    <row r="659" spans="1:16" x14ac:dyDescent="0.3">
      <c r="C659" s="1266" t="str">
        <f>+'Notes To P&amp;L'!C353</f>
        <v xml:space="preserve">For other services </v>
      </c>
      <c r="D659" s="1264"/>
      <c r="E659" s="134">
        <f>62000/100</f>
        <v>620</v>
      </c>
      <c r="F659" s="249">
        <f>403500/100</f>
        <v>4035</v>
      </c>
      <c r="G659" s="1"/>
      <c r="H659" s="1"/>
      <c r="I659" s="1"/>
      <c r="J659" s="1"/>
      <c r="L659" s="1"/>
      <c r="M659" s="1"/>
    </row>
    <row r="660" spans="1:16" x14ac:dyDescent="0.3">
      <c r="C660" s="1266" t="str">
        <f>+'Notes To P&amp;L'!C354</f>
        <v>Reimbursement of expenses</v>
      </c>
      <c r="D660" s="1264"/>
      <c r="E660" s="169">
        <f>2880/100</f>
        <v>28.8</v>
      </c>
      <c r="F660" s="1047"/>
      <c r="G660" s="1"/>
      <c r="H660" s="1"/>
      <c r="I660" s="1"/>
      <c r="J660" s="1"/>
      <c r="L660" s="1"/>
      <c r="M660" s="1"/>
    </row>
    <row r="661" spans="1:16" x14ac:dyDescent="0.3">
      <c r="C661" s="1266"/>
      <c r="D661" s="1264"/>
      <c r="E661" s="249">
        <f>+SUM(E655:E660)</f>
        <v>5648.8</v>
      </c>
      <c r="F661" s="249">
        <f>+SUM(F655:F660)</f>
        <v>14035</v>
      </c>
      <c r="G661" s="1"/>
      <c r="H661" s="1"/>
      <c r="I661" s="1"/>
      <c r="J661" s="1"/>
      <c r="L661" s="1"/>
      <c r="M661" s="1"/>
    </row>
    <row r="662" spans="1:16" x14ac:dyDescent="0.3">
      <c r="C662" s="1265" t="str">
        <f>+'Notes To P&amp;L'!C356</f>
        <v xml:space="preserve">(b) To branch auditors for branch audit </v>
      </c>
      <c r="D662" s="1263"/>
      <c r="E662" s="970">
        <v>0</v>
      </c>
      <c r="F662" s="249"/>
      <c r="G662" s="1"/>
      <c r="H662" s="1"/>
      <c r="I662" s="1"/>
      <c r="J662" s="1"/>
      <c r="L662" s="1"/>
      <c r="M662" s="1"/>
    </row>
    <row r="663" spans="1:16" x14ac:dyDescent="0.3">
      <c r="C663" s="1265"/>
      <c r="D663" s="1263"/>
      <c r="E663" s="970"/>
      <c r="F663" s="249"/>
      <c r="G663" s="1"/>
      <c r="H663" s="1"/>
      <c r="I663" s="1"/>
      <c r="J663" s="1"/>
      <c r="L663" s="1"/>
      <c r="M663" s="1"/>
    </row>
    <row r="664" spans="1:16" x14ac:dyDescent="0.3">
      <c r="C664" s="1265" t="str">
        <f>+'Notes To P&amp;L'!C358</f>
        <v>(c) To cost auditors for cost audit</v>
      </c>
      <c r="D664" s="1263"/>
      <c r="E664" s="970">
        <v>0</v>
      </c>
      <c r="F664" s="249"/>
      <c r="G664" s="1"/>
      <c r="H664" s="1"/>
      <c r="I664" s="1"/>
      <c r="J664" s="1"/>
      <c r="L664" s="1"/>
      <c r="M664" s="1"/>
    </row>
    <row r="665" spans="1:16" x14ac:dyDescent="0.3">
      <c r="C665" s="141"/>
      <c r="D665" s="50"/>
      <c r="E665" s="970"/>
      <c r="F665" s="249"/>
      <c r="G665" s="1"/>
      <c r="H665" s="1"/>
      <c r="I665" s="1"/>
      <c r="J665" s="1"/>
      <c r="L665" s="1"/>
      <c r="M665" s="1"/>
    </row>
    <row r="666" spans="1:16" x14ac:dyDescent="0.3">
      <c r="C666" s="2769" t="s">
        <v>35</v>
      </c>
      <c r="D666" s="2769"/>
      <c r="E666" s="1926">
        <f>+SUM(E661:E665)</f>
        <v>5648.8</v>
      </c>
      <c r="F666" s="1926">
        <f>+SUM(F661:F665)</f>
        <v>14035</v>
      </c>
      <c r="G666" s="179"/>
      <c r="H666" s="1"/>
      <c r="I666" s="1"/>
      <c r="J666" s="1"/>
      <c r="L666" s="1"/>
      <c r="M666" s="1"/>
    </row>
    <row r="667" spans="1:16" x14ac:dyDescent="0.3">
      <c r="C667" s="1"/>
      <c r="D667" s="1"/>
      <c r="E667" s="1"/>
      <c r="F667" s="1"/>
      <c r="G667" s="1"/>
      <c r="H667" s="1"/>
      <c r="I667" s="1"/>
      <c r="J667" s="1"/>
      <c r="L667" s="1"/>
      <c r="M667" s="1"/>
    </row>
    <row r="668" spans="1:16" ht="20.100000000000001" hidden="1" customHeight="1" x14ac:dyDescent="0.3">
      <c r="C668" s="410"/>
      <c r="D668" s="428"/>
      <c r="E668" s="415"/>
      <c r="F668" s="415"/>
      <c r="G668" s="415"/>
      <c r="H668" s="415"/>
      <c r="I668" s="415"/>
      <c r="J668" s="415"/>
      <c r="K668" s="408"/>
      <c r="N668" s="408"/>
    </row>
    <row r="669" spans="1:16" hidden="1" x14ac:dyDescent="0.3">
      <c r="A669" s="1" t="s">
        <v>760</v>
      </c>
      <c r="C669" s="4" t="s">
        <v>1151</v>
      </c>
      <c r="D669" s="1"/>
      <c r="E669" s="1"/>
      <c r="F669" s="1"/>
      <c r="G669" s="1"/>
      <c r="H669" s="1"/>
      <c r="I669" s="1"/>
      <c r="J669" s="415"/>
      <c r="K669" s="408"/>
      <c r="N669" s="408"/>
    </row>
    <row r="670" spans="1:16" hidden="1" x14ac:dyDescent="0.3">
      <c r="C670" s="431"/>
      <c r="D670" s="415"/>
      <c r="E670" s="432"/>
      <c r="F670" s="432"/>
      <c r="G670" s="432"/>
      <c r="H670" s="415"/>
      <c r="I670" s="418"/>
      <c r="J670" s="415"/>
      <c r="K670" s="408"/>
      <c r="N670" s="408"/>
      <c r="P670" s="14"/>
    </row>
    <row r="671" spans="1:16" hidden="1" x14ac:dyDescent="0.3">
      <c r="C671" s="412" t="s">
        <v>1861</v>
      </c>
      <c r="D671" s="1463"/>
      <c r="E671" s="1463"/>
      <c r="F671" s="1463"/>
      <c r="G671" s="1463"/>
      <c r="H671" s="1464"/>
      <c r="I671" s="1465"/>
      <c r="J671" s="415"/>
      <c r="K671" s="408"/>
      <c r="N671" s="408"/>
      <c r="P671" s="14"/>
    </row>
    <row r="672" spans="1:16" hidden="1" x14ac:dyDescent="0.3">
      <c r="C672" s="1457" t="s">
        <v>20</v>
      </c>
      <c r="D672" s="1458"/>
      <c r="E672" s="1458"/>
      <c r="F672" s="1458"/>
      <c r="G672" s="1458"/>
      <c r="H672" s="412" t="s">
        <v>1154</v>
      </c>
      <c r="I672" s="1456" t="s">
        <v>1155</v>
      </c>
      <c r="J672" s="415"/>
      <c r="K672" s="408"/>
      <c r="N672" s="408"/>
      <c r="P672" s="14"/>
    </row>
    <row r="673" spans="1:16" hidden="1" x14ac:dyDescent="0.3">
      <c r="C673" s="1459"/>
      <c r="D673" s="1466"/>
      <c r="E673" s="1466"/>
      <c r="F673" s="1466"/>
      <c r="G673" s="1466"/>
      <c r="H673" s="437"/>
      <c r="I673" s="1460"/>
      <c r="J673" s="415"/>
      <c r="K673" s="408"/>
      <c r="N673" s="408"/>
      <c r="P673" s="14"/>
    </row>
    <row r="674" spans="1:16" hidden="1" x14ac:dyDescent="0.3">
      <c r="C674" s="1461" t="s">
        <v>1156</v>
      </c>
      <c r="D674" s="1466"/>
      <c r="E674" s="1466"/>
      <c r="F674" s="1466"/>
      <c r="G674" s="1466"/>
      <c r="H674" s="1460"/>
      <c r="I674" s="1460"/>
      <c r="J674" s="415"/>
      <c r="K674" s="408"/>
      <c r="N674" s="408"/>
      <c r="P674" s="14"/>
    </row>
    <row r="675" spans="1:16" hidden="1" x14ac:dyDescent="0.3">
      <c r="C675" s="1461" t="s">
        <v>1157</v>
      </c>
      <c r="D675" s="1466"/>
      <c r="E675" s="1466"/>
      <c r="F675" s="1466"/>
      <c r="G675" s="1466"/>
      <c r="H675" s="1460"/>
      <c r="I675" s="1460"/>
      <c r="J675" s="415"/>
      <c r="K675" s="408"/>
      <c r="N675" s="408"/>
      <c r="P675" s="14"/>
    </row>
    <row r="676" spans="1:16" hidden="1" x14ac:dyDescent="0.3">
      <c r="C676" s="1461" t="s">
        <v>1158</v>
      </c>
      <c r="D676" s="1466"/>
      <c r="E676" s="1466"/>
      <c r="F676" s="1466"/>
      <c r="G676" s="1466"/>
      <c r="H676" s="1460"/>
      <c r="I676" s="1460"/>
      <c r="J676" s="415"/>
      <c r="K676" s="408"/>
      <c r="N676" s="408"/>
      <c r="P676" s="14"/>
    </row>
    <row r="677" spans="1:16" hidden="1" x14ac:dyDescent="0.3">
      <c r="C677" s="1461" t="s">
        <v>1159</v>
      </c>
      <c r="D677" s="1466"/>
      <c r="E677" s="1466"/>
      <c r="F677" s="1466"/>
      <c r="G677" s="1466"/>
      <c r="H677" s="1460"/>
      <c r="I677" s="1460"/>
      <c r="J677" s="415"/>
      <c r="K677" s="408"/>
      <c r="N677" s="408"/>
      <c r="P677" s="14"/>
    </row>
    <row r="678" spans="1:16" hidden="1" x14ac:dyDescent="0.3">
      <c r="C678" s="1461" t="s">
        <v>1160</v>
      </c>
      <c r="D678" s="1466"/>
      <c r="E678" s="1466"/>
      <c r="F678" s="1466"/>
      <c r="G678" s="1466"/>
      <c r="H678" s="1460"/>
      <c r="I678" s="1460"/>
      <c r="J678" s="415"/>
      <c r="K678" s="408"/>
      <c r="N678" s="408"/>
      <c r="P678" s="14"/>
    </row>
    <row r="679" spans="1:16" hidden="1" x14ac:dyDescent="0.3">
      <c r="C679" s="1461" t="s">
        <v>1161</v>
      </c>
      <c r="D679" s="1466"/>
      <c r="E679" s="1466"/>
      <c r="F679" s="1466"/>
      <c r="G679" s="1466"/>
      <c r="H679" s="1460"/>
      <c r="I679" s="1460"/>
      <c r="J679" s="415"/>
      <c r="K679" s="408"/>
      <c r="N679" s="408"/>
      <c r="P679" s="14"/>
    </row>
    <row r="680" spans="1:16" hidden="1" x14ac:dyDescent="0.3">
      <c r="C680" s="1461" t="s">
        <v>1162</v>
      </c>
      <c r="D680" s="1466"/>
      <c r="E680" s="1466"/>
      <c r="F680" s="1466"/>
      <c r="G680" s="1466"/>
      <c r="H680" s="1460"/>
      <c r="I680" s="1460"/>
      <c r="J680" s="415"/>
      <c r="K680" s="408"/>
      <c r="N680" s="408"/>
      <c r="P680" s="14"/>
    </row>
    <row r="681" spans="1:16" hidden="1" x14ac:dyDescent="0.3">
      <c r="C681" s="1461" t="s">
        <v>1163</v>
      </c>
      <c r="D681" s="1466"/>
      <c r="E681" s="1466"/>
      <c r="F681" s="1466"/>
      <c r="G681" s="1466"/>
      <c r="H681" s="1460"/>
      <c r="I681" s="1460"/>
      <c r="J681" s="415"/>
      <c r="K681" s="408"/>
      <c r="N681" s="408"/>
      <c r="P681" s="14"/>
    </row>
    <row r="682" spans="1:16" hidden="1" x14ac:dyDescent="0.3">
      <c r="C682" s="1461" t="s">
        <v>1164</v>
      </c>
      <c r="D682" s="1466"/>
      <c r="E682" s="1466"/>
      <c r="F682" s="1466"/>
      <c r="G682" s="1466"/>
      <c r="H682" s="1460"/>
      <c r="I682" s="1460"/>
      <c r="J682" s="415"/>
      <c r="K682" s="408"/>
      <c r="N682" s="408"/>
      <c r="P682" s="14"/>
    </row>
    <row r="683" spans="1:16" hidden="1" x14ac:dyDescent="0.3">
      <c r="C683" s="1461" t="s">
        <v>1165</v>
      </c>
      <c r="D683" s="1466"/>
      <c r="E683" s="1466"/>
      <c r="F683" s="1466"/>
      <c r="G683" s="1466"/>
      <c r="H683" s="1460"/>
      <c r="I683" s="1460"/>
      <c r="J683" s="415"/>
      <c r="K683" s="408"/>
      <c r="N683" s="408"/>
      <c r="P683" s="14"/>
    </row>
    <row r="684" spans="1:16" hidden="1" x14ac:dyDescent="0.3">
      <c r="C684" s="1461"/>
      <c r="D684" s="1466"/>
      <c r="E684" s="1466"/>
      <c r="F684" s="1466"/>
      <c r="G684" s="1466"/>
      <c r="H684" s="437"/>
      <c r="I684" s="1460"/>
      <c r="J684" s="415"/>
      <c r="K684" s="408"/>
      <c r="N684" s="408"/>
      <c r="P684" s="14"/>
    </row>
    <row r="685" spans="1:16" hidden="1" x14ac:dyDescent="0.3">
      <c r="C685" s="1457" t="s">
        <v>35</v>
      </c>
      <c r="D685" s="1462"/>
      <c r="E685" s="1462"/>
      <c r="F685" s="1462"/>
      <c r="G685" s="1462"/>
      <c r="H685" s="1467">
        <v>0</v>
      </c>
      <c r="I685" s="440">
        <v>0</v>
      </c>
      <c r="J685" s="415"/>
      <c r="K685" s="408"/>
      <c r="N685" s="408"/>
      <c r="P685" s="14"/>
    </row>
    <row r="686" spans="1:16" hidden="1" x14ac:dyDescent="0.3">
      <c r="C686" s="431"/>
      <c r="D686" s="415"/>
      <c r="E686" s="432"/>
      <c r="F686" s="432"/>
      <c r="G686" s="432"/>
      <c r="H686" s="415"/>
      <c r="I686" s="415"/>
      <c r="J686" s="415"/>
      <c r="K686" s="408"/>
      <c r="N686" s="408"/>
      <c r="P686" s="14"/>
    </row>
    <row r="687" spans="1:16" hidden="1" x14ac:dyDescent="0.3">
      <c r="C687" s="434"/>
      <c r="K687" s="408"/>
      <c r="N687" s="408"/>
      <c r="P687" s="14"/>
    </row>
    <row r="688" spans="1:16" hidden="1" x14ac:dyDescent="0.3">
      <c r="A688" s="1" t="s">
        <v>1142</v>
      </c>
      <c r="C688" s="414"/>
      <c r="D688" s="434"/>
      <c r="E688" s="434"/>
      <c r="F688" s="434"/>
      <c r="G688" s="434"/>
      <c r="H688" s="434"/>
      <c r="I688" s="434"/>
      <c r="J688" s="434"/>
      <c r="K688" s="408"/>
      <c r="N688" s="408"/>
      <c r="P688" s="14"/>
    </row>
    <row r="689" spans="3:16" x14ac:dyDescent="0.3">
      <c r="C689" s="17" t="str">
        <f>"Note "&amp;'Profit and Loss'!E22&amp;" - Purchases of stock-in-trade (traded goods)"</f>
        <v>Note 17 - Purchases of stock-in-trade (traded goods)</v>
      </c>
      <c r="D689" s="17"/>
      <c r="E689" s="18"/>
      <c r="F689" s="849"/>
      <c r="G689" s="434"/>
      <c r="H689" s="1269"/>
      <c r="I689" s="1269"/>
      <c r="J689" s="417"/>
      <c r="K689" s="408"/>
      <c r="N689" s="408"/>
      <c r="P689" s="14"/>
    </row>
    <row r="690" spans="3:16" x14ac:dyDescent="0.3">
      <c r="C690" s="18"/>
      <c r="D690" s="18"/>
      <c r="E690" s="18"/>
      <c r="F690" s="1271" t="str">
        <f>'Master Data'!$C$26</f>
        <v>Amount in Rs '00.</v>
      </c>
      <c r="G690" s="434"/>
      <c r="H690" s="414"/>
      <c r="I690" s="414"/>
      <c r="J690" s="417"/>
      <c r="K690" s="408"/>
      <c r="N690" s="408"/>
      <c r="P690" s="14"/>
    </row>
    <row r="691" spans="3:16" ht="30" x14ac:dyDescent="0.3">
      <c r="C691" s="2885" t="s">
        <v>20</v>
      </c>
      <c r="D691" s="2886"/>
      <c r="E691" s="1929" t="str">
        <f>PLCY</f>
        <v>For the Year ended 31st March 2025</v>
      </c>
      <c r="F691" s="1938" t="str">
        <f>PLPY</f>
        <v>For the Year ended 31st March 2024</v>
      </c>
      <c r="G691" s="434"/>
      <c r="H691" s="434"/>
      <c r="I691" s="434"/>
      <c r="J691" s="417"/>
      <c r="K691" s="408"/>
      <c r="N691" s="408"/>
      <c r="P691" s="14"/>
    </row>
    <row r="692" spans="3:16" x14ac:dyDescent="0.3">
      <c r="C692" s="1272" t="s">
        <v>3873</v>
      </c>
      <c r="D692" s="1273"/>
      <c r="E692" s="2527">
        <f>+SUMIFS('TB Grouping'!F:F,'TB Grouping'!H:H,"Purchase")/100</f>
        <v>1615132.9332999999</v>
      </c>
      <c r="F692" s="2528">
        <f>127521936/100</f>
        <v>1275219.3600000001</v>
      </c>
      <c r="G692" s="434"/>
      <c r="H692" s="434"/>
      <c r="I692" s="434"/>
      <c r="J692" s="417"/>
      <c r="K692" s="408"/>
      <c r="N692" s="408"/>
      <c r="P692" s="14"/>
    </row>
    <row r="693" spans="3:16" hidden="1" x14ac:dyDescent="0.3">
      <c r="C693" s="1275" t="s">
        <v>627</v>
      </c>
      <c r="D693" s="1276"/>
      <c r="E693" s="1277"/>
      <c r="F693" s="1274"/>
      <c r="G693" s="434"/>
      <c r="H693" s="434"/>
      <c r="I693" s="434"/>
      <c r="J693" s="417"/>
      <c r="K693" s="408"/>
      <c r="N693" s="408"/>
      <c r="P693" s="14"/>
    </row>
    <row r="694" spans="3:16" hidden="1" x14ac:dyDescent="0.3">
      <c r="C694" s="1275" t="s">
        <v>669</v>
      </c>
      <c r="D694" s="1276"/>
      <c r="E694" s="1277"/>
      <c r="F694" s="1274"/>
      <c r="G694" s="434"/>
      <c r="H694" s="434"/>
      <c r="I694" s="434"/>
      <c r="J694" s="417"/>
      <c r="K694" s="408"/>
      <c r="N694" s="408"/>
      <c r="P694" s="14"/>
    </row>
    <row r="695" spans="3:16" hidden="1" x14ac:dyDescent="0.3">
      <c r="C695" s="1275" t="s">
        <v>196</v>
      </c>
      <c r="D695" s="1276"/>
      <c r="E695" s="1277"/>
      <c r="F695" s="1274"/>
      <c r="G695" s="434"/>
      <c r="H695" s="434"/>
      <c r="I695" s="434"/>
      <c r="J695" s="417"/>
      <c r="K695" s="408"/>
      <c r="N695" s="408"/>
      <c r="P695" s="14"/>
    </row>
    <row r="696" spans="3:16" x14ac:dyDescent="0.3">
      <c r="C696" s="1275"/>
      <c r="D696" s="1276"/>
      <c r="E696" s="1278"/>
      <c r="F696" s="1279"/>
      <c r="G696" s="434"/>
      <c r="H696" s="434"/>
      <c r="I696" s="434"/>
      <c r="J696" s="417"/>
      <c r="K696" s="408"/>
      <c r="N696" s="408"/>
      <c r="P696" s="14"/>
    </row>
    <row r="697" spans="3:16" x14ac:dyDescent="0.3">
      <c r="C697" s="3190" t="s">
        <v>35</v>
      </c>
      <c r="D697" s="3191"/>
      <c r="E697" s="1940">
        <f>SUM(E692:E695)</f>
        <v>1615132.9332999999</v>
      </c>
      <c r="F697" s="1941">
        <f>SUM(F692:F695)</f>
        <v>1275219.3600000001</v>
      </c>
      <c r="G697" s="434"/>
      <c r="H697" s="434"/>
      <c r="I697" s="434"/>
      <c r="J697" s="417"/>
      <c r="K697" s="408"/>
      <c r="N697" s="408"/>
      <c r="P697" s="14"/>
    </row>
    <row r="698" spans="3:16" x14ac:dyDescent="0.3">
      <c r="C698" s="18"/>
      <c r="D698" s="18"/>
      <c r="E698" s="18"/>
      <c r="F698" s="849"/>
      <c r="G698" s="434"/>
      <c r="H698" s="434"/>
      <c r="I698" s="434"/>
      <c r="J698" s="417"/>
      <c r="K698" s="408"/>
      <c r="N698" s="408"/>
      <c r="P698" s="14"/>
    </row>
    <row r="699" spans="3:16" x14ac:dyDescent="0.3">
      <c r="C699" s="483" t="str">
        <f>"Note "&amp;'Profit and Loss'!E23&amp;" - Changes in inventories of finished goods, work-in-progress and stock-in-trade"</f>
        <v>Note 18 - Changes in inventories of finished goods, work-in-progress and stock-in-trade</v>
      </c>
      <c r="D699" s="483"/>
      <c r="E699" s="18"/>
      <c r="F699" s="849"/>
      <c r="G699" s="434"/>
      <c r="H699" s="434"/>
      <c r="I699" s="434"/>
      <c r="J699" s="417"/>
      <c r="K699" s="408"/>
      <c r="N699" s="408"/>
      <c r="P699" s="14"/>
    </row>
    <row r="700" spans="3:16" x14ac:dyDescent="0.3">
      <c r="C700" s="18"/>
      <c r="D700" s="18"/>
      <c r="E700" s="18"/>
      <c r="F700" s="1280" t="str">
        <f>'Master Data'!$C$26</f>
        <v>Amount in Rs '00.</v>
      </c>
      <c r="G700" s="434"/>
      <c r="H700" s="434"/>
      <c r="I700" s="434"/>
      <c r="J700" s="417"/>
      <c r="K700" s="408"/>
      <c r="N700" s="408"/>
      <c r="P700" s="14"/>
    </row>
    <row r="701" spans="3:16" ht="30" x14ac:dyDescent="0.3">
      <c r="C701" s="2870" t="s">
        <v>20</v>
      </c>
      <c r="D701" s="2871"/>
      <c r="E701" s="1929" t="str">
        <f>PLCY</f>
        <v>For the Year ended 31st March 2025</v>
      </c>
      <c r="F701" s="1938" t="str">
        <f>PLPY</f>
        <v>For the Year ended 31st March 2024</v>
      </c>
      <c r="G701" s="434"/>
      <c r="H701" s="434"/>
      <c r="I701" s="434"/>
      <c r="J701" s="417"/>
      <c r="K701" s="408"/>
      <c r="N701" s="408"/>
      <c r="P701" s="14"/>
    </row>
    <row r="702" spans="3:16" x14ac:dyDescent="0.3">
      <c r="C702" s="1281" t="s">
        <v>3874</v>
      </c>
      <c r="D702" s="1282"/>
      <c r="E702" s="1283"/>
      <c r="F702" s="1284"/>
      <c r="G702" s="434"/>
      <c r="H702" s="434"/>
      <c r="I702" s="434"/>
      <c r="J702" s="417"/>
      <c r="K702" s="408"/>
      <c r="N702" s="408"/>
      <c r="P702" s="14"/>
    </row>
    <row r="703" spans="3:16" x14ac:dyDescent="0.3">
      <c r="C703" s="1285" t="s">
        <v>226</v>
      </c>
      <c r="D703" s="1286"/>
      <c r="E703" s="1287"/>
      <c r="F703" s="54"/>
      <c r="G703" s="434"/>
      <c r="H703" s="434"/>
      <c r="I703" s="434"/>
      <c r="J703" s="417"/>
      <c r="K703" s="408"/>
      <c r="N703" s="408"/>
      <c r="P703" s="14"/>
    </row>
    <row r="704" spans="3:16" x14ac:dyDescent="0.3">
      <c r="C704" s="1285" t="s">
        <v>227</v>
      </c>
      <c r="D704" s="1286"/>
      <c r="E704" s="1287"/>
      <c r="F704" s="54"/>
      <c r="G704" s="434"/>
      <c r="H704" s="434"/>
      <c r="I704" s="434"/>
      <c r="J704" s="417"/>
      <c r="K704" s="408"/>
      <c r="N704" s="408"/>
      <c r="P704" s="14"/>
    </row>
    <row r="705" spans="1:16" x14ac:dyDescent="0.3">
      <c r="C705" s="1285" t="s">
        <v>228</v>
      </c>
      <c r="D705" s="1286"/>
      <c r="E705" s="1287">
        <f>3339719.78/100</f>
        <v>33397.197799999994</v>
      </c>
      <c r="F705" s="54">
        <f>+'TB Grouping'!C8/100</f>
        <v>25264.693599999999</v>
      </c>
      <c r="G705" s="434"/>
      <c r="H705" s="434"/>
      <c r="I705" s="434"/>
      <c r="J705" s="417"/>
      <c r="K705" s="408"/>
      <c r="N705" s="408"/>
      <c r="P705" s="14"/>
    </row>
    <row r="706" spans="1:16" x14ac:dyDescent="0.3">
      <c r="C706" s="1288"/>
      <c r="D706" s="1289"/>
      <c r="E706" s="1290">
        <f>SUM(E703:E705)</f>
        <v>33397.197799999994</v>
      </c>
      <c r="F706" s="1291">
        <f>SUM(F703:F705)</f>
        <v>25264.693599999999</v>
      </c>
      <c r="G706" s="434"/>
      <c r="H706" s="434"/>
      <c r="I706" s="434"/>
      <c r="J706" s="417"/>
      <c r="K706" s="408"/>
      <c r="N706" s="408"/>
      <c r="P706" s="14"/>
    </row>
    <row r="707" spans="1:16" x14ac:dyDescent="0.3">
      <c r="C707" s="1288"/>
      <c r="D707" s="1289"/>
      <c r="E707" s="1287"/>
      <c r="F707" s="1292"/>
      <c r="G707" s="434"/>
      <c r="H707" s="434"/>
      <c r="I707" s="434"/>
      <c r="J707" s="417"/>
      <c r="K707" s="408"/>
      <c r="N707" s="408"/>
      <c r="P707" s="14"/>
    </row>
    <row r="708" spans="1:16" x14ac:dyDescent="0.3">
      <c r="C708" s="1293" t="s">
        <v>3875</v>
      </c>
      <c r="D708" s="1294"/>
      <c r="E708" s="1287"/>
      <c r="F708" s="54"/>
      <c r="G708" s="434"/>
      <c r="H708" s="1270"/>
      <c r="I708" s="1270"/>
      <c r="J708" s="417"/>
      <c r="K708" s="408"/>
      <c r="N708" s="408"/>
      <c r="P708" s="14"/>
    </row>
    <row r="709" spans="1:16" x14ac:dyDescent="0.3">
      <c r="C709" s="1285" t="s">
        <v>226</v>
      </c>
      <c r="D709" s="1286"/>
      <c r="E709" s="1287">
        <f>F703</f>
        <v>0</v>
      </c>
      <c r="F709" s="54"/>
      <c r="G709" s="434"/>
      <c r="H709" s="434"/>
      <c r="I709" s="434"/>
      <c r="J709" s="417"/>
      <c r="K709" s="408"/>
      <c r="N709" s="408"/>
      <c r="P709" s="14"/>
    </row>
    <row r="710" spans="1:16" x14ac:dyDescent="0.3">
      <c r="C710" s="1285" t="s">
        <v>227</v>
      </c>
      <c r="D710" s="1286"/>
      <c r="E710" s="1287">
        <f>F704</f>
        <v>0</v>
      </c>
      <c r="F710" s="54"/>
      <c r="G710" s="434"/>
      <c r="H710" s="434"/>
      <c r="I710" s="434"/>
      <c r="J710" s="417"/>
      <c r="K710" s="408"/>
      <c r="N710" s="408"/>
      <c r="P710" s="14"/>
    </row>
    <row r="711" spans="1:16" x14ac:dyDescent="0.3">
      <c r="A711" s="1" t="s">
        <v>58</v>
      </c>
      <c r="C711" s="1285" t="s">
        <v>228</v>
      </c>
      <c r="D711" s="1286"/>
      <c r="E711" s="1287">
        <f>F705</f>
        <v>25264.693599999999</v>
      </c>
      <c r="F711" s="58">
        <f>+'TB Grouping'!L8/100</f>
        <v>152859.7971</v>
      </c>
      <c r="G711" s="434"/>
      <c r="H711" s="434"/>
      <c r="I711" s="434"/>
      <c r="J711" s="417"/>
      <c r="K711" s="408"/>
      <c r="N711" s="408"/>
      <c r="P711" s="14"/>
    </row>
    <row r="712" spans="1:16" x14ac:dyDescent="0.3">
      <c r="C712" s="1295"/>
      <c r="D712" s="1296"/>
      <c r="E712" s="1290">
        <f>SUM(E709:E711)</f>
        <v>25264.693599999999</v>
      </c>
      <c r="F712" s="1290">
        <f>SUM(F709:F711)</f>
        <v>152859.7971</v>
      </c>
      <c r="G712" s="434"/>
      <c r="H712" s="1269"/>
      <c r="I712" s="1269"/>
      <c r="J712" s="417"/>
      <c r="K712" s="408"/>
      <c r="N712" s="408"/>
      <c r="P712" s="14"/>
    </row>
    <row r="713" spans="1:16" x14ac:dyDescent="0.3">
      <c r="C713" s="1295"/>
      <c r="D713" s="1296"/>
      <c r="E713" s="1287"/>
      <c r="F713" s="54"/>
      <c r="G713" s="434"/>
      <c r="H713" s="434"/>
      <c r="I713" s="434"/>
      <c r="J713" s="417"/>
      <c r="K713" s="408"/>
      <c r="N713" s="408"/>
      <c r="P713" s="14"/>
    </row>
    <row r="714" spans="1:16" x14ac:dyDescent="0.3">
      <c r="C714" s="3179" t="s">
        <v>229</v>
      </c>
      <c r="D714" s="3179"/>
      <c r="E714" s="1946">
        <f>E712-E706</f>
        <v>-8132.5041999999958</v>
      </c>
      <c r="F714" s="1946">
        <f>F712-F706</f>
        <v>127595.1035</v>
      </c>
      <c r="G714" s="434"/>
      <c r="H714" s="434"/>
      <c r="I714" s="434"/>
      <c r="J714" s="417"/>
      <c r="K714" s="408"/>
      <c r="N714" s="408"/>
      <c r="P714" s="14"/>
    </row>
    <row r="715" spans="1:16" x14ac:dyDescent="0.3">
      <c r="C715" s="434"/>
      <c r="D715" s="434"/>
      <c r="E715" s="434"/>
      <c r="F715" s="434"/>
      <c r="G715" s="434"/>
      <c r="H715" s="434"/>
      <c r="I715" s="434"/>
      <c r="J715" s="417"/>
      <c r="K715" s="408"/>
      <c r="N715" s="408"/>
      <c r="P715" s="14"/>
    </row>
    <row r="716" spans="1:16" x14ac:dyDescent="0.3">
      <c r="C716" s="434"/>
      <c r="D716" s="434"/>
      <c r="E716" s="434"/>
      <c r="F716" s="434"/>
      <c r="G716" s="434"/>
      <c r="H716" s="434"/>
      <c r="I716" s="434"/>
      <c r="J716" s="417"/>
      <c r="K716" s="408"/>
      <c r="N716" s="408"/>
      <c r="P716" s="14"/>
    </row>
    <row r="717" spans="1:16" x14ac:dyDescent="0.3">
      <c r="C717" s="17" t="str">
        <f>"Note "&amp;'Profit and Loss'!E32&amp;" Exceptional Items"</f>
        <v>Note 21 Exceptional Items</v>
      </c>
      <c r="D717" s="17"/>
      <c r="E717" s="383"/>
      <c r="F717" s="935"/>
      <c r="G717" s="434"/>
      <c r="H717" s="434"/>
      <c r="I717" s="434"/>
      <c r="J717" s="417"/>
      <c r="K717" s="408"/>
      <c r="N717" s="408"/>
      <c r="P717" s="14"/>
    </row>
    <row r="718" spans="1:16" x14ac:dyDescent="0.3">
      <c r="C718" s="382"/>
      <c r="D718" s="382"/>
      <c r="E718" s="383"/>
      <c r="F718" s="1259" t="str">
        <f>'Master Data'!$C$26</f>
        <v>Amount in Rs '00.</v>
      </c>
      <c r="G718" s="434"/>
      <c r="H718" s="434"/>
      <c r="I718" s="434"/>
      <c r="J718" s="417"/>
      <c r="K718" s="408"/>
      <c r="N718" s="408"/>
      <c r="P718" s="14"/>
    </row>
    <row r="719" spans="1:16" ht="30" x14ac:dyDescent="0.3">
      <c r="C719" s="1304" t="s">
        <v>20</v>
      </c>
      <c r="D719" s="1305"/>
      <c r="E719" s="311" t="str">
        <f>PLCY</f>
        <v>For the Year ended 31st March 2025</v>
      </c>
      <c r="F719" s="1257" t="str">
        <f>PLPY</f>
        <v>For the Year ended 31st March 2024</v>
      </c>
      <c r="G719" s="434"/>
      <c r="H719" s="434"/>
      <c r="I719" s="434"/>
      <c r="J719" s="417"/>
      <c r="K719" s="408"/>
      <c r="N719" s="408"/>
      <c r="P719" s="14"/>
    </row>
    <row r="720" spans="1:16" x14ac:dyDescent="0.3">
      <c r="C720" s="1297" t="s">
        <v>3775</v>
      </c>
      <c r="D720" s="1299"/>
      <c r="E720" s="313">
        <f>5872674/100</f>
        <v>58726.74</v>
      </c>
      <c r="F720" s="1258">
        <v>0</v>
      </c>
      <c r="G720" s="434"/>
      <c r="H720" s="434"/>
      <c r="I720" s="434"/>
      <c r="J720" s="417"/>
      <c r="K720" s="408"/>
      <c r="N720" s="408"/>
      <c r="P720" s="14"/>
    </row>
    <row r="721" spans="3:16" x14ac:dyDescent="0.3">
      <c r="C721" s="1297"/>
      <c r="D721" s="1300"/>
      <c r="E721" s="1302"/>
      <c r="F721" s="1258"/>
      <c r="G721" s="434"/>
      <c r="H721" s="434"/>
      <c r="I721" s="434"/>
      <c r="J721" s="417"/>
      <c r="K721" s="408"/>
      <c r="N721" s="408"/>
      <c r="P721" s="14"/>
    </row>
    <row r="722" spans="3:16" x14ac:dyDescent="0.3">
      <c r="C722" s="1297"/>
      <c r="D722" s="1299"/>
      <c r="E722" s="313"/>
      <c r="F722" s="1258"/>
      <c r="G722" s="434"/>
      <c r="H722" s="434"/>
      <c r="I722" s="434"/>
      <c r="J722" s="417"/>
      <c r="K722" s="408"/>
      <c r="N722" s="408"/>
      <c r="P722" s="14"/>
    </row>
    <row r="723" spans="3:16" x14ac:dyDescent="0.3">
      <c r="C723" s="1297"/>
      <c r="D723" s="1299"/>
      <c r="E723" s="313"/>
      <c r="F723" s="1258"/>
      <c r="G723" s="434"/>
      <c r="H723" s="434"/>
      <c r="I723" s="434"/>
      <c r="J723" s="417"/>
      <c r="K723" s="408"/>
      <c r="N723" s="408"/>
      <c r="P723" s="14"/>
    </row>
    <row r="724" spans="3:16" x14ac:dyDescent="0.3">
      <c r="C724" s="1297"/>
      <c r="D724" s="1299"/>
      <c r="E724" s="313"/>
      <c r="F724" s="1258"/>
      <c r="G724" s="434"/>
      <c r="H724" s="434"/>
      <c r="I724" s="434"/>
      <c r="J724" s="417"/>
      <c r="K724" s="408"/>
      <c r="N724" s="408"/>
      <c r="P724" s="14"/>
    </row>
    <row r="725" spans="3:16" x14ac:dyDescent="0.3">
      <c r="C725" s="1297"/>
      <c r="D725" s="1299"/>
      <c r="E725" s="313"/>
      <c r="F725" s="1258"/>
      <c r="G725" s="434"/>
      <c r="H725" s="434"/>
      <c r="I725" s="434"/>
      <c r="J725" s="417"/>
      <c r="K725" s="408"/>
      <c r="N725" s="408"/>
      <c r="P725" s="14"/>
    </row>
    <row r="726" spans="3:16" x14ac:dyDescent="0.3">
      <c r="C726" s="1297"/>
      <c r="D726" s="1299"/>
      <c r="E726" s="313"/>
      <c r="F726" s="1258"/>
      <c r="G726" s="434"/>
      <c r="H726" s="434"/>
      <c r="I726" s="434"/>
      <c r="J726" s="417"/>
      <c r="K726" s="408"/>
      <c r="N726" s="408"/>
      <c r="P726" s="14"/>
    </row>
    <row r="727" spans="3:16" x14ac:dyDescent="0.3">
      <c r="C727" s="1297"/>
      <c r="D727" s="1299"/>
      <c r="E727" s="313"/>
      <c r="F727" s="1258"/>
      <c r="G727" s="434"/>
      <c r="H727" s="434"/>
      <c r="I727" s="434"/>
      <c r="J727" s="417"/>
      <c r="K727" s="408"/>
      <c r="N727" s="408"/>
      <c r="P727" s="14"/>
    </row>
    <row r="728" spans="3:16" x14ac:dyDescent="0.3">
      <c r="C728" s="1297"/>
      <c r="D728" s="1299"/>
      <c r="E728" s="313"/>
      <c r="F728" s="1258"/>
      <c r="G728" s="434"/>
      <c r="H728" s="434"/>
      <c r="I728" s="434"/>
      <c r="J728" s="417"/>
      <c r="K728" s="408"/>
      <c r="N728" s="408"/>
      <c r="P728" s="14"/>
    </row>
    <row r="729" spans="3:16" x14ac:dyDescent="0.3">
      <c r="C729" s="1297"/>
      <c r="D729" s="1299"/>
      <c r="E729" s="313"/>
      <c r="F729" s="1258"/>
      <c r="G729" s="434"/>
      <c r="H729" s="434"/>
      <c r="I729" s="434"/>
      <c r="J729" s="417"/>
      <c r="K729" s="408"/>
      <c r="N729" s="408"/>
      <c r="P729" s="14"/>
    </row>
    <row r="730" spans="3:16" x14ac:dyDescent="0.3">
      <c r="C730" s="1297"/>
      <c r="D730" s="1299"/>
      <c r="E730" s="313"/>
      <c r="F730" s="1258"/>
      <c r="G730" s="434"/>
      <c r="H730" s="434"/>
      <c r="I730" s="434"/>
      <c r="J730" s="417"/>
      <c r="K730" s="408"/>
      <c r="N730" s="408"/>
      <c r="P730" s="14"/>
    </row>
    <row r="731" spans="3:16" x14ac:dyDescent="0.3">
      <c r="C731" s="1297"/>
      <c r="D731" s="1299"/>
      <c r="E731" s="313"/>
      <c r="F731" s="1258"/>
      <c r="G731" s="434"/>
      <c r="H731" s="434"/>
      <c r="I731" s="434"/>
      <c r="J731" s="417"/>
      <c r="K731" s="408"/>
      <c r="N731" s="408"/>
      <c r="P731" s="14"/>
    </row>
    <row r="732" spans="3:16" x14ac:dyDescent="0.3">
      <c r="C732" s="1297"/>
      <c r="D732" s="1299"/>
      <c r="E732" s="313"/>
      <c r="F732" s="1258"/>
      <c r="G732" s="434"/>
      <c r="H732" s="434"/>
      <c r="I732" s="434"/>
      <c r="J732" s="417"/>
      <c r="K732" s="408"/>
      <c r="N732" s="408"/>
      <c r="P732" s="14"/>
    </row>
    <row r="733" spans="3:16" x14ac:dyDescent="0.3">
      <c r="C733" s="1297"/>
      <c r="D733" s="1299"/>
      <c r="E733" s="313"/>
      <c r="F733" s="1258"/>
      <c r="G733" s="434"/>
      <c r="H733" s="434"/>
      <c r="I733" s="434"/>
      <c r="J733" s="417"/>
      <c r="K733" s="408"/>
      <c r="N733" s="408"/>
      <c r="P733" s="14"/>
    </row>
    <row r="734" spans="3:16" x14ac:dyDescent="0.3">
      <c r="C734" s="1298" t="s">
        <v>239</v>
      </c>
      <c r="D734" s="1301"/>
      <c r="E734" s="364">
        <f>SUM(E720:E733)</f>
        <v>58726.74</v>
      </c>
      <c r="F734" s="1260">
        <f>SUM(F720:F733)</f>
        <v>0</v>
      </c>
      <c r="G734" s="434"/>
      <c r="H734" s="434"/>
      <c r="I734" s="434"/>
      <c r="J734" s="417"/>
      <c r="K734" s="408"/>
      <c r="N734" s="408"/>
      <c r="P734" s="14"/>
    </row>
    <row r="735" spans="3:16" x14ac:dyDescent="0.3">
      <c r="C735" s="18"/>
      <c r="D735" s="18"/>
      <c r="E735" s="18"/>
      <c r="F735" s="935"/>
      <c r="G735" s="434"/>
      <c r="H735" s="434"/>
      <c r="I735" s="434"/>
      <c r="J735" s="417"/>
      <c r="K735" s="408"/>
      <c r="N735" s="408"/>
      <c r="P735" s="14"/>
    </row>
    <row r="736" spans="3:16" x14ac:dyDescent="0.3">
      <c r="C736" s="310" t="str">
        <f>"Note "&amp;'Profit and Loss'!E36&amp;" Extraordinary Items"</f>
        <v>Note 21 Extraordinary Items</v>
      </c>
      <c r="D736" s="310"/>
      <c r="E736" s="18"/>
      <c r="F736" s="935"/>
      <c r="G736" s="434"/>
      <c r="H736" s="434"/>
      <c r="I736" s="434"/>
      <c r="J736" s="417"/>
      <c r="K736" s="408"/>
      <c r="N736" s="408"/>
      <c r="P736" s="14"/>
    </row>
    <row r="737" spans="3:16" x14ac:dyDescent="0.3">
      <c r="C737" s="42"/>
      <c r="D737" s="42"/>
      <c r="E737" s="41"/>
      <c r="F737" s="1259" t="str">
        <f>'Master Data'!$C$26</f>
        <v>Amount in Rs '00.</v>
      </c>
      <c r="G737" s="434"/>
      <c r="H737" s="434"/>
      <c r="I737" s="434"/>
      <c r="J737" s="417"/>
      <c r="K737" s="408"/>
      <c r="N737" s="408"/>
      <c r="P737" s="14"/>
    </row>
    <row r="738" spans="3:16" ht="30" x14ac:dyDescent="0.3">
      <c r="C738" s="1304" t="s">
        <v>20</v>
      </c>
      <c r="D738" s="1305"/>
      <c r="E738" s="311" t="str">
        <f>PLCY</f>
        <v>For the Year ended 31st March 2025</v>
      </c>
      <c r="F738" s="1257" t="str">
        <f>PLPY</f>
        <v>For the Year ended 31st March 2024</v>
      </c>
      <c r="G738" s="434"/>
      <c r="H738" s="434"/>
      <c r="I738" s="434"/>
      <c r="J738" s="417"/>
      <c r="K738" s="408"/>
      <c r="N738" s="408"/>
      <c r="P738" s="14"/>
    </row>
    <row r="739" spans="3:16" x14ac:dyDescent="0.3">
      <c r="C739" s="1297"/>
      <c r="D739" s="1300"/>
      <c r="E739" s="312"/>
      <c r="F739" s="1258"/>
      <c r="G739" s="434"/>
      <c r="H739" s="434"/>
      <c r="I739" s="434"/>
      <c r="J739" s="417"/>
      <c r="K739" s="408"/>
      <c r="N739" s="408"/>
      <c r="P739" s="14"/>
    </row>
    <row r="740" spans="3:16" x14ac:dyDescent="0.3">
      <c r="C740" s="1297"/>
      <c r="D740" s="1300"/>
      <c r="E740" s="1302"/>
      <c r="F740" s="1258"/>
      <c r="G740" s="434"/>
      <c r="H740" s="434"/>
      <c r="I740" s="434"/>
      <c r="J740" s="417"/>
      <c r="K740" s="408"/>
      <c r="N740" s="408"/>
      <c r="P740" s="14"/>
    </row>
    <row r="741" spans="3:16" x14ac:dyDescent="0.3">
      <c r="C741" s="1297"/>
      <c r="D741" s="1300"/>
      <c r="E741" s="1302"/>
      <c r="F741" s="1258"/>
      <c r="G741" s="434"/>
      <c r="H741" s="434"/>
      <c r="I741" s="434"/>
      <c r="J741" s="417"/>
      <c r="K741" s="408"/>
      <c r="N741" s="408"/>
      <c r="P741" s="14"/>
    </row>
    <row r="742" spans="3:16" x14ac:dyDescent="0.3">
      <c r="C742" s="1297"/>
      <c r="D742" s="1300"/>
      <c r="E742" s="1302"/>
      <c r="F742" s="1258"/>
      <c r="G742" s="434"/>
      <c r="H742" s="434"/>
      <c r="I742" s="434"/>
      <c r="J742" s="417"/>
      <c r="K742" s="408"/>
      <c r="N742" s="408"/>
      <c r="P742" s="14"/>
    </row>
    <row r="743" spans="3:16" x14ac:dyDescent="0.3">
      <c r="C743" s="1297"/>
      <c r="D743" s="1300"/>
      <c r="E743" s="1302"/>
      <c r="F743" s="1258"/>
      <c r="G743" s="434"/>
      <c r="H743" s="434"/>
      <c r="I743" s="434"/>
      <c r="J743" s="417"/>
      <c r="K743" s="408"/>
      <c r="N743" s="408"/>
      <c r="P743" s="14"/>
    </row>
    <row r="744" spans="3:16" x14ac:dyDescent="0.3">
      <c r="C744" s="1297"/>
      <c r="D744" s="1300"/>
      <c r="E744" s="1302"/>
      <c r="F744" s="1258"/>
      <c r="G744" s="434"/>
      <c r="H744" s="434"/>
      <c r="I744" s="434"/>
      <c r="J744" s="417"/>
      <c r="K744" s="408"/>
      <c r="N744" s="408"/>
      <c r="P744" s="14"/>
    </row>
    <row r="745" spans="3:16" x14ac:dyDescent="0.3">
      <c r="C745" s="1297"/>
      <c r="D745" s="1300"/>
      <c r="E745" s="1302"/>
      <c r="F745" s="1258"/>
      <c r="G745" s="434"/>
      <c r="H745" s="434"/>
      <c r="I745" s="434"/>
      <c r="J745" s="417"/>
      <c r="K745" s="408"/>
      <c r="N745" s="408"/>
      <c r="P745" s="14"/>
    </row>
    <row r="746" spans="3:16" x14ac:dyDescent="0.3">
      <c r="C746" s="1297"/>
      <c r="D746" s="1300"/>
      <c r="E746" s="1302"/>
      <c r="F746" s="1258"/>
      <c r="G746" s="434"/>
      <c r="H746" s="434"/>
      <c r="I746" s="434"/>
      <c r="J746" s="417"/>
      <c r="K746" s="408"/>
      <c r="N746" s="408"/>
      <c r="P746" s="14"/>
    </row>
    <row r="747" spans="3:16" x14ac:dyDescent="0.3">
      <c r="C747" s="1297"/>
      <c r="D747" s="1300"/>
      <c r="E747" s="1302"/>
      <c r="F747" s="1258"/>
      <c r="G747" s="434"/>
      <c r="H747" s="434"/>
      <c r="I747" s="434"/>
      <c r="J747" s="417"/>
      <c r="K747" s="408"/>
      <c r="N747" s="408"/>
      <c r="P747" s="14"/>
    </row>
    <row r="748" spans="3:16" x14ac:dyDescent="0.3">
      <c r="C748" s="1297"/>
      <c r="D748" s="1300"/>
      <c r="E748" s="1302"/>
      <c r="F748" s="1258"/>
      <c r="G748" s="434"/>
      <c r="H748" s="434"/>
      <c r="I748" s="434"/>
      <c r="J748" s="417"/>
      <c r="K748" s="408"/>
      <c r="N748" s="408"/>
      <c r="P748" s="14"/>
    </row>
    <row r="749" spans="3:16" x14ac:dyDescent="0.3">
      <c r="C749" s="1297"/>
      <c r="D749" s="1300"/>
      <c r="E749" s="1303"/>
      <c r="F749" s="1258"/>
      <c r="G749" s="434"/>
      <c r="H749" s="434"/>
      <c r="I749" s="434"/>
      <c r="J749" s="417"/>
      <c r="K749" s="408"/>
      <c r="N749" s="408"/>
      <c r="P749" s="14"/>
    </row>
    <row r="750" spans="3:16" x14ac:dyDescent="0.3">
      <c r="C750" s="1298" t="s">
        <v>239</v>
      </c>
      <c r="D750" s="1301"/>
      <c r="E750" s="364">
        <f>SUM(E739:E749)</f>
        <v>0</v>
      </c>
      <c r="F750" s="1260">
        <f>SUM(F739:F749)</f>
        <v>0</v>
      </c>
      <c r="G750" s="434"/>
      <c r="H750" s="434"/>
      <c r="I750" s="434"/>
      <c r="J750" s="417"/>
      <c r="K750" s="408"/>
      <c r="N750" s="408"/>
      <c r="P750" s="14"/>
    </row>
    <row r="751" spans="3:16" x14ac:dyDescent="0.3">
      <c r="C751" s="434"/>
      <c r="D751" s="434"/>
      <c r="E751" s="434"/>
      <c r="F751" s="434"/>
      <c r="G751" s="434"/>
      <c r="H751" s="434"/>
      <c r="I751" s="434"/>
      <c r="J751" s="417"/>
      <c r="K751" s="408"/>
      <c r="N751" s="408"/>
      <c r="P751" s="14"/>
    </row>
    <row r="752" spans="3:16" x14ac:dyDescent="0.3">
      <c r="C752" s="431"/>
      <c r="D752" s="431"/>
      <c r="E752" s="434"/>
      <c r="F752" s="434"/>
      <c r="G752" s="434"/>
      <c r="H752" s="432"/>
      <c r="I752" s="432"/>
      <c r="J752" s="417"/>
      <c r="K752" s="408"/>
      <c r="N752" s="408"/>
      <c r="P752" s="14"/>
    </row>
    <row r="753" spans="1:16" x14ac:dyDescent="0.3">
      <c r="C753" s="431"/>
      <c r="D753" s="431"/>
      <c r="E753" s="434"/>
      <c r="F753" s="434"/>
      <c r="G753" s="434"/>
      <c r="H753" s="432"/>
      <c r="I753" s="432"/>
      <c r="J753" s="417"/>
      <c r="K753" s="408"/>
      <c r="N753" s="408"/>
      <c r="P753" s="14"/>
    </row>
    <row r="754" spans="1:16" x14ac:dyDescent="0.3">
      <c r="C754" s="431" t="str">
        <f>+Liabilities!C643</f>
        <v>Note 6 : Trade Payables</v>
      </c>
      <c r="D754" s="431"/>
      <c r="E754" s="434"/>
      <c r="F754" s="434"/>
      <c r="G754" s="434"/>
      <c r="H754" s="432"/>
      <c r="I754" s="432"/>
      <c r="J754" s="417"/>
      <c r="K754" s="408"/>
      <c r="N754" s="408"/>
      <c r="P754" s="14"/>
    </row>
    <row r="755" spans="1:16" ht="20.100000000000001" customHeight="1" x14ac:dyDescent="0.3">
      <c r="A755" s="1" t="s">
        <v>60</v>
      </c>
      <c r="C755" s="410"/>
      <c r="D755" s="435"/>
      <c r="E755" s="435"/>
      <c r="F755" s="435"/>
      <c r="G755" s="435"/>
      <c r="H755" s="435"/>
      <c r="I755" s="435"/>
      <c r="J755" s="417"/>
      <c r="K755" s="408"/>
      <c r="N755" s="408"/>
      <c r="P755" s="14"/>
    </row>
    <row r="756" spans="1:16" x14ac:dyDescent="0.3">
      <c r="C756" s="483" t="str">
        <f>"Trade Payables ageing schedule "&amp; BSCY</f>
        <v>Trade Payables ageing schedule As At 31st March 2025</v>
      </c>
      <c r="D756" s="81"/>
      <c r="E756" s="81"/>
      <c r="F756" s="81"/>
      <c r="G756" s="41"/>
      <c r="H756" s="41"/>
      <c r="I756" s="41"/>
      <c r="J756" s="1308"/>
      <c r="K756" s="408"/>
      <c r="P756" s="14"/>
    </row>
    <row r="757" spans="1:16" x14ac:dyDescent="0.3">
      <c r="C757" s="2769" t="s">
        <v>20</v>
      </c>
      <c r="D757" s="2769" t="s">
        <v>959</v>
      </c>
      <c r="E757" s="2762" t="s">
        <v>1966</v>
      </c>
      <c r="F757" s="2762"/>
      <c r="G757" s="2762"/>
      <c r="H757" s="2762"/>
      <c r="I757" s="2769" t="s">
        <v>35</v>
      </c>
      <c r="J757" s="1309"/>
      <c r="P757" s="14"/>
    </row>
    <row r="758" spans="1:16" x14ac:dyDescent="0.3">
      <c r="C758" s="2769"/>
      <c r="D758" s="2769"/>
      <c r="E758" s="1929" t="s">
        <v>853</v>
      </c>
      <c r="F758" s="1930" t="s">
        <v>854</v>
      </c>
      <c r="G758" s="1930" t="s">
        <v>855</v>
      </c>
      <c r="H758" s="1930" t="s">
        <v>856</v>
      </c>
      <c r="I758" s="2769" t="s">
        <v>35</v>
      </c>
      <c r="J758" s="1310"/>
      <c r="P758" s="14"/>
    </row>
    <row r="759" spans="1:16" x14ac:dyDescent="0.3">
      <c r="C759" s="457" t="s">
        <v>857</v>
      </c>
      <c r="D759" s="1311"/>
      <c r="E759" s="825">
        <f>+Liabilities!E647</f>
        <v>21010.052500000002</v>
      </c>
      <c r="F759" s="1792">
        <v>0</v>
      </c>
      <c r="G759" s="1792">
        <v>0</v>
      </c>
      <c r="H759" s="1792">
        <v>0</v>
      </c>
      <c r="I759" s="1312">
        <f>SUM(D759:H759)</f>
        <v>21010.052500000002</v>
      </c>
      <c r="J759" s="434"/>
      <c r="K759" s="1" t="s">
        <v>959</v>
      </c>
      <c r="P759" s="14"/>
    </row>
    <row r="760" spans="1:16" x14ac:dyDescent="0.3">
      <c r="C760" s="457" t="s">
        <v>791</v>
      </c>
      <c r="D760" s="1313">
        <f>-SUMIFS('TB Grouping'!F:F,'TB Grouping'!C:C,"Provisions",'TB Grouping'!G:G,"Trade Payables")/100</f>
        <v>7502.34</v>
      </c>
      <c r="E760" s="825">
        <f>+Liabilities!E648-D760</f>
        <v>482012.03319999989</v>
      </c>
      <c r="F760" s="1792">
        <v>0</v>
      </c>
      <c r="G760" s="1792">
        <v>0</v>
      </c>
      <c r="H760" s="1792">
        <v>0</v>
      </c>
      <c r="I760" s="549">
        <f>SUM(D760:H760)</f>
        <v>489514.37319999991</v>
      </c>
      <c r="J760" s="434"/>
      <c r="P760" s="14"/>
    </row>
    <row r="761" spans="1:16" x14ac:dyDescent="0.3">
      <c r="C761" s="457" t="s">
        <v>858</v>
      </c>
      <c r="D761" s="1313"/>
      <c r="E761" s="1792">
        <v>0</v>
      </c>
      <c r="F761" s="1792">
        <v>0</v>
      </c>
      <c r="G761" s="1792">
        <v>0</v>
      </c>
      <c r="H761" s="1792">
        <v>0</v>
      </c>
      <c r="I761" s="549">
        <f>SUM(D761:H761)</f>
        <v>0</v>
      </c>
      <c r="J761" s="434"/>
      <c r="P761" s="14"/>
    </row>
    <row r="762" spans="1:16" x14ac:dyDescent="0.3">
      <c r="C762" s="1314" t="s">
        <v>859</v>
      </c>
      <c r="D762" s="965"/>
      <c r="E762" s="1793">
        <v>0</v>
      </c>
      <c r="F762" s="1793">
        <v>0</v>
      </c>
      <c r="G762" s="1793">
        <v>0</v>
      </c>
      <c r="H762" s="1793">
        <v>0</v>
      </c>
      <c r="I762" s="1315">
        <f>SUM(D762:H762)</f>
        <v>0</v>
      </c>
      <c r="J762" s="434"/>
      <c r="P762" s="14"/>
    </row>
    <row r="763" spans="1:16" x14ac:dyDescent="0.3">
      <c r="C763" s="414"/>
      <c r="D763" s="415"/>
      <c r="E763" s="415"/>
      <c r="F763" s="415"/>
      <c r="G763" s="415"/>
      <c r="H763" s="415"/>
      <c r="I763" s="415"/>
      <c r="J763" s="415"/>
      <c r="K763" s="408"/>
      <c r="N763" s="408"/>
      <c r="P763" s="14"/>
    </row>
    <row r="764" spans="1:16" x14ac:dyDescent="0.3">
      <c r="C764" s="412" t="s">
        <v>1167</v>
      </c>
      <c r="D764" s="426"/>
      <c r="E764" s="426"/>
      <c r="F764" s="423"/>
      <c r="G764" s="427" t="s">
        <v>1131</v>
      </c>
      <c r="H764" s="427" t="s">
        <v>170</v>
      </c>
      <c r="I764" s="436" t="s">
        <v>35</v>
      </c>
      <c r="J764" s="408"/>
      <c r="K764" s="408"/>
      <c r="N764" s="14"/>
      <c r="O764" s="14"/>
    </row>
    <row r="765" spans="1:16" x14ac:dyDescent="0.3">
      <c r="C765" s="437" t="s">
        <v>1168</v>
      </c>
      <c r="D765" s="415"/>
      <c r="E765" s="415"/>
      <c r="F765" s="416"/>
      <c r="G765" s="421">
        <f>+I761+I759</f>
        <v>21010.052500000002</v>
      </c>
      <c r="H765" s="421">
        <f>+I762+I760</f>
        <v>489514.37319999991</v>
      </c>
      <c r="I765" s="421">
        <f>+G765+H765</f>
        <v>510524.42569999991</v>
      </c>
      <c r="J765" s="408"/>
      <c r="K765" s="408"/>
      <c r="N765" s="14"/>
      <c r="O765" s="14"/>
    </row>
    <row r="766" spans="1:16" x14ac:dyDescent="0.3">
      <c r="C766" s="437" t="s">
        <v>1152</v>
      </c>
      <c r="D766" s="415"/>
      <c r="E766" s="415"/>
      <c r="F766" s="416"/>
      <c r="G766" s="421">
        <f>++Liabilities!E647</f>
        <v>21010.052500000002</v>
      </c>
      <c r="H766" s="421">
        <f>+Liabilities!E648</f>
        <v>489514.37319999991</v>
      </c>
      <c r="I766" s="421">
        <f>+Liabilities!E650</f>
        <v>510524.42569999991</v>
      </c>
      <c r="J766" s="408"/>
      <c r="K766" s="408"/>
      <c r="O766" s="14"/>
    </row>
    <row r="767" spans="1:16" x14ac:dyDescent="0.3">
      <c r="C767" s="412" t="s">
        <v>1153</v>
      </c>
      <c r="D767" s="426"/>
      <c r="E767" s="426"/>
      <c r="F767" s="423"/>
      <c r="G767" s="430">
        <f>+G765-G766</f>
        <v>0</v>
      </c>
      <c r="H767" s="430">
        <f>+H765-H766</f>
        <v>0</v>
      </c>
      <c r="I767" s="430">
        <v>0</v>
      </c>
      <c r="J767" s="408"/>
      <c r="K767" s="408"/>
      <c r="O767" s="14"/>
    </row>
    <row r="768" spans="1:16" x14ac:dyDescent="0.3">
      <c r="C768" s="414"/>
      <c r="D768" s="415"/>
      <c r="E768" s="415"/>
      <c r="F768" s="415"/>
      <c r="G768" s="415"/>
      <c r="H768" s="415"/>
      <c r="I768" s="415"/>
      <c r="J768" s="415"/>
      <c r="K768" s="408"/>
      <c r="N768" s="408"/>
      <c r="P768" s="14"/>
    </row>
    <row r="769" spans="3:16" x14ac:dyDescent="0.3">
      <c r="C769" s="483" t="str">
        <f>"Trade Payables ageing schedule " &amp;BSPY</f>
        <v>Trade Payables ageing schedule As At 31st March 2024</v>
      </c>
      <c r="D769" s="81"/>
      <c r="E769" s="81"/>
      <c r="F769" s="81"/>
      <c r="G769" s="41"/>
      <c r="H769" s="41"/>
      <c r="I769" s="1316"/>
      <c r="J769" s="415"/>
      <c r="K769" s="408"/>
      <c r="N769" s="408"/>
      <c r="P769" s="14"/>
    </row>
    <row r="770" spans="3:16" x14ac:dyDescent="0.3">
      <c r="C770" s="2769" t="s">
        <v>20</v>
      </c>
      <c r="D770" s="2769" t="s">
        <v>959</v>
      </c>
      <c r="E770" s="2762" t="s">
        <v>1966</v>
      </c>
      <c r="F770" s="2762"/>
      <c r="G770" s="2762"/>
      <c r="H770" s="2762"/>
      <c r="I770" s="2764" t="s">
        <v>35</v>
      </c>
      <c r="J770" s="415"/>
      <c r="K770" s="408"/>
      <c r="N770" s="408"/>
      <c r="P770" s="14"/>
    </row>
    <row r="771" spans="3:16" x14ac:dyDescent="0.3">
      <c r="C771" s="2769"/>
      <c r="D771" s="2769"/>
      <c r="E771" s="1929" t="s">
        <v>853</v>
      </c>
      <c r="F771" s="1930" t="s">
        <v>854</v>
      </c>
      <c r="G771" s="1930" t="s">
        <v>855</v>
      </c>
      <c r="H771" s="1930" t="s">
        <v>856</v>
      </c>
      <c r="I771" s="2764" t="s">
        <v>35</v>
      </c>
      <c r="J771" s="415"/>
      <c r="K771" s="408"/>
      <c r="N771" s="408"/>
      <c r="P771" s="14"/>
    </row>
    <row r="772" spans="3:16" x14ac:dyDescent="0.3">
      <c r="C772" s="457" t="s">
        <v>857</v>
      </c>
      <c r="D772" s="1317"/>
      <c r="E772" s="1792">
        <f>+Liabilities!F647</f>
        <v>0</v>
      </c>
      <c r="F772" s="1792">
        <v>0</v>
      </c>
      <c r="G772" s="1792">
        <v>0</v>
      </c>
      <c r="H772" s="1792">
        <v>0</v>
      </c>
      <c r="I772" s="1312">
        <f>SUM(D772:H772)</f>
        <v>0</v>
      </c>
      <c r="J772" s="415"/>
      <c r="K772" s="408"/>
      <c r="N772" s="408"/>
      <c r="P772" s="14"/>
    </row>
    <row r="773" spans="3:16" x14ac:dyDescent="0.3">
      <c r="C773" s="457" t="s">
        <v>791</v>
      </c>
      <c r="D773" s="1317">
        <f>-SUMIFS('TB Grouping'!O:O,'TB Grouping'!P:P,"Trade Payables",'TB Grouping'!L:L,"Accruals")/100</f>
        <v>21287.600300000002</v>
      </c>
      <c r="E773" s="1054">
        <f>+Liabilities!F648-D773</f>
        <v>275596.38770000008</v>
      </c>
      <c r="F773" s="1792">
        <v>0</v>
      </c>
      <c r="G773" s="1792">
        <v>0</v>
      </c>
      <c r="H773" s="1792">
        <v>0</v>
      </c>
      <c r="I773" s="549">
        <f>SUM(D773:H773)</f>
        <v>296883.98800000007</v>
      </c>
      <c r="J773" s="415"/>
      <c r="K773" s="408"/>
      <c r="L773" s="2532">
        <v>-1991260</v>
      </c>
      <c r="N773" s="408"/>
      <c r="P773" s="14"/>
    </row>
    <row r="774" spans="3:16" x14ac:dyDescent="0.3">
      <c r="C774" s="457" t="s">
        <v>858</v>
      </c>
      <c r="D774" s="1317"/>
      <c r="E774" s="1792">
        <v>0</v>
      </c>
      <c r="F774" s="1792">
        <v>0</v>
      </c>
      <c r="G774" s="1792">
        <v>0</v>
      </c>
      <c r="H774" s="1792">
        <v>0</v>
      </c>
      <c r="I774" s="549">
        <f>SUM(D774:H774)</f>
        <v>0</v>
      </c>
      <c r="J774" s="415"/>
      <c r="K774" s="408"/>
      <c r="N774" s="408"/>
      <c r="P774" s="14"/>
    </row>
    <row r="775" spans="3:16" x14ac:dyDescent="0.3">
      <c r="C775" s="1314" t="s">
        <v>859</v>
      </c>
      <c r="D775" s="1318"/>
      <c r="E775" s="1793">
        <v>0</v>
      </c>
      <c r="F775" s="1793">
        <v>0</v>
      </c>
      <c r="G775" s="1793">
        <v>0</v>
      </c>
      <c r="H775" s="1793">
        <v>0</v>
      </c>
      <c r="I775" s="1315">
        <f>SUM(D775:H775)</f>
        <v>0</v>
      </c>
      <c r="J775" s="415"/>
      <c r="K775" s="408"/>
      <c r="N775" s="408"/>
      <c r="P775" s="14"/>
    </row>
    <row r="776" spans="3:16" x14ac:dyDescent="0.3">
      <c r="C776" s="414"/>
      <c r="K776" s="408"/>
      <c r="N776" s="408"/>
      <c r="P776" s="14"/>
    </row>
    <row r="777" spans="3:16" hidden="1" x14ac:dyDescent="0.3">
      <c r="C777" s="412" t="s">
        <v>1167</v>
      </c>
      <c r="D777" s="426"/>
      <c r="E777" s="426"/>
      <c r="F777" s="423"/>
      <c r="G777" s="427" t="s">
        <v>1131</v>
      </c>
      <c r="H777" s="427" t="s">
        <v>170</v>
      </c>
      <c r="I777" s="436" t="s">
        <v>35</v>
      </c>
      <c r="J777" s="408"/>
      <c r="K777" s="408"/>
      <c r="O777" s="14"/>
    </row>
    <row r="778" spans="3:16" hidden="1" x14ac:dyDescent="0.3">
      <c r="C778" s="437" t="s">
        <v>1168</v>
      </c>
      <c r="D778" s="415"/>
      <c r="E778" s="415"/>
      <c r="F778" s="416"/>
      <c r="G778" s="421">
        <f>+I774+I772</f>
        <v>0</v>
      </c>
      <c r="H778" s="421">
        <f>+I775+I773</f>
        <v>296883.98800000007</v>
      </c>
      <c r="I778" s="421">
        <f>+G778+H778</f>
        <v>296883.98800000007</v>
      </c>
      <c r="J778" s="408"/>
      <c r="K778" s="408"/>
      <c r="O778" s="14"/>
    </row>
    <row r="779" spans="3:16" hidden="1" x14ac:dyDescent="0.3">
      <c r="C779" s="437" t="s">
        <v>1152</v>
      </c>
      <c r="D779" s="415"/>
      <c r="E779" s="415"/>
      <c r="F779" s="416"/>
      <c r="G779" s="421">
        <f>+Liabilities!F647</f>
        <v>0</v>
      </c>
      <c r="H779" s="421">
        <f>+Liabilities!F648</f>
        <v>296883.98800000007</v>
      </c>
      <c r="I779" s="421">
        <f>+Liabilities!E663</f>
        <v>0</v>
      </c>
      <c r="J779" s="408"/>
      <c r="K779" s="408"/>
      <c r="O779" s="14"/>
    </row>
    <row r="780" spans="3:16" hidden="1" x14ac:dyDescent="0.3">
      <c r="C780" s="412" t="s">
        <v>1153</v>
      </c>
      <c r="D780" s="426"/>
      <c r="E780" s="426"/>
      <c r="F780" s="423"/>
      <c r="G780" s="430">
        <f>+G778-G779</f>
        <v>0</v>
      </c>
      <c r="H780" s="430">
        <f>+H778-H779</f>
        <v>0</v>
      </c>
      <c r="I780" s="430">
        <v>0</v>
      </c>
      <c r="J780" s="432"/>
      <c r="K780" s="408"/>
      <c r="N780" s="408"/>
      <c r="P780" s="14"/>
    </row>
    <row r="781" spans="3:16" hidden="1" x14ac:dyDescent="0.3"/>
    <row r="782" spans="3:16" hidden="1" x14ac:dyDescent="0.3"/>
    <row r="783" spans="3:16" hidden="1" x14ac:dyDescent="0.3">
      <c r="C783" s="17" t="s">
        <v>1671</v>
      </c>
      <c r="D783" s="237"/>
      <c r="E783" s="38"/>
    </row>
    <row r="784" spans="3:16" hidden="1" x14ac:dyDescent="0.3">
      <c r="C784" s="145"/>
      <c r="D784" s="237"/>
      <c r="E784" s="38" t="s">
        <v>992</v>
      </c>
    </row>
    <row r="785" spans="3:14" ht="30" hidden="1" x14ac:dyDescent="0.3">
      <c r="C785" s="2961" t="s">
        <v>20</v>
      </c>
      <c r="D785" s="2961"/>
      <c r="E785" s="314" t="s">
        <v>1348</v>
      </c>
      <c r="F785" s="314" t="s">
        <v>1349</v>
      </c>
      <c r="K785" s="409"/>
      <c r="L785" s="1"/>
      <c r="N785" s="408"/>
    </row>
    <row r="786" spans="3:14" hidden="1" x14ac:dyDescent="0.3">
      <c r="C786" s="238" t="s">
        <v>1672</v>
      </c>
      <c r="D786" s="711"/>
      <c r="E786" s="699"/>
      <c r="F786" s="239"/>
      <c r="K786" s="409"/>
      <c r="L786" s="1"/>
      <c r="N786" s="408"/>
    </row>
    <row r="787" spans="3:14" hidden="1" x14ac:dyDescent="0.3">
      <c r="C787" s="689" t="s">
        <v>1673</v>
      </c>
      <c r="D787" s="712"/>
      <c r="E787" s="700"/>
      <c r="F787" s="240"/>
      <c r="K787" s="409"/>
      <c r="L787" s="1"/>
      <c r="N787" s="408"/>
    </row>
    <row r="788" spans="3:14" ht="33" hidden="1" x14ac:dyDescent="0.3">
      <c r="C788" s="690" t="s">
        <v>1674</v>
      </c>
      <c r="D788" s="713"/>
      <c r="E788" s="438"/>
      <c r="F788" s="438"/>
      <c r="K788" s="409"/>
      <c r="L788" s="1"/>
      <c r="N788" s="408"/>
    </row>
    <row r="789" spans="3:14" hidden="1" x14ac:dyDescent="0.3">
      <c r="C789" s="691" t="s">
        <v>1675</v>
      </c>
      <c r="D789" s="714"/>
      <c r="E789" s="438"/>
      <c r="F789" s="438"/>
      <c r="K789" s="409"/>
      <c r="L789" s="1"/>
      <c r="N789" s="408"/>
    </row>
    <row r="790" spans="3:14" hidden="1" x14ac:dyDescent="0.3">
      <c r="C790" s="692" t="s">
        <v>1676</v>
      </c>
      <c r="D790" s="715"/>
      <c r="E790" s="438"/>
      <c r="F790" s="438"/>
      <c r="K790" s="409"/>
      <c r="L790" s="1"/>
      <c r="N790" s="408"/>
    </row>
    <row r="791" spans="3:14" hidden="1" x14ac:dyDescent="0.3">
      <c r="C791" s="693" t="s">
        <v>1677</v>
      </c>
      <c r="D791" s="716"/>
      <c r="E791" s="438"/>
      <c r="F791" s="438"/>
      <c r="K791" s="409"/>
      <c r="L791" s="1"/>
      <c r="N791" s="408"/>
    </row>
    <row r="792" spans="3:14" hidden="1" x14ac:dyDescent="0.3">
      <c r="C792" s="693" t="s">
        <v>1678</v>
      </c>
      <c r="D792" s="716"/>
      <c r="E792" s="438"/>
      <c r="F792" s="438"/>
      <c r="K792" s="409"/>
      <c r="L792" s="1"/>
      <c r="N792" s="408"/>
    </row>
    <row r="793" spans="3:14" hidden="1" x14ac:dyDescent="0.3">
      <c r="C793" s="693" t="s">
        <v>1679</v>
      </c>
      <c r="D793" s="716"/>
      <c r="E793" s="438"/>
      <c r="F793" s="438"/>
      <c r="K793" s="409"/>
      <c r="L793" s="1"/>
      <c r="N793" s="408"/>
    </row>
    <row r="794" spans="3:14" hidden="1" x14ac:dyDescent="0.3">
      <c r="C794" s="641"/>
      <c r="D794" s="717"/>
      <c r="E794" s="701">
        <f>SUM(E788:E793)</f>
        <v>0</v>
      </c>
      <c r="F794" s="701">
        <f>SUM(F788:F793)</f>
        <v>0</v>
      </c>
      <c r="K794" s="409"/>
      <c r="L794" s="1"/>
      <c r="N794" s="408"/>
    </row>
    <row r="795" spans="3:14" ht="33" hidden="1" x14ac:dyDescent="0.3">
      <c r="C795" s="690" t="s">
        <v>1686</v>
      </c>
      <c r="D795" s="713"/>
      <c r="E795" s="700"/>
      <c r="F795" s="240"/>
      <c r="K795" s="409"/>
      <c r="L795" s="1"/>
      <c r="N795" s="408"/>
    </row>
    <row r="796" spans="3:14" hidden="1" x14ac:dyDescent="0.3">
      <c r="C796" s="693" t="s">
        <v>1675</v>
      </c>
      <c r="D796" s="716"/>
      <c r="E796" s="438"/>
      <c r="F796" s="438"/>
      <c r="K796" s="409"/>
      <c r="L796" s="1"/>
      <c r="N796" s="408"/>
    </row>
    <row r="797" spans="3:14" hidden="1" x14ac:dyDescent="0.3">
      <c r="C797" s="693" t="s">
        <v>1676</v>
      </c>
      <c r="D797" s="716"/>
      <c r="E797" s="438"/>
      <c r="F797" s="438"/>
      <c r="K797" s="409"/>
      <c r="L797" s="1"/>
      <c r="N797" s="408"/>
    </row>
    <row r="798" spans="3:14" hidden="1" x14ac:dyDescent="0.3">
      <c r="C798" s="693" t="s">
        <v>1677</v>
      </c>
      <c r="D798" s="716"/>
      <c r="E798" s="438"/>
      <c r="F798" s="438"/>
      <c r="K798" s="409"/>
      <c r="L798" s="1"/>
      <c r="N798" s="408"/>
    </row>
    <row r="799" spans="3:14" hidden="1" x14ac:dyDescent="0.3">
      <c r="C799" s="693" t="s">
        <v>1678</v>
      </c>
      <c r="D799" s="716"/>
      <c r="E799" s="438"/>
      <c r="F799" s="438"/>
      <c r="K799" s="409"/>
      <c r="L799" s="1"/>
      <c r="N799" s="408"/>
    </row>
    <row r="800" spans="3:14" hidden="1" x14ac:dyDescent="0.3">
      <c r="C800" s="693" t="s">
        <v>1679</v>
      </c>
      <c r="D800" s="716"/>
      <c r="E800" s="438"/>
      <c r="F800" s="438"/>
      <c r="K800" s="409"/>
      <c r="L800" s="1"/>
      <c r="N800" s="408"/>
    </row>
    <row r="801" spans="3:14" hidden="1" x14ac:dyDescent="0.3">
      <c r="C801" s="641"/>
      <c r="D801" s="717"/>
      <c r="E801" s="701">
        <f>SUM(E795:E800)</f>
        <v>0</v>
      </c>
      <c r="F801" s="701">
        <f>SUM(F795:F800)</f>
        <v>0</v>
      </c>
      <c r="K801" s="409"/>
      <c r="L801" s="1"/>
      <c r="N801" s="408"/>
    </row>
    <row r="802" spans="3:14" ht="33" hidden="1" x14ac:dyDescent="0.3">
      <c r="C802" s="690" t="s">
        <v>1687</v>
      </c>
      <c r="D802" s="713"/>
      <c r="E802" s="700"/>
      <c r="F802" s="240"/>
      <c r="K802" s="409"/>
      <c r="L802" s="1"/>
      <c r="N802" s="408"/>
    </row>
    <row r="803" spans="3:14" hidden="1" x14ac:dyDescent="0.3">
      <c r="C803" s="693" t="s">
        <v>1675</v>
      </c>
      <c r="D803" s="716"/>
      <c r="E803" s="438"/>
      <c r="F803" s="438"/>
      <c r="K803" s="409"/>
      <c r="L803" s="1"/>
      <c r="N803" s="408"/>
    </row>
    <row r="804" spans="3:14" hidden="1" x14ac:dyDescent="0.3">
      <c r="C804" s="693" t="s">
        <v>1676</v>
      </c>
      <c r="D804" s="716"/>
      <c r="E804" s="438"/>
      <c r="F804" s="438"/>
      <c r="K804" s="409"/>
      <c r="L804" s="1"/>
      <c r="N804" s="408"/>
    </row>
    <row r="805" spans="3:14" hidden="1" x14ac:dyDescent="0.3">
      <c r="C805" s="693" t="s">
        <v>1677</v>
      </c>
      <c r="D805" s="716"/>
      <c r="E805" s="438"/>
      <c r="F805" s="438"/>
      <c r="K805" s="409"/>
      <c r="L805" s="1"/>
      <c r="N805" s="408"/>
    </row>
    <row r="806" spans="3:14" hidden="1" x14ac:dyDescent="0.3">
      <c r="C806" s="694" t="s">
        <v>1678</v>
      </c>
      <c r="D806" s="718"/>
      <c r="E806" s="438"/>
      <c r="F806" s="438"/>
      <c r="K806" s="409"/>
      <c r="L806" s="1"/>
      <c r="N806" s="408"/>
    </row>
    <row r="807" spans="3:14" hidden="1" x14ac:dyDescent="0.3">
      <c r="C807" s="693" t="s">
        <v>1679</v>
      </c>
      <c r="D807" s="716"/>
      <c r="E807" s="438"/>
      <c r="F807" s="438"/>
      <c r="K807" s="409"/>
      <c r="L807" s="1"/>
      <c r="N807" s="408"/>
    </row>
    <row r="808" spans="3:14" hidden="1" x14ac:dyDescent="0.3">
      <c r="C808" s="695"/>
      <c r="D808" s="719"/>
      <c r="E808" s="701">
        <f>SUM(E802:E807)</f>
        <v>0</v>
      </c>
      <c r="F808" s="701">
        <f>SUM(F802:F807)</f>
        <v>0</v>
      </c>
      <c r="K808" s="409"/>
      <c r="L808" s="1"/>
      <c r="N808" s="408"/>
    </row>
    <row r="809" spans="3:14" hidden="1" x14ac:dyDescent="0.3">
      <c r="C809" s="690" t="s">
        <v>1688</v>
      </c>
      <c r="D809" s="713"/>
      <c r="E809" s="702"/>
      <c r="F809" s="243"/>
      <c r="K809" s="409"/>
      <c r="L809" s="1"/>
      <c r="N809" s="408"/>
    </row>
    <row r="810" spans="3:14" hidden="1" x14ac:dyDescent="0.3">
      <c r="C810" s="695"/>
      <c r="D810" s="719"/>
      <c r="E810" s="700"/>
      <c r="F810" s="240"/>
      <c r="K810" s="409"/>
      <c r="L810" s="1"/>
      <c r="N810" s="408"/>
    </row>
    <row r="811" spans="3:14" hidden="1" x14ac:dyDescent="0.3">
      <c r="C811" s="690" t="s">
        <v>1689</v>
      </c>
      <c r="D811" s="713"/>
      <c r="E811" s="703"/>
      <c r="F811" s="240"/>
      <c r="K811" s="409"/>
      <c r="L811" s="1"/>
      <c r="N811" s="408"/>
    </row>
    <row r="812" spans="3:14" hidden="1" x14ac:dyDescent="0.3">
      <c r="C812" s="696" t="s">
        <v>184</v>
      </c>
      <c r="D812" s="720"/>
      <c r="E812" s="704">
        <f>+SUM(E811)</f>
        <v>0</v>
      </c>
      <c r="F812" s="704">
        <f>+SUM(F811)</f>
        <v>0</v>
      </c>
      <c r="K812" s="409"/>
      <c r="L812" s="1"/>
      <c r="N812" s="408"/>
    </row>
    <row r="813" spans="3:14" hidden="1" x14ac:dyDescent="0.3">
      <c r="C813" s="689" t="s">
        <v>1680</v>
      </c>
      <c r="D813" s="712"/>
      <c r="E813" s="700"/>
      <c r="F813" s="240"/>
      <c r="K813" s="409"/>
      <c r="L813" s="1"/>
      <c r="N813" s="408"/>
    </row>
    <row r="814" spans="3:14" ht="33" hidden="1" x14ac:dyDescent="0.3">
      <c r="C814" s="656" t="s">
        <v>1681</v>
      </c>
      <c r="D814" s="721"/>
      <c r="E814" s="677">
        <v>0</v>
      </c>
      <c r="F814" s="240">
        <v>0</v>
      </c>
      <c r="K814" s="409"/>
      <c r="L814" s="1"/>
      <c r="N814" s="408"/>
    </row>
    <row r="815" spans="3:14" hidden="1" x14ac:dyDescent="0.3">
      <c r="C815" s="656"/>
      <c r="D815" s="721"/>
      <c r="E815" s="705"/>
      <c r="F815" s="240"/>
      <c r="K815" s="409"/>
      <c r="L815" s="1"/>
      <c r="N815" s="408"/>
    </row>
    <row r="816" spans="3:14" ht="33" hidden="1" x14ac:dyDescent="0.3">
      <c r="C816" s="690" t="s">
        <v>1690</v>
      </c>
      <c r="D816" s="713"/>
      <c r="E816" s="705"/>
      <c r="F816" s="240"/>
      <c r="K816" s="409"/>
      <c r="L816" s="1"/>
      <c r="N816" s="408"/>
    </row>
    <row r="817" spans="3:14" hidden="1" x14ac:dyDescent="0.3">
      <c r="C817" s="693" t="s">
        <v>1675</v>
      </c>
      <c r="D817" s="716"/>
      <c r="E817" s="438"/>
      <c r="F817" s="438"/>
      <c r="K817" s="409"/>
      <c r="L817" s="1"/>
      <c r="N817" s="408"/>
    </row>
    <row r="818" spans="3:14" hidden="1" x14ac:dyDescent="0.3">
      <c r="C818" s="693" t="s">
        <v>1676</v>
      </c>
      <c r="D818" s="716"/>
      <c r="E818" s="438"/>
      <c r="F818" s="438"/>
      <c r="K818" s="409"/>
      <c r="L818" s="1"/>
      <c r="N818" s="408"/>
    </row>
    <row r="819" spans="3:14" hidden="1" x14ac:dyDescent="0.3">
      <c r="C819" s="693" t="s">
        <v>1677</v>
      </c>
      <c r="D819" s="716"/>
      <c r="E819" s="438"/>
      <c r="F819" s="438"/>
      <c r="K819" s="409"/>
      <c r="L819" s="1"/>
      <c r="N819" s="408"/>
    </row>
    <row r="820" spans="3:14" hidden="1" x14ac:dyDescent="0.3">
      <c r="C820" s="693" t="s">
        <v>1678</v>
      </c>
      <c r="D820" s="716"/>
      <c r="E820" s="438"/>
      <c r="F820" s="438"/>
      <c r="K820" s="409"/>
      <c r="L820" s="1"/>
      <c r="N820" s="408"/>
    </row>
    <row r="821" spans="3:14" hidden="1" x14ac:dyDescent="0.3">
      <c r="C821" s="694" t="s">
        <v>1682</v>
      </c>
      <c r="D821" s="718"/>
      <c r="E821" s="438"/>
      <c r="F821" s="438"/>
      <c r="K821" s="409"/>
      <c r="L821" s="1"/>
      <c r="N821" s="408"/>
    </row>
    <row r="822" spans="3:14" ht="33" hidden="1" x14ac:dyDescent="0.3">
      <c r="C822" s="694" t="s">
        <v>1683</v>
      </c>
      <c r="D822" s="718"/>
      <c r="E822" s="438"/>
      <c r="F822" s="438"/>
      <c r="K822" s="409"/>
      <c r="L822" s="1"/>
      <c r="N822" s="408"/>
    </row>
    <row r="823" spans="3:14" hidden="1" x14ac:dyDescent="0.3">
      <c r="C823" s="641"/>
      <c r="D823" s="717"/>
      <c r="E823" s="701">
        <v>0</v>
      </c>
      <c r="F823" s="242">
        <v>0</v>
      </c>
      <c r="K823" s="409"/>
      <c r="L823" s="1"/>
      <c r="N823" s="408"/>
    </row>
    <row r="824" spans="3:14" ht="33" hidden="1" x14ac:dyDescent="0.3">
      <c r="C824" s="690" t="s">
        <v>1691</v>
      </c>
      <c r="D824" s="713"/>
      <c r="E824" s="705"/>
      <c r="F824" s="240"/>
      <c r="K824" s="409"/>
      <c r="L824" s="1"/>
      <c r="N824" s="408"/>
    </row>
    <row r="825" spans="3:14" hidden="1" x14ac:dyDescent="0.3">
      <c r="C825" s="693" t="s">
        <v>1675</v>
      </c>
      <c r="D825" s="716"/>
      <c r="E825" s="438"/>
      <c r="F825" s="438"/>
      <c r="K825" s="409"/>
      <c r="L825" s="1"/>
      <c r="N825" s="408"/>
    </row>
    <row r="826" spans="3:14" hidden="1" x14ac:dyDescent="0.3">
      <c r="C826" s="693" t="s">
        <v>1676</v>
      </c>
      <c r="D826" s="716"/>
      <c r="E826" s="438"/>
      <c r="F826" s="438"/>
      <c r="K826" s="409"/>
      <c r="L826" s="1"/>
      <c r="N826" s="408"/>
    </row>
    <row r="827" spans="3:14" hidden="1" x14ac:dyDescent="0.3">
      <c r="C827" s="693" t="s">
        <v>1677</v>
      </c>
      <c r="D827" s="716"/>
      <c r="E827" s="438"/>
      <c r="F827" s="438"/>
      <c r="K827" s="409"/>
      <c r="L827" s="1"/>
      <c r="N827" s="408"/>
    </row>
    <row r="828" spans="3:14" hidden="1" x14ac:dyDescent="0.3">
      <c r="C828" s="693" t="s">
        <v>1678</v>
      </c>
      <c r="D828" s="716"/>
      <c r="E828" s="438"/>
      <c r="F828" s="438"/>
      <c r="K828" s="409"/>
      <c r="L828" s="1"/>
      <c r="N828" s="408"/>
    </row>
    <row r="829" spans="3:14" hidden="1" x14ac:dyDescent="0.3">
      <c r="C829" s="693" t="s">
        <v>1679</v>
      </c>
      <c r="D829" s="716"/>
      <c r="E829" s="438"/>
      <c r="F829" s="438"/>
      <c r="K829" s="409"/>
      <c r="L829" s="1"/>
      <c r="N829" s="408"/>
    </row>
    <row r="830" spans="3:14" hidden="1" x14ac:dyDescent="0.3">
      <c r="C830" s="695"/>
      <c r="D830" s="719"/>
      <c r="E830" s="701">
        <v>0</v>
      </c>
      <c r="F830" s="242">
        <v>0</v>
      </c>
      <c r="K830" s="409"/>
      <c r="L830" s="1"/>
      <c r="N830" s="408"/>
    </row>
    <row r="831" spans="3:14" hidden="1" x14ac:dyDescent="0.3">
      <c r="C831" s="697" t="s">
        <v>1692</v>
      </c>
      <c r="D831" s="722"/>
      <c r="E831" s="705"/>
      <c r="F831" s="240"/>
      <c r="K831" s="409"/>
      <c r="L831" s="1"/>
      <c r="N831" s="408"/>
    </row>
    <row r="832" spans="3:14" hidden="1" x14ac:dyDescent="0.3">
      <c r="C832" s="693" t="s">
        <v>1684</v>
      </c>
      <c r="D832" s="716"/>
      <c r="E832" s="438"/>
      <c r="F832" s="438"/>
      <c r="K832" s="409"/>
      <c r="L832" s="1"/>
      <c r="N832" s="408"/>
    </row>
    <row r="833" spans="3:14" hidden="1" x14ac:dyDescent="0.3">
      <c r="C833" s="693" t="s">
        <v>1685</v>
      </c>
      <c r="D833" s="716"/>
      <c r="E833" s="438"/>
      <c r="F833" s="438"/>
      <c r="K833" s="409"/>
      <c r="L833" s="1"/>
      <c r="N833" s="408"/>
    </row>
    <row r="834" spans="3:14" hidden="1" x14ac:dyDescent="0.3">
      <c r="C834" s="641"/>
      <c r="D834" s="717"/>
      <c r="E834" s="703">
        <v>0</v>
      </c>
      <c r="F834" s="240">
        <v>0</v>
      </c>
      <c r="K834" s="409"/>
      <c r="L834" s="1"/>
      <c r="N834" s="408"/>
    </row>
    <row r="835" spans="3:14" ht="33" hidden="1" x14ac:dyDescent="0.3">
      <c r="C835" s="690" t="s">
        <v>1693</v>
      </c>
      <c r="D835" s="713"/>
      <c r="E835" s="705"/>
      <c r="F835" s="240"/>
      <c r="K835" s="409"/>
      <c r="L835" s="1"/>
      <c r="N835" s="408"/>
    </row>
    <row r="836" spans="3:14" hidden="1" x14ac:dyDescent="0.3">
      <c r="C836" s="693" t="s">
        <v>1675</v>
      </c>
      <c r="D836" s="716"/>
      <c r="E836" s="438"/>
      <c r="F836" s="438"/>
      <c r="K836" s="409"/>
      <c r="L836" s="1"/>
      <c r="N836" s="408"/>
    </row>
    <row r="837" spans="3:14" hidden="1" x14ac:dyDescent="0.3">
      <c r="C837" s="693" t="s">
        <v>1676</v>
      </c>
      <c r="D837" s="716"/>
      <c r="E837" s="438"/>
      <c r="F837" s="438"/>
      <c r="K837" s="409"/>
      <c r="L837" s="1"/>
      <c r="N837" s="408"/>
    </row>
    <row r="838" spans="3:14" hidden="1" x14ac:dyDescent="0.3">
      <c r="C838" s="693" t="s">
        <v>1677</v>
      </c>
      <c r="D838" s="716"/>
      <c r="E838" s="438"/>
      <c r="F838" s="438"/>
      <c r="K838" s="409"/>
      <c r="L838" s="1"/>
      <c r="N838" s="408"/>
    </row>
    <row r="839" spans="3:14" hidden="1" x14ac:dyDescent="0.3">
      <c r="C839" s="693" t="s">
        <v>1678</v>
      </c>
      <c r="D839" s="716"/>
      <c r="E839" s="438"/>
      <c r="F839" s="438"/>
      <c r="K839" s="409"/>
      <c r="L839" s="1"/>
      <c r="N839" s="408"/>
    </row>
    <row r="840" spans="3:14" hidden="1" x14ac:dyDescent="0.3">
      <c r="C840" s="693" t="s">
        <v>1679</v>
      </c>
      <c r="D840" s="716"/>
      <c r="E840" s="438"/>
      <c r="F840" s="438"/>
      <c r="K840" s="409"/>
      <c r="L840" s="1"/>
      <c r="N840" s="408"/>
    </row>
    <row r="841" spans="3:14" hidden="1" x14ac:dyDescent="0.3">
      <c r="C841" s="641"/>
      <c r="D841" s="717"/>
      <c r="E841" s="701">
        <v>0</v>
      </c>
      <c r="F841" s="242">
        <v>0</v>
      </c>
      <c r="K841" s="409"/>
      <c r="L841" s="1"/>
      <c r="N841" s="408"/>
    </row>
    <row r="842" spans="3:14" hidden="1" x14ac:dyDescent="0.3">
      <c r="C842" s="241" t="s">
        <v>1694</v>
      </c>
      <c r="D842" s="723"/>
      <c r="E842" s="706">
        <v>0</v>
      </c>
      <c r="F842" s="243">
        <v>0</v>
      </c>
      <c r="K842" s="409"/>
      <c r="L842" s="1"/>
      <c r="N842" s="408"/>
    </row>
    <row r="843" spans="3:14" hidden="1" x14ac:dyDescent="0.3">
      <c r="C843" s="642"/>
      <c r="D843" s="724"/>
      <c r="E843" s="707"/>
      <c r="F843" s="240"/>
      <c r="K843" s="409"/>
      <c r="L843" s="1"/>
      <c r="N843" s="408"/>
    </row>
    <row r="844" spans="3:14" hidden="1" x14ac:dyDescent="0.3">
      <c r="C844" s="241" t="s">
        <v>1695</v>
      </c>
      <c r="D844" s="723"/>
      <c r="E844" s="706">
        <v>0</v>
      </c>
      <c r="F844" s="243">
        <v>0</v>
      </c>
      <c r="K844" s="409"/>
      <c r="L844" s="1"/>
      <c r="N844" s="408"/>
    </row>
    <row r="845" spans="3:14" hidden="1" x14ac:dyDescent="0.3">
      <c r="C845" s="241"/>
      <c r="D845" s="723"/>
      <c r="E845" s="707"/>
      <c r="F845" s="240"/>
      <c r="K845" s="409"/>
      <c r="L845" s="1"/>
      <c r="N845" s="408"/>
    </row>
    <row r="846" spans="3:14" hidden="1" x14ac:dyDescent="0.3">
      <c r="C846" s="241" t="s">
        <v>1696</v>
      </c>
      <c r="D846" s="723"/>
      <c r="E846" s="708">
        <f>+Assets!D74</f>
        <v>0</v>
      </c>
      <c r="F846" s="240">
        <f>+Assets!E74</f>
        <v>0</v>
      </c>
      <c r="K846" s="409"/>
      <c r="L846" s="1"/>
      <c r="N846" s="408"/>
    </row>
    <row r="847" spans="3:14" hidden="1" x14ac:dyDescent="0.3">
      <c r="C847" s="698" t="s">
        <v>185</v>
      </c>
      <c r="D847" s="725"/>
      <c r="E847" s="701">
        <f>+SUM(E846)</f>
        <v>0</v>
      </c>
      <c r="F847" s="701">
        <f>+SUM(F846)</f>
        <v>0</v>
      </c>
      <c r="K847" s="409"/>
      <c r="L847" s="1"/>
      <c r="N847" s="408"/>
    </row>
    <row r="848" spans="3:14" hidden="1" x14ac:dyDescent="0.3">
      <c r="C848" s="644"/>
      <c r="D848" s="726"/>
      <c r="E848" s="309"/>
      <c r="F848" s="25"/>
      <c r="K848" s="409"/>
      <c r="L848" s="1"/>
      <c r="N848" s="408"/>
    </row>
    <row r="849" spans="3:14" hidden="1" x14ac:dyDescent="0.3">
      <c r="C849" s="644" t="s">
        <v>186</v>
      </c>
      <c r="D849" s="726"/>
      <c r="E849" s="709">
        <v>0</v>
      </c>
      <c r="F849" s="157">
        <v>0</v>
      </c>
      <c r="K849" s="409"/>
      <c r="L849" s="1"/>
      <c r="N849" s="408"/>
    </row>
    <row r="850" spans="3:14" hidden="1" x14ac:dyDescent="0.3">
      <c r="C850" s="127" t="s">
        <v>479</v>
      </c>
      <c r="D850" s="140"/>
      <c r="E850" s="706">
        <v>0</v>
      </c>
      <c r="F850" s="24">
        <v>0</v>
      </c>
      <c r="K850" s="409"/>
      <c r="L850" s="1"/>
      <c r="N850" s="408"/>
    </row>
    <row r="851" spans="3:14" hidden="1" x14ac:dyDescent="0.3">
      <c r="C851" s="173"/>
      <c r="D851" s="688"/>
      <c r="E851" s="309"/>
      <c r="F851" s="24"/>
      <c r="K851" s="409"/>
      <c r="L851" s="1"/>
      <c r="N851" s="408"/>
    </row>
    <row r="852" spans="3:14" hidden="1" x14ac:dyDescent="0.3">
      <c r="C852" s="645" t="s">
        <v>35</v>
      </c>
      <c r="D852" s="664"/>
      <c r="E852" s="710">
        <f>+SUM(E847)</f>
        <v>0</v>
      </c>
      <c r="F852" s="710">
        <f>+SUM(F847)</f>
        <v>0</v>
      </c>
      <c r="K852" s="409"/>
      <c r="L852" s="1"/>
      <c r="N852" s="408"/>
    </row>
    <row r="853" spans="3:14" hidden="1" x14ac:dyDescent="0.3"/>
    <row r="854" spans="3:14" hidden="1" x14ac:dyDescent="0.3">
      <c r="C854" s="1889" t="str">
        <f>+Assets!C207</f>
        <v>Note 10A: Trade Receivables ageing schedule</v>
      </c>
    </row>
    <row r="855" spans="3:14" hidden="1" x14ac:dyDescent="0.3"/>
    <row r="856" spans="3:14" hidden="1" x14ac:dyDescent="0.3">
      <c r="C856" s="3183" t="s">
        <v>20</v>
      </c>
      <c r="D856" s="3185" t="s">
        <v>1166</v>
      </c>
      <c r="E856" s="3186"/>
      <c r="F856" s="3186"/>
      <c r="G856" s="3186"/>
      <c r="H856" s="3186"/>
      <c r="I856" s="3187" t="s">
        <v>35</v>
      </c>
    </row>
    <row r="857" spans="3:14" hidden="1" x14ac:dyDescent="0.3">
      <c r="C857" s="3184"/>
      <c r="D857" s="254" t="s">
        <v>861</v>
      </c>
      <c r="E857" s="1227" t="s">
        <v>860</v>
      </c>
      <c r="F857" s="254" t="s">
        <v>854</v>
      </c>
      <c r="G857" s="254" t="s">
        <v>855</v>
      </c>
      <c r="H857" s="1228" t="s">
        <v>856</v>
      </c>
      <c r="I857" s="3188" t="s">
        <v>35</v>
      </c>
    </row>
    <row r="858" spans="3:14" hidden="1" x14ac:dyDescent="0.3">
      <c r="C858" s="1229" t="s">
        <v>1956</v>
      </c>
      <c r="D858" s="1794">
        <v>0</v>
      </c>
      <c r="E858" s="1794">
        <v>0</v>
      </c>
      <c r="F858" s="1794">
        <v>0</v>
      </c>
      <c r="G858" s="1794">
        <v>0</v>
      </c>
      <c r="H858" s="1795">
        <v>0</v>
      </c>
      <c r="I858" s="1319">
        <f>+SUM(D858:H858)</f>
        <v>0</v>
      </c>
    </row>
    <row r="859" spans="3:14" hidden="1" x14ac:dyDescent="0.3">
      <c r="C859" s="1229" t="s">
        <v>1957</v>
      </c>
      <c r="D859" s="1794"/>
      <c r="E859" s="1792">
        <v>0</v>
      </c>
      <c r="F859" s="1792">
        <v>0</v>
      </c>
      <c r="G859" s="1792">
        <v>0</v>
      </c>
      <c r="H859" s="1792">
        <v>0</v>
      </c>
      <c r="I859" s="1319">
        <f>+SUM(D859:H859)</f>
        <v>0</v>
      </c>
    </row>
    <row r="860" spans="3:14" hidden="1" x14ac:dyDescent="0.3">
      <c r="C860" s="1229" t="s">
        <v>1958</v>
      </c>
      <c r="D860" s="1794">
        <v>0</v>
      </c>
      <c r="E860" s="1794">
        <v>0</v>
      </c>
      <c r="F860" s="1794">
        <v>0</v>
      </c>
      <c r="G860" s="1794">
        <v>0</v>
      </c>
      <c r="H860" s="1792">
        <v>0</v>
      </c>
      <c r="I860" s="1319">
        <f>+SUM(D860:H860)</f>
        <v>0</v>
      </c>
    </row>
    <row r="861" spans="3:14" hidden="1" x14ac:dyDescent="0.3">
      <c r="C861" s="1230" t="s">
        <v>1959</v>
      </c>
      <c r="D861" s="1796">
        <v>0</v>
      </c>
      <c r="E861" s="1796">
        <v>0</v>
      </c>
      <c r="F861" s="1796">
        <v>0</v>
      </c>
      <c r="G861" s="1796">
        <v>0</v>
      </c>
      <c r="H861" s="1793">
        <v>0</v>
      </c>
      <c r="I861" s="1320">
        <f>+SUM(D861:H861)</f>
        <v>0</v>
      </c>
    </row>
    <row r="862" spans="3:14" hidden="1" x14ac:dyDescent="0.3"/>
    <row r="863" spans="3:14" hidden="1" x14ac:dyDescent="0.3"/>
    <row r="864" spans="3:14" hidden="1" x14ac:dyDescent="0.3">
      <c r="C864" s="101" t="str">
        <f>+"Note "&amp;'Balance Sheet'!E57&amp;": Current investments"</f>
        <v>Note 9: Current investments</v>
      </c>
      <c r="D864" s="101"/>
      <c r="E864" s="1325"/>
    </row>
    <row r="865" spans="3:13" hidden="1" x14ac:dyDescent="0.3">
      <c r="C865" s="17"/>
      <c r="D865" s="145"/>
      <c r="E865" s="1325"/>
    </row>
    <row r="866" spans="3:13" ht="30" hidden="1" x14ac:dyDescent="0.3">
      <c r="C866" s="46" t="s">
        <v>20</v>
      </c>
      <c r="D866" s="46" t="str">
        <f>+BSCY</f>
        <v>As At 31st March 2025</v>
      </c>
      <c r="E866" s="1176" t="str">
        <f>+BSPY</f>
        <v>As At 31st March 2024</v>
      </c>
    </row>
    <row r="867" spans="3:13" hidden="1" x14ac:dyDescent="0.3">
      <c r="C867" s="129"/>
      <c r="D867" s="1326"/>
      <c r="E867" s="1327"/>
      <c r="F867" s="1"/>
      <c r="G867" s="1"/>
      <c r="H867" s="1"/>
      <c r="I867" s="1"/>
      <c r="J867" s="1"/>
      <c r="L867" s="1"/>
      <c r="M867" s="1"/>
    </row>
    <row r="868" spans="3:13" ht="33" hidden="1" x14ac:dyDescent="0.3">
      <c r="C868" s="166" t="str">
        <f>+Assets!C227</f>
        <v>Other current investments (At lower of cost and fair value, unless otherwise stated):</v>
      </c>
      <c r="D868" s="1328"/>
      <c r="E868" s="1329"/>
      <c r="F868" s="1"/>
      <c r="G868" s="1"/>
      <c r="H868" s="1"/>
      <c r="I868" s="1"/>
      <c r="J868" s="1"/>
      <c r="L868" s="1"/>
      <c r="M868" s="1"/>
    </row>
    <row r="869" spans="3:13" ht="33" hidden="1" x14ac:dyDescent="0.3">
      <c r="C869" s="120" t="str">
        <f>+Assets!C228</f>
        <v>(a) Investment in equity instruments (give details separately for fully / partly paid up instruments)</v>
      </c>
      <c r="D869" s="1330"/>
      <c r="E869" s="1331"/>
      <c r="F869" s="1"/>
      <c r="G869" s="1"/>
      <c r="H869" s="1"/>
      <c r="I869" s="1"/>
      <c r="J869" s="1"/>
      <c r="L869" s="1"/>
      <c r="M869" s="1"/>
    </row>
    <row r="870" spans="3:13" hidden="1" x14ac:dyDescent="0.3">
      <c r="C870" s="1332" t="str">
        <f>+Assets!C229</f>
        <v>(i) of subsidiaries</v>
      </c>
      <c r="D870" s="1817"/>
      <c r="E870" s="1817"/>
      <c r="F870" s="1"/>
      <c r="G870" s="1"/>
      <c r="H870" s="1"/>
      <c r="I870" s="1"/>
      <c r="J870" s="1"/>
      <c r="L870" s="1"/>
      <c r="M870" s="1"/>
    </row>
    <row r="871" spans="3:13" hidden="1" x14ac:dyDescent="0.3">
      <c r="C871" s="1332" t="str">
        <f>+Assets!C230</f>
        <v>(i) of associates</v>
      </c>
      <c r="D871" s="1817"/>
      <c r="E871" s="1817"/>
      <c r="F871" s="1"/>
      <c r="G871" s="1"/>
      <c r="H871" s="1"/>
      <c r="I871" s="1"/>
      <c r="J871" s="1"/>
      <c r="L871" s="1"/>
      <c r="M871" s="1"/>
    </row>
    <row r="872" spans="3:13" hidden="1" x14ac:dyDescent="0.3">
      <c r="C872" s="1332" t="str">
        <f>+Assets!C231</f>
        <v>(i) of joint ventures - jointly controlled entities</v>
      </c>
      <c r="D872" s="1817"/>
      <c r="E872" s="1817"/>
      <c r="F872" s="1"/>
      <c r="G872" s="1"/>
      <c r="H872" s="1"/>
      <c r="I872" s="1"/>
      <c r="J872" s="1"/>
      <c r="L872" s="1"/>
      <c r="M872" s="1"/>
    </row>
    <row r="873" spans="3:13" hidden="1" x14ac:dyDescent="0.3">
      <c r="C873" s="1332" t="str">
        <f>+Assets!C232</f>
        <v>(i) of controlled special purpose entities</v>
      </c>
      <c r="D873" s="1817"/>
      <c r="E873" s="1817"/>
      <c r="F873" s="1"/>
      <c r="G873" s="1"/>
      <c r="H873" s="1"/>
      <c r="I873" s="1"/>
      <c r="J873" s="1"/>
      <c r="L873" s="1"/>
      <c r="M873" s="1"/>
    </row>
    <row r="874" spans="3:13" hidden="1" x14ac:dyDescent="0.3">
      <c r="C874" s="1332" t="str">
        <f>+Assets!C233</f>
        <v>(i) of other entities (give details) (Example: any other quoted shares)</v>
      </c>
      <c r="D874" s="1817"/>
      <c r="E874" s="1817"/>
      <c r="F874" s="1"/>
      <c r="G874" s="1"/>
      <c r="H874" s="1"/>
      <c r="I874" s="1"/>
      <c r="J874" s="1"/>
      <c r="L874" s="1"/>
      <c r="M874" s="1"/>
    </row>
    <row r="875" spans="3:13" hidden="1" x14ac:dyDescent="0.3">
      <c r="C875" s="1332" t="str">
        <f>+Assets!C234</f>
        <v>(i) of other entities (give details) (Example: any other unquoted shares)</v>
      </c>
      <c r="D875" s="1819"/>
      <c r="E875" s="1819"/>
      <c r="F875" s="1"/>
      <c r="G875" s="1"/>
      <c r="H875" s="1"/>
      <c r="I875" s="1"/>
      <c r="J875" s="1"/>
      <c r="L875" s="1"/>
      <c r="M875" s="1"/>
    </row>
    <row r="876" spans="3:13" hidden="1" x14ac:dyDescent="0.3">
      <c r="C876" s="1333"/>
      <c r="D876" s="1816">
        <f>+SUMIF('Master TB'!$E:$E,Assets!K235,'Master TB'!$J:$J)</f>
        <v>0</v>
      </c>
      <c r="E876" s="1330">
        <f>+SUMIF('Master TB'!$E:$E,Assets!K235,'Master TB'!$V:$V)</f>
        <v>0</v>
      </c>
      <c r="F876" s="1"/>
      <c r="G876" s="1"/>
      <c r="H876" s="1"/>
      <c r="I876" s="1"/>
      <c r="J876" s="1"/>
      <c r="L876" s="1"/>
      <c r="M876" s="1"/>
    </row>
    <row r="877" spans="3:13" ht="33" hidden="1" x14ac:dyDescent="0.3">
      <c r="C877" s="822" t="str">
        <f>+Assets!C237</f>
        <v>(a) Investment in preference shares (give details separately for fully / partly paid up shares)</v>
      </c>
      <c r="D877" s="1330"/>
      <c r="E877" s="1330"/>
      <c r="F877" s="1"/>
      <c r="G877" s="1"/>
      <c r="H877" s="1"/>
      <c r="I877" s="1"/>
      <c r="J877" s="1"/>
      <c r="L877" s="1"/>
      <c r="M877" s="1"/>
    </row>
    <row r="878" spans="3:13" hidden="1" x14ac:dyDescent="0.3">
      <c r="C878" s="1332" t="str">
        <f>+Assets!C238</f>
        <v>(i) of subsidiaries</v>
      </c>
      <c r="D878" s="1817"/>
      <c r="E878" s="1817"/>
      <c r="F878" s="1"/>
      <c r="G878" s="1"/>
      <c r="H878" s="1"/>
      <c r="I878" s="1"/>
      <c r="J878" s="1"/>
      <c r="L878" s="1"/>
      <c r="M878" s="1"/>
    </row>
    <row r="879" spans="3:13" hidden="1" x14ac:dyDescent="0.3">
      <c r="C879" s="1332" t="str">
        <f>+Assets!C239</f>
        <v>(i) of associates</v>
      </c>
      <c r="D879" s="1817"/>
      <c r="E879" s="1817"/>
      <c r="F879" s="1"/>
      <c r="G879" s="1"/>
      <c r="H879" s="1"/>
      <c r="I879" s="1"/>
      <c r="J879" s="1"/>
      <c r="L879" s="1"/>
      <c r="M879" s="1"/>
    </row>
    <row r="880" spans="3:13" hidden="1" x14ac:dyDescent="0.3">
      <c r="C880" s="1332" t="str">
        <f>+Assets!C240</f>
        <v>(i) of joint ventures - jointly controlled entities</v>
      </c>
      <c r="D880" s="1817"/>
      <c r="E880" s="1817"/>
      <c r="F880" s="1"/>
      <c r="G880" s="1"/>
      <c r="H880" s="1"/>
      <c r="I880" s="1"/>
      <c r="J880" s="1"/>
      <c r="L880" s="1"/>
      <c r="M880" s="1"/>
    </row>
    <row r="881" spans="3:13" hidden="1" x14ac:dyDescent="0.3">
      <c r="C881" s="1332" t="str">
        <f>+Assets!C241</f>
        <v>(i) of controlled special purpose entities</v>
      </c>
      <c r="D881" s="1817"/>
      <c r="E881" s="1817"/>
      <c r="F881" s="1"/>
      <c r="G881" s="1"/>
      <c r="H881" s="1"/>
      <c r="I881" s="1"/>
      <c r="J881" s="1"/>
      <c r="L881" s="1"/>
      <c r="M881" s="1"/>
    </row>
    <row r="882" spans="3:13" hidden="1" x14ac:dyDescent="0.3">
      <c r="C882" s="1332" t="str">
        <f>+Assets!C242</f>
        <v>(i) of other entities (give details)</v>
      </c>
      <c r="D882" s="1817"/>
      <c r="E882" s="1817"/>
      <c r="F882" s="1"/>
      <c r="G882" s="1"/>
      <c r="H882" s="1"/>
      <c r="I882" s="1"/>
      <c r="J882" s="1"/>
      <c r="L882" s="1"/>
      <c r="M882" s="1"/>
    </row>
    <row r="883" spans="3:13" hidden="1" x14ac:dyDescent="0.3">
      <c r="C883" s="1333"/>
      <c r="D883" s="1330">
        <f>+SUMIF('Master TB'!$E:$E,Assets!K243,'Master TB'!$J:$J)</f>
        <v>0</v>
      </c>
      <c r="E883" s="1330">
        <f>+SUMIF('Master TB'!$E:$E,Assets!K243,'Master TB'!$V:$V)</f>
        <v>0</v>
      </c>
      <c r="F883" s="1"/>
      <c r="G883" s="1"/>
      <c r="H883" s="1"/>
      <c r="I883" s="1"/>
      <c r="J883" s="1"/>
      <c r="L883" s="1"/>
      <c r="M883" s="1"/>
    </row>
    <row r="884" spans="3:13" hidden="1" x14ac:dyDescent="0.3">
      <c r="C884" s="123" t="str">
        <f>+Assets!C244</f>
        <v>(a) Investment in government or trust securities</v>
      </c>
      <c r="D884" s="1330"/>
      <c r="E884" s="1330"/>
      <c r="F884" s="1"/>
      <c r="G884" s="1"/>
      <c r="H884" s="1"/>
      <c r="I884" s="1"/>
      <c r="J884" s="1"/>
      <c r="L884" s="1"/>
      <c r="M884" s="1"/>
    </row>
    <row r="885" spans="3:13" hidden="1" x14ac:dyDescent="0.3">
      <c r="C885" s="1332" t="str">
        <f>+Assets!C245</f>
        <v>(i) government securities</v>
      </c>
      <c r="D885" s="549">
        <f>+SUMIF('Master TB'!E:E,Assets!K245,'Master TB'!J:J)</f>
        <v>0</v>
      </c>
      <c r="E885" s="549">
        <f>+SUMIF('Master TB'!E:E,Assets!$K245,'Master TB'!V:V)</f>
        <v>0</v>
      </c>
      <c r="F885" s="1"/>
      <c r="G885" s="1"/>
      <c r="H885" s="1"/>
      <c r="I885" s="1"/>
      <c r="J885" s="1"/>
      <c r="L885" s="1"/>
      <c r="M885" s="1"/>
    </row>
    <row r="886" spans="3:13" hidden="1" x14ac:dyDescent="0.3">
      <c r="C886" s="1332" t="str">
        <f>+Assets!C246</f>
        <v>(i) trust securities</v>
      </c>
      <c r="D886" s="549">
        <f>+SUMIF('Master TB'!E:E,Assets!K246,'Master TB'!J:J)</f>
        <v>0</v>
      </c>
      <c r="E886" s="549">
        <f>+SUMIF('Master TB'!E:E,Assets!$K246,'Master TB'!V:V)</f>
        <v>0</v>
      </c>
      <c r="F886" s="1"/>
      <c r="G886" s="1"/>
      <c r="H886" s="1"/>
      <c r="I886" s="1"/>
      <c r="J886" s="1"/>
      <c r="L886" s="1"/>
      <c r="M886" s="1"/>
    </row>
    <row r="887" spans="3:13" hidden="1" x14ac:dyDescent="0.3">
      <c r="C887" s="1333"/>
      <c r="D887" s="1330"/>
      <c r="E887" s="1330"/>
      <c r="F887" s="1"/>
      <c r="G887" s="1"/>
      <c r="H887" s="1"/>
      <c r="I887" s="1"/>
      <c r="J887" s="1"/>
      <c r="L887" s="1"/>
      <c r="M887" s="1"/>
    </row>
    <row r="888" spans="3:13" hidden="1" x14ac:dyDescent="0.3">
      <c r="C888" s="1818" t="str">
        <f>+Assets!C248</f>
        <v>(a) Investment in debentures or bonds (give details separately for fully / partly paid up 
debentures / bonds)</v>
      </c>
      <c r="D888" s="1330"/>
      <c r="E888" s="1330"/>
      <c r="F888" s="1"/>
      <c r="G888" s="1"/>
      <c r="H888" s="1"/>
      <c r="I888" s="1"/>
      <c r="J888" s="1"/>
      <c r="L888" s="1"/>
      <c r="M888" s="1"/>
    </row>
    <row r="889" spans="3:13" hidden="1" x14ac:dyDescent="0.3">
      <c r="C889" s="1332" t="str">
        <f>+Assets!C249</f>
        <v>(i) of subsidiaries</v>
      </c>
      <c r="D889" s="1817"/>
      <c r="E889" s="1817"/>
      <c r="F889" s="1"/>
      <c r="G889" s="1"/>
      <c r="H889" s="1"/>
      <c r="I889" s="1"/>
      <c r="J889" s="1"/>
      <c r="L889" s="1"/>
      <c r="M889" s="1"/>
    </row>
    <row r="890" spans="3:13" hidden="1" x14ac:dyDescent="0.3">
      <c r="C890" s="1332" t="str">
        <f>+Assets!C250</f>
        <v>(i) of associates</v>
      </c>
      <c r="D890" s="1817"/>
      <c r="E890" s="1817"/>
      <c r="F890" s="1"/>
      <c r="G890" s="1"/>
      <c r="H890" s="1"/>
      <c r="I890" s="1"/>
      <c r="J890" s="1"/>
      <c r="L890" s="1"/>
      <c r="M890" s="1"/>
    </row>
    <row r="891" spans="3:13" hidden="1" x14ac:dyDescent="0.3">
      <c r="C891" s="1332" t="str">
        <f>+Assets!C251</f>
        <v>(i) of joint ventures - jointly controlled entities</v>
      </c>
      <c r="D891" s="1817"/>
      <c r="E891" s="1817"/>
      <c r="F891" s="1"/>
      <c r="G891" s="1"/>
      <c r="H891" s="1"/>
      <c r="I891" s="1"/>
      <c r="J891" s="1"/>
      <c r="L891" s="1"/>
      <c r="M891" s="1"/>
    </row>
    <row r="892" spans="3:13" hidden="1" x14ac:dyDescent="0.3">
      <c r="C892" s="1332" t="str">
        <f>+Assets!C252</f>
        <v>(i) of controlled special purpose entities</v>
      </c>
      <c r="D892" s="1817"/>
      <c r="E892" s="1817"/>
      <c r="F892" s="1"/>
      <c r="G892" s="1"/>
      <c r="H892" s="1"/>
      <c r="I892" s="1"/>
      <c r="J892" s="1"/>
      <c r="L892" s="1"/>
      <c r="M892" s="1"/>
    </row>
    <row r="893" spans="3:13" hidden="1" x14ac:dyDescent="0.3">
      <c r="C893" s="1332" t="str">
        <f>+Assets!C253</f>
        <v>(i) of other entities (give details)</v>
      </c>
      <c r="D893" s="1817"/>
      <c r="E893" s="1817"/>
      <c r="F893" s="1"/>
      <c r="G893" s="1"/>
      <c r="H893" s="1"/>
      <c r="I893" s="1"/>
      <c r="J893" s="1"/>
      <c r="L893" s="1"/>
      <c r="M893" s="1"/>
    </row>
    <row r="894" spans="3:13" hidden="1" x14ac:dyDescent="0.3">
      <c r="C894" s="1333"/>
      <c r="D894" s="1330">
        <f>+SUMIF('Master TB'!E:E,Assets!K254,'Master TB'!J:J)</f>
        <v>0</v>
      </c>
      <c r="E894" s="1330">
        <f>+SUMIF('Master TB'!E:E,Assets!$K254,'Master TB'!V:V)</f>
        <v>0</v>
      </c>
      <c r="F894" s="1"/>
      <c r="G894" s="1"/>
      <c r="H894" s="1"/>
      <c r="I894" s="1"/>
      <c r="J894" s="1"/>
      <c r="L894" s="1"/>
      <c r="M894" s="1"/>
    </row>
    <row r="895" spans="3:13" hidden="1" x14ac:dyDescent="0.3">
      <c r="C895" s="123" t="str">
        <f>+Assets!C256</f>
        <v>(a) Investment in mutual funds (give details)</v>
      </c>
      <c r="D895" s="549">
        <f>+SUMIF('Master TB'!E:E,Assets!K256,'Master TB'!J:J)</f>
        <v>0</v>
      </c>
      <c r="E895" s="549">
        <f>+SUMIF('Master TB'!E:E,Assets!$K256,'Master TB'!V:V)</f>
        <v>0</v>
      </c>
      <c r="F895" s="1"/>
      <c r="G895" s="1"/>
      <c r="H895" s="1"/>
      <c r="I895" s="1"/>
      <c r="J895" s="1"/>
      <c r="L895" s="1"/>
      <c r="M895" s="1"/>
    </row>
    <row r="896" spans="3:13" hidden="1" x14ac:dyDescent="0.3">
      <c r="C896" s="1333"/>
      <c r="D896" s="1330"/>
      <c r="E896" s="1330"/>
      <c r="F896" s="1"/>
      <c r="G896" s="1"/>
      <c r="H896" s="1"/>
      <c r="I896" s="1"/>
      <c r="J896" s="1"/>
      <c r="L896" s="1"/>
      <c r="M896" s="1"/>
    </row>
    <row r="897" spans="3:13" hidden="1" x14ac:dyDescent="0.3">
      <c r="C897" s="123" t="str">
        <f>+Assets!C258</f>
        <v>(a) Investment in partnership firms (Refer Note (i) below)</v>
      </c>
      <c r="D897" s="549">
        <f>+SUMIF('Master TB'!E:E,Assets!K258,'Master TB'!J:J)</f>
        <v>0</v>
      </c>
      <c r="E897" s="549">
        <f>+SUMIF('Master TB'!E:E,Assets!$K258,'Master TB'!V:V)</f>
        <v>0</v>
      </c>
      <c r="F897" s="1"/>
      <c r="G897" s="1"/>
      <c r="H897" s="1"/>
      <c r="I897" s="1"/>
      <c r="J897" s="1"/>
      <c r="L897" s="1"/>
      <c r="M897" s="1"/>
    </row>
    <row r="898" spans="3:13" hidden="1" x14ac:dyDescent="0.3">
      <c r="C898" s="126"/>
      <c r="D898" s="1330"/>
      <c r="E898" s="1330"/>
      <c r="F898" s="1"/>
      <c r="G898" s="1"/>
      <c r="H898" s="1"/>
      <c r="I898" s="1"/>
      <c r="J898" s="1"/>
      <c r="L898" s="1"/>
      <c r="M898" s="1"/>
    </row>
    <row r="899" spans="3:13" hidden="1" x14ac:dyDescent="0.3">
      <c r="C899" s="123" t="str">
        <f>+Assets!C260</f>
        <v>(a) Other investments (specify nature)</v>
      </c>
      <c r="D899" s="549">
        <f>+SUMIF('Master TB'!E:E,Assets!K260,'Master TB'!J:J)</f>
        <v>0</v>
      </c>
      <c r="E899" s="549">
        <f>+SUMIF('Master TB'!E:E,Assets!$K260,'Master TB'!V:V)</f>
        <v>0</v>
      </c>
      <c r="J899" s="1"/>
      <c r="L899" s="1"/>
      <c r="M899" s="1"/>
    </row>
    <row r="900" spans="3:13" hidden="1" x14ac:dyDescent="0.3">
      <c r="C900" s="123"/>
      <c r="D900" s="1335"/>
      <c r="E900" s="1335"/>
      <c r="J900" s="1"/>
      <c r="L900" s="1"/>
      <c r="M900" s="1"/>
    </row>
    <row r="901" spans="3:13" hidden="1" x14ac:dyDescent="0.3">
      <c r="C901" s="1336" t="str">
        <f>+Assets!C262</f>
        <v>Total - Current investments</v>
      </c>
      <c r="D901" s="21">
        <f>SUM(D870:D875,D878:D882,D885:D886,D889:D893,D895,D897,D899)</f>
        <v>0</v>
      </c>
      <c r="E901" s="21">
        <f>SUM(E870:E875,E878:E882,E885:E886,E889:E893,E895,E897,E899)</f>
        <v>0</v>
      </c>
      <c r="J901" s="1"/>
      <c r="L901" s="1"/>
      <c r="M901" s="1"/>
    </row>
    <row r="902" spans="3:13" hidden="1" x14ac:dyDescent="0.3"/>
    <row r="903" spans="3:13" hidden="1" x14ac:dyDescent="0.3"/>
    <row r="904" spans="3:13" hidden="1" x14ac:dyDescent="0.3"/>
    <row r="905" spans="3:13" hidden="1" x14ac:dyDescent="0.3">
      <c r="C905" s="39" t="s">
        <v>1844</v>
      </c>
      <c r="D905" s="39"/>
      <c r="E905" s="1339"/>
      <c r="F905" s="39"/>
      <c r="G905" s="39"/>
      <c r="H905" s="39"/>
      <c r="I905" s="39"/>
      <c r="J905" s="1"/>
      <c r="L905" s="1"/>
      <c r="M905" s="1"/>
    </row>
    <row r="906" spans="3:13" hidden="1" x14ac:dyDescent="0.3">
      <c r="C906" s="3030" t="s">
        <v>1839</v>
      </c>
      <c r="D906" s="3180" t="str">
        <f>+BSCY</f>
        <v>As At 31st March 2025</v>
      </c>
      <c r="E906" s="3180"/>
      <c r="F906" s="3180"/>
      <c r="G906" s="3180" t="str">
        <f>+BSPY</f>
        <v>As At 31st March 2024</v>
      </c>
      <c r="H906" s="3180"/>
      <c r="I906" s="3180"/>
      <c r="J906" s="1"/>
      <c r="L906" s="1"/>
      <c r="M906" s="1"/>
    </row>
    <row r="907" spans="3:13" ht="45" hidden="1" x14ac:dyDescent="0.3">
      <c r="C907" s="3052"/>
      <c r="D907" s="1226" t="s">
        <v>1840</v>
      </c>
      <c r="E907" s="1340" t="s">
        <v>1841</v>
      </c>
      <c r="F907" s="1226" t="s">
        <v>1842</v>
      </c>
      <c r="G907" s="1226" t="s">
        <v>1840</v>
      </c>
      <c r="H907" s="1226" t="s">
        <v>1843</v>
      </c>
      <c r="I907" s="1226" t="s">
        <v>1842</v>
      </c>
      <c r="J907" s="1"/>
      <c r="L907" s="1"/>
      <c r="M907" s="1"/>
    </row>
    <row r="908" spans="3:13" hidden="1" x14ac:dyDescent="0.3">
      <c r="C908" s="1341"/>
      <c r="D908" s="1341"/>
      <c r="E908" s="1342"/>
      <c r="F908" s="1341"/>
      <c r="G908" s="1341"/>
      <c r="H908" s="1341"/>
      <c r="I908" s="1341"/>
      <c r="J908" s="1"/>
      <c r="L908" s="1"/>
      <c r="M908" s="1"/>
    </row>
    <row r="909" spans="3:13" hidden="1" x14ac:dyDescent="0.3">
      <c r="C909" s="1341"/>
      <c r="D909" s="1341"/>
      <c r="E909" s="1342"/>
      <c r="F909" s="1341"/>
      <c r="G909" s="1341"/>
      <c r="H909" s="1341"/>
      <c r="I909" s="1341"/>
      <c r="J909" s="1"/>
      <c r="L909" s="1"/>
      <c r="M909" s="1"/>
    </row>
    <row r="910" spans="3:13" hidden="1" x14ac:dyDescent="0.3">
      <c r="C910" s="1341"/>
      <c r="D910" s="1341"/>
      <c r="E910" s="1342"/>
      <c r="F910" s="1341"/>
      <c r="G910" s="1341"/>
      <c r="H910" s="1341"/>
      <c r="I910" s="1341"/>
      <c r="J910" s="1"/>
      <c r="L910" s="1"/>
      <c r="M910" s="1"/>
    </row>
    <row r="911" spans="3:13" hidden="1" x14ac:dyDescent="0.3">
      <c r="C911" s="1341"/>
      <c r="D911" s="1341"/>
      <c r="E911" s="1342"/>
      <c r="F911" s="1341"/>
      <c r="G911" s="1341"/>
      <c r="H911" s="1341"/>
      <c r="I911" s="1341"/>
      <c r="J911" s="1"/>
      <c r="L911" s="1"/>
      <c r="M911" s="1"/>
    </row>
    <row r="912" spans="3:13" hidden="1" x14ac:dyDescent="0.3">
      <c r="C912" s="136"/>
      <c r="D912" s="136"/>
      <c r="E912" s="1343"/>
      <c r="F912" s="1344"/>
      <c r="G912" s="1344"/>
      <c r="H912" s="1344"/>
      <c r="I912" s="1344"/>
      <c r="J912" s="1"/>
      <c r="L912" s="1"/>
      <c r="M912" s="1"/>
    </row>
    <row r="913" spans="2:13" hidden="1" x14ac:dyDescent="0.3">
      <c r="C913" s="1345"/>
      <c r="D913" s="1345"/>
      <c r="E913" s="1346"/>
      <c r="F913" s="1347"/>
      <c r="G913" s="1347"/>
      <c r="H913" s="1347"/>
      <c r="I913" s="1347"/>
      <c r="J913" s="1"/>
      <c r="L913" s="1"/>
      <c r="M913" s="1"/>
    </row>
    <row r="914" spans="2:13" hidden="1" x14ac:dyDescent="0.3"/>
    <row r="915" spans="2:13" hidden="1" x14ac:dyDescent="0.3"/>
    <row r="916" spans="2:13" hidden="1" x14ac:dyDescent="0.3">
      <c r="B916" s="41"/>
      <c r="C916" s="101" t="s">
        <v>192</v>
      </c>
      <c r="D916" s="1348"/>
      <c r="E916" s="1349"/>
      <c r="F916" s="41"/>
      <c r="G916" s="41"/>
      <c r="H916" s="41"/>
      <c r="I916" s="41"/>
      <c r="J916" s="1"/>
      <c r="L916" s="1"/>
      <c r="M916" s="1"/>
    </row>
    <row r="917" spans="2:13" ht="30" hidden="1" x14ac:dyDescent="0.3">
      <c r="B917" s="41"/>
      <c r="C917" s="46" t="s">
        <v>20</v>
      </c>
      <c r="D917" s="46" t="str">
        <f>+BSCY</f>
        <v>As At 31st March 2025</v>
      </c>
      <c r="E917" s="1176" t="str">
        <f>+BSPY</f>
        <v>As At 31st March 2024</v>
      </c>
      <c r="F917" s="41"/>
      <c r="G917" s="41"/>
      <c r="H917" s="41"/>
      <c r="I917" s="41"/>
      <c r="J917" s="1"/>
      <c r="L917" s="1"/>
      <c r="M917" s="1"/>
    </row>
    <row r="918" spans="2:13" hidden="1" x14ac:dyDescent="0.3">
      <c r="B918" s="41"/>
      <c r="C918" s="1350" t="s">
        <v>193</v>
      </c>
      <c r="D918" s="1287"/>
      <c r="E918" s="1351"/>
      <c r="F918" s="41"/>
      <c r="G918" s="41"/>
      <c r="H918" s="41"/>
      <c r="I918" s="41"/>
      <c r="J918" s="1"/>
      <c r="L918" s="1"/>
      <c r="M918" s="1"/>
    </row>
    <row r="919" spans="2:13" hidden="1" x14ac:dyDescent="0.3">
      <c r="B919" s="41"/>
      <c r="C919" s="1350" t="s">
        <v>194</v>
      </c>
      <c r="D919" s="1287"/>
      <c r="E919" s="1351"/>
      <c r="F919" s="41"/>
      <c r="G919" s="41"/>
      <c r="H919" s="41"/>
      <c r="I919" s="41"/>
      <c r="J919" s="1"/>
      <c r="L919" s="1"/>
      <c r="M919" s="1"/>
    </row>
    <row r="920" spans="2:13" hidden="1" x14ac:dyDescent="0.3">
      <c r="B920" s="41"/>
      <c r="C920" s="1350" t="s">
        <v>195</v>
      </c>
      <c r="D920" s="1287"/>
      <c r="E920" s="1351"/>
      <c r="F920" s="41"/>
      <c r="G920" s="41"/>
      <c r="H920" s="41"/>
      <c r="I920" s="41"/>
      <c r="J920" s="1"/>
      <c r="L920" s="1"/>
      <c r="M920" s="1"/>
    </row>
    <row r="921" spans="2:13" hidden="1" x14ac:dyDescent="0.3">
      <c r="B921" s="41"/>
      <c r="C921" s="1350" t="s">
        <v>196</v>
      </c>
      <c r="D921" s="1287"/>
      <c r="E921" s="1352"/>
      <c r="F921" s="41"/>
      <c r="G921" s="41"/>
      <c r="H921" s="41"/>
      <c r="I921" s="41"/>
      <c r="J921" s="1"/>
      <c r="L921" s="1"/>
      <c r="M921" s="1"/>
    </row>
    <row r="922" spans="2:13" hidden="1" x14ac:dyDescent="0.3">
      <c r="B922" s="41"/>
      <c r="C922" s="1350"/>
      <c r="D922" s="1287"/>
      <c r="E922" s="1352"/>
      <c r="F922" s="41"/>
      <c r="G922" s="41"/>
      <c r="H922" s="41"/>
      <c r="I922" s="41"/>
      <c r="J922" s="1"/>
      <c r="L922" s="1"/>
      <c r="M922" s="1"/>
    </row>
    <row r="923" spans="2:13" hidden="1" x14ac:dyDescent="0.3">
      <c r="B923" s="41"/>
      <c r="C923" s="1350"/>
      <c r="D923" s="1287"/>
      <c r="E923" s="1352"/>
      <c r="F923" s="41"/>
      <c r="G923" s="41"/>
      <c r="H923" s="41"/>
      <c r="I923" s="41"/>
      <c r="J923" s="1"/>
      <c r="L923" s="1"/>
      <c r="M923" s="1"/>
    </row>
    <row r="924" spans="2:13" hidden="1" x14ac:dyDescent="0.3">
      <c r="B924" s="41"/>
      <c r="C924" s="1350"/>
      <c r="D924" s="1287"/>
      <c r="E924" s="1352"/>
      <c r="F924" s="41"/>
      <c r="G924" s="41"/>
      <c r="H924" s="41"/>
      <c r="I924" s="41"/>
      <c r="J924" s="1"/>
      <c r="L924" s="1"/>
      <c r="M924" s="1"/>
    </row>
    <row r="925" spans="2:13" hidden="1" x14ac:dyDescent="0.3">
      <c r="B925" s="41"/>
      <c r="C925" s="1350"/>
      <c r="D925" s="1287"/>
      <c r="E925" s="1352"/>
      <c r="F925" s="41"/>
      <c r="G925" s="41"/>
      <c r="H925" s="41"/>
      <c r="I925" s="41"/>
      <c r="J925" s="1"/>
      <c r="L925" s="1"/>
      <c r="M925" s="1"/>
    </row>
    <row r="926" spans="2:13" hidden="1" x14ac:dyDescent="0.3">
      <c r="B926" s="41"/>
      <c r="C926" s="1350"/>
      <c r="D926" s="1287"/>
      <c r="E926" s="1352"/>
      <c r="F926" s="41"/>
      <c r="G926" s="41"/>
      <c r="H926" s="41"/>
      <c r="I926" s="41"/>
      <c r="J926" s="1"/>
      <c r="L926" s="1"/>
      <c r="M926" s="1"/>
    </row>
    <row r="927" spans="2:13" hidden="1" x14ac:dyDescent="0.3">
      <c r="B927" s="41"/>
      <c r="C927" s="1350"/>
      <c r="D927" s="1287"/>
      <c r="E927" s="1352"/>
      <c r="F927" s="41"/>
      <c r="G927" s="41"/>
      <c r="H927" s="41"/>
      <c r="I927" s="41"/>
      <c r="J927" s="1"/>
      <c r="L927" s="1"/>
      <c r="M927" s="1"/>
    </row>
    <row r="928" spans="2:13" hidden="1" x14ac:dyDescent="0.3">
      <c r="B928" s="41"/>
      <c r="C928" s="1353" t="s">
        <v>35</v>
      </c>
      <c r="D928" s="1354">
        <f>SUM(D918:D921)</f>
        <v>0</v>
      </c>
      <c r="E928" s="1355">
        <f>SUM(E918:E921)</f>
        <v>0</v>
      </c>
      <c r="F928" s="41"/>
      <c r="G928" s="41"/>
      <c r="H928" s="41"/>
      <c r="I928" s="41"/>
      <c r="J928" s="1"/>
      <c r="L928" s="1"/>
      <c r="M928" s="1"/>
    </row>
    <row r="929" spans="2:13" hidden="1" x14ac:dyDescent="0.3">
      <c r="B929" s="41"/>
      <c r="C929" s="41"/>
      <c r="D929" s="41"/>
      <c r="E929" s="840"/>
      <c r="F929" s="41"/>
      <c r="G929" s="41"/>
      <c r="H929" s="41"/>
      <c r="I929" s="41"/>
      <c r="J929" s="1"/>
      <c r="L929" s="1"/>
      <c r="M929" s="1"/>
    </row>
    <row r="930" spans="2:13" hidden="1" x14ac:dyDescent="0.3"/>
    <row r="931" spans="2:13" x14ac:dyDescent="0.3">
      <c r="C931" s="17" t="str">
        <f>+Assets!C347</f>
        <v>Note 12A : Trade Receivables</v>
      </c>
      <c r="D931" s="81"/>
      <c r="E931" s="833"/>
      <c r="F931" s="41"/>
      <c r="G931" s="41"/>
      <c r="H931" s="41"/>
      <c r="I931" s="3"/>
      <c r="J931" s="417"/>
      <c r="L931" s="1"/>
      <c r="M931" s="1"/>
    </row>
    <row r="932" spans="2:13" x14ac:dyDescent="0.3">
      <c r="C932" s="17"/>
      <c r="D932" s="81"/>
      <c r="E932" s="833"/>
      <c r="F932" s="41"/>
      <c r="G932" s="41"/>
      <c r="H932" s="41"/>
      <c r="I932" s="3"/>
      <c r="J932" s="417"/>
      <c r="L932" s="1"/>
      <c r="M932" s="1"/>
    </row>
    <row r="933" spans="2:13" x14ac:dyDescent="0.3">
      <c r="C933" s="17" t="str">
        <f>+"Trade Receivables Ageing Schedule " &amp; BSCY</f>
        <v>Trade Receivables Ageing Schedule As At 31st March 2025</v>
      </c>
      <c r="D933" s="1827"/>
      <c r="E933" s="833"/>
      <c r="F933" s="41"/>
      <c r="G933" s="41"/>
      <c r="H933" s="41"/>
      <c r="I933" s="3"/>
      <c r="J933" s="417"/>
      <c r="L933" s="1"/>
      <c r="M933" s="1"/>
    </row>
    <row r="934" spans="2:13" x14ac:dyDescent="0.3">
      <c r="C934" s="2858" t="s">
        <v>20</v>
      </c>
      <c r="D934" s="2765" t="s">
        <v>1166</v>
      </c>
      <c r="E934" s="2860"/>
      <c r="F934" s="2860"/>
      <c r="G934" s="2860"/>
      <c r="H934" s="2860"/>
      <c r="I934" s="3181" t="s">
        <v>35</v>
      </c>
      <c r="J934" s="417"/>
      <c r="L934" s="1"/>
      <c r="M934" s="1"/>
    </row>
    <row r="935" spans="2:13" x14ac:dyDescent="0.3">
      <c r="C935" s="2859"/>
      <c r="D935" s="1929" t="s">
        <v>861</v>
      </c>
      <c r="E935" s="1943" t="s">
        <v>860</v>
      </c>
      <c r="F935" s="1929" t="s">
        <v>854</v>
      </c>
      <c r="G935" s="1929" t="s">
        <v>855</v>
      </c>
      <c r="H935" s="1942" t="s">
        <v>856</v>
      </c>
      <c r="I935" s="3182" t="s">
        <v>35</v>
      </c>
      <c r="J935" s="417"/>
      <c r="L935" s="1"/>
      <c r="M935" s="1"/>
    </row>
    <row r="936" spans="2:13" x14ac:dyDescent="0.3">
      <c r="C936" s="1229" t="str">
        <f>+Assets!C352</f>
        <v>(i) Undisputed Trade Receivables – considered good</v>
      </c>
      <c r="D936" s="1794">
        <f>50023063/100</f>
        <v>500230.63</v>
      </c>
      <c r="E936" s="1794">
        <v>133.53</v>
      </c>
      <c r="F936" s="1196">
        <v>0</v>
      </c>
      <c r="G936" s="1196">
        <v>0</v>
      </c>
      <c r="H936" s="1797">
        <v>0</v>
      </c>
      <c r="I936" s="971">
        <f>SUM(D936:H936)</f>
        <v>500364.16000000003</v>
      </c>
      <c r="J936" s="417"/>
      <c r="L936" s="1"/>
      <c r="M936" s="1"/>
    </row>
    <row r="937" spans="2:13" x14ac:dyDescent="0.3">
      <c r="C937" s="1229" t="str">
        <f>+Assets!C353</f>
        <v>(ii) Undisputed Trade Receivables – considered doubtful</v>
      </c>
      <c r="D937" s="1794">
        <v>0</v>
      </c>
      <c r="E937" s="1794">
        <v>0</v>
      </c>
      <c r="F937" s="1794">
        <v>0</v>
      </c>
      <c r="G937" s="1794">
        <v>0</v>
      </c>
      <c r="H937" s="1792">
        <v>0</v>
      </c>
      <c r="I937" s="971">
        <f>SUM(D937:H937)</f>
        <v>0</v>
      </c>
      <c r="J937" s="417"/>
      <c r="L937" s="1"/>
      <c r="M937" s="1"/>
    </row>
    <row r="938" spans="2:13" x14ac:dyDescent="0.3">
      <c r="C938" s="1229" t="str">
        <f>+Assets!C354</f>
        <v>(iii) Disputed Trade Receivables – considered good</v>
      </c>
      <c r="D938" s="1794">
        <v>0</v>
      </c>
      <c r="E938" s="1794">
        <v>0</v>
      </c>
      <c r="F938" s="1794">
        <v>0</v>
      </c>
      <c r="G938" s="1794">
        <v>0</v>
      </c>
      <c r="H938" s="1792">
        <v>0</v>
      </c>
      <c r="I938" s="971">
        <f>SUM(D938:H938)</f>
        <v>0</v>
      </c>
      <c r="J938" s="417"/>
      <c r="L938" s="1"/>
      <c r="M938" s="1"/>
    </row>
    <row r="939" spans="2:13" x14ac:dyDescent="0.3">
      <c r="C939" s="1230" t="str">
        <f>+Assets!C355</f>
        <v>(iv) Disputed Trade Receivables – considered doubtful</v>
      </c>
      <c r="D939" s="1796">
        <v>0</v>
      </c>
      <c r="E939" s="1796">
        <v>0</v>
      </c>
      <c r="F939" s="1796">
        <v>0</v>
      </c>
      <c r="G939" s="1796">
        <v>0</v>
      </c>
      <c r="H939" s="1793">
        <v>0</v>
      </c>
      <c r="I939" s="973">
        <f>SUM(D939:H939)</f>
        <v>0</v>
      </c>
      <c r="J939" s="417"/>
      <c r="L939" s="1"/>
      <c r="M939" s="1"/>
    </row>
    <row r="941" spans="2:13" x14ac:dyDescent="0.3">
      <c r="C941" s="17" t="str">
        <f>+"Trade Receivables Ageing Schedule " &amp; BSPY</f>
        <v>Trade Receivables Ageing Schedule As At 31st March 2024</v>
      </c>
    </row>
    <row r="942" spans="2:13" x14ac:dyDescent="0.3">
      <c r="C942" s="2858" t="s">
        <v>20</v>
      </c>
      <c r="D942" s="2765" t="s">
        <v>1166</v>
      </c>
      <c r="E942" s="2860"/>
      <c r="F942" s="2860"/>
      <c r="G942" s="2860"/>
      <c r="H942" s="2860"/>
      <c r="I942" s="3181" t="s">
        <v>35</v>
      </c>
    </row>
    <row r="943" spans="2:13" x14ac:dyDescent="0.3">
      <c r="C943" s="2859"/>
      <c r="D943" s="1929" t="s">
        <v>861</v>
      </c>
      <c r="E943" s="1943" t="s">
        <v>860</v>
      </c>
      <c r="F943" s="1929" t="s">
        <v>854</v>
      </c>
      <c r="G943" s="1929" t="s">
        <v>855</v>
      </c>
      <c r="H943" s="1942" t="s">
        <v>856</v>
      </c>
      <c r="I943" s="3182" t="s">
        <v>35</v>
      </c>
    </row>
    <row r="944" spans="2:13" x14ac:dyDescent="0.3">
      <c r="C944" s="1229" t="str">
        <f>+Assets!C360</f>
        <v>(i) Undisputed Trade Receivables – considered good</v>
      </c>
      <c r="D944" s="1794">
        <f>32654100/100</f>
        <v>326541</v>
      </c>
      <c r="E944" s="1792">
        <v>168</v>
      </c>
      <c r="F944" s="970">
        <v>0</v>
      </c>
      <c r="G944" s="970">
        <v>0</v>
      </c>
      <c r="H944" s="970">
        <v>0</v>
      </c>
      <c r="I944" s="971">
        <f>SUM(D944:H944)</f>
        <v>326709</v>
      </c>
    </row>
    <row r="945" spans="3:13" x14ac:dyDescent="0.3">
      <c r="C945" s="1229" t="str">
        <f>+Assets!C361</f>
        <v>(ii) Undisputed Trade Receivables – considered doubtful</v>
      </c>
      <c r="D945" s="1794">
        <v>0</v>
      </c>
      <c r="E945" s="1794">
        <v>0</v>
      </c>
      <c r="F945" s="970">
        <v>0</v>
      </c>
      <c r="G945" s="970">
        <v>0</v>
      </c>
      <c r="H945" s="970">
        <v>0</v>
      </c>
      <c r="I945" s="971">
        <f>SUM(D945:H945)</f>
        <v>0</v>
      </c>
    </row>
    <row r="946" spans="3:13" x14ac:dyDescent="0.3">
      <c r="C946" s="1229" t="str">
        <f>+Assets!C362</f>
        <v>(iii) Disputed Trade Receivables – considered good</v>
      </c>
      <c r="D946" s="1794">
        <v>0</v>
      </c>
      <c r="E946" s="1794">
        <v>0</v>
      </c>
      <c r="F946" s="970">
        <v>0</v>
      </c>
      <c r="G946" s="970">
        <v>0</v>
      </c>
      <c r="H946" s="970">
        <v>0</v>
      </c>
      <c r="I946" s="971">
        <f>SUM(D946:H946)</f>
        <v>0</v>
      </c>
    </row>
    <row r="947" spans="3:13" x14ac:dyDescent="0.3">
      <c r="C947" s="1230" t="str">
        <f>+Assets!C363</f>
        <v>(iv) Disputed Trade Receivables – considered doubtful</v>
      </c>
      <c r="D947" s="1796">
        <v>0</v>
      </c>
      <c r="E947" s="1796">
        <v>0</v>
      </c>
      <c r="F947" s="972">
        <v>0</v>
      </c>
      <c r="G947" s="972">
        <v>0</v>
      </c>
      <c r="H947" s="972">
        <v>0</v>
      </c>
      <c r="I947" s="973">
        <f>SUM(D947:H947)</f>
        <v>0</v>
      </c>
    </row>
    <row r="950" spans="3:13" x14ac:dyDescent="0.3">
      <c r="C950" s="411" t="s">
        <v>1950</v>
      </c>
      <c r="L950" s="1"/>
      <c r="M950" s="1"/>
    </row>
    <row r="952" spans="3:13" x14ac:dyDescent="0.3">
      <c r="C952" s="1321" t="s">
        <v>619</v>
      </c>
      <c r="D952" s="1322"/>
      <c r="E952" s="1232"/>
      <c r="F952" s="1232"/>
      <c r="L952" s="1"/>
      <c r="M952" s="1"/>
    </row>
    <row r="953" spans="3:13" x14ac:dyDescent="0.3">
      <c r="C953" s="286" t="s">
        <v>1951</v>
      </c>
      <c r="D953" s="1204"/>
      <c r="E953" s="370">
        <f>+SUMIFS('TB Grouping'!F:F,'TB Grouping'!H:H,'Qualitative Disclosures'!C953)/100</f>
        <v>109835.1035</v>
      </c>
      <c r="F953" s="1775">
        <f>+SUMIFS('TB Grouping'!O:O,'TB Grouping'!Q:Q,'Qualitative Disclosures'!C953)/100</f>
        <v>80000</v>
      </c>
      <c r="L953" s="1"/>
      <c r="M953" s="1"/>
    </row>
    <row r="954" spans="3:13" x14ac:dyDescent="0.3">
      <c r="C954" s="286" t="s">
        <v>1952</v>
      </c>
      <c r="D954" s="1204"/>
      <c r="E954" s="1775">
        <v>0</v>
      </c>
      <c r="F954" s="227"/>
      <c r="L954" s="1"/>
      <c r="M954" s="1"/>
    </row>
    <row r="955" spans="3:13" x14ac:dyDescent="0.3">
      <c r="C955" s="287" t="s">
        <v>1953</v>
      </c>
      <c r="D955" s="1204"/>
      <c r="E955" s="1775">
        <f>+SUMIFS('TB Grouping'!F:F,'TB Grouping'!H:H,'Qualitative Disclosures'!C955)/100</f>
        <v>-10911.088299999998</v>
      </c>
      <c r="F955" s="1775">
        <f>+SUMIFS('TB Grouping'!O:O,'TB Grouping'!Q:Q,'Qualitative Disclosures'!C955)/100</f>
        <v>-4932.92</v>
      </c>
      <c r="G955" s="302"/>
      <c r="L955" s="1"/>
      <c r="M955" s="1"/>
    </row>
    <row r="956" spans="3:13" x14ac:dyDescent="0.3">
      <c r="C956" s="286" t="s">
        <v>1954</v>
      </c>
      <c r="D956" s="1204"/>
      <c r="E956" s="329">
        <f>E953-E954+E955</f>
        <v>98924.015199999994</v>
      </c>
      <c r="F956" s="329">
        <f>F953-F954+F955</f>
        <v>75067.08</v>
      </c>
      <c r="L956" s="1"/>
      <c r="M956" s="1"/>
    </row>
    <row r="957" spans="3:13" x14ac:dyDescent="0.3">
      <c r="C957" s="286" t="s">
        <v>1955</v>
      </c>
      <c r="D957" s="1204"/>
      <c r="E957" s="329">
        <v>-1252.4291380519999</v>
      </c>
      <c r="F957" s="329">
        <v>19</v>
      </c>
      <c r="L957" s="1"/>
      <c r="M957" s="1"/>
    </row>
    <row r="958" spans="3:13" x14ac:dyDescent="0.3">
      <c r="C958" s="142" t="s">
        <v>601</v>
      </c>
      <c r="D958" s="1323"/>
      <c r="E958" s="1324">
        <f>E956+E957</f>
        <v>97671.586061947994</v>
      </c>
      <c r="F958" s="1324">
        <f>F956+F957</f>
        <v>75086.080000000002</v>
      </c>
      <c r="G958" s="1"/>
      <c r="H958" s="1"/>
      <c r="I958" s="1"/>
      <c r="J958" s="1"/>
      <c r="L958" s="1"/>
      <c r="M958" s="1"/>
    </row>
  </sheetData>
  <mergeCells count="91">
    <mergeCell ref="C133:E134"/>
    <mergeCell ref="C94:I94"/>
    <mergeCell ref="C942:C943"/>
    <mergeCell ref="D942:H942"/>
    <mergeCell ref="I942:I943"/>
    <mergeCell ref="C417:D417"/>
    <mergeCell ref="C424:D424"/>
    <mergeCell ref="C435:D435"/>
    <mergeCell ref="C436:D436"/>
    <mergeCell ref="C386:D386"/>
    <mergeCell ref="C387:D387"/>
    <mergeCell ref="C390:D390"/>
    <mergeCell ref="C406:D406"/>
    <mergeCell ref="C411:D411"/>
    <mergeCell ref="C757:C758"/>
    <mergeCell ref="D757:D758"/>
    <mergeCell ref="C23:E23"/>
    <mergeCell ref="C29:E29"/>
    <mergeCell ref="H101:I101"/>
    <mergeCell ref="F101:G101"/>
    <mergeCell ref="C101:E102"/>
    <mergeCell ref="C40:D41"/>
    <mergeCell ref="G40:H40"/>
    <mergeCell ref="E40:F40"/>
    <mergeCell ref="G10:H10"/>
    <mergeCell ref="I10:J10"/>
    <mergeCell ref="F10:F11"/>
    <mergeCell ref="C11:E11"/>
    <mergeCell ref="C17:E17"/>
    <mergeCell ref="F133:G133"/>
    <mergeCell ref="D460:D462"/>
    <mergeCell ref="C469:C470"/>
    <mergeCell ref="D469:D470"/>
    <mergeCell ref="E469:F469"/>
    <mergeCell ref="G469:H469"/>
    <mergeCell ref="F244:G244"/>
    <mergeCell ref="C244:E245"/>
    <mergeCell ref="H244:I244"/>
    <mergeCell ref="C257:E258"/>
    <mergeCell ref="F257:G257"/>
    <mergeCell ref="H257:I257"/>
    <mergeCell ref="C365:D365"/>
    <mergeCell ref="C445:E445"/>
    <mergeCell ref="C343:E343"/>
    <mergeCell ref="H133:I133"/>
    <mergeCell ref="C538:D538"/>
    <mergeCell ref="C785:D785"/>
    <mergeCell ref="C276:I276"/>
    <mergeCell ref="F278:G278"/>
    <mergeCell ref="C278:E279"/>
    <mergeCell ref="H333:I333"/>
    <mergeCell ref="F333:G333"/>
    <mergeCell ref="C333:E334"/>
    <mergeCell ref="F303:G303"/>
    <mergeCell ref="H303:I303"/>
    <mergeCell ref="C303:E304"/>
    <mergeCell ref="C511:C512"/>
    <mergeCell ref="D511:D512"/>
    <mergeCell ref="E511:F511"/>
    <mergeCell ref="G511:H511"/>
    <mergeCell ref="C494:D494"/>
    <mergeCell ref="C549:D549"/>
    <mergeCell ref="C560:D560"/>
    <mergeCell ref="C562:D562"/>
    <mergeCell ref="C574:D574"/>
    <mergeCell ref="C586:D586"/>
    <mergeCell ref="C615:D615"/>
    <mergeCell ref="C636:D636"/>
    <mergeCell ref="C691:D691"/>
    <mergeCell ref="C701:D701"/>
    <mergeCell ref="C591:D591"/>
    <mergeCell ref="C612:D612"/>
    <mergeCell ref="C652:D652"/>
    <mergeCell ref="C666:D666"/>
    <mergeCell ref="C697:D697"/>
    <mergeCell ref="C714:D714"/>
    <mergeCell ref="C906:C907"/>
    <mergeCell ref="D906:F906"/>
    <mergeCell ref="G906:I906"/>
    <mergeCell ref="C934:C935"/>
    <mergeCell ref="D934:H934"/>
    <mergeCell ref="I934:I935"/>
    <mergeCell ref="C770:C771"/>
    <mergeCell ref="D770:D771"/>
    <mergeCell ref="E770:H770"/>
    <mergeCell ref="I770:I771"/>
    <mergeCell ref="C856:C857"/>
    <mergeCell ref="D856:H856"/>
    <mergeCell ref="I856:I857"/>
    <mergeCell ref="E757:H757"/>
    <mergeCell ref="I757:I758"/>
  </mergeCells>
  <conditionalFormatting sqref="G955">
    <cfRule type="expression" dxfId="82" priority="1">
      <formula>$D955&lt;&gt;""</formula>
    </cfRule>
  </conditionalFormatting>
  <dataValidations disablePrompts="1" count="1">
    <dataValidation allowBlank="1" showInputMessage="1" showErrorMessage="1" prompt="This disclosure is applicable for manufacturing companies only." sqref="C689:D689 C699:D699"/>
  </dataValidations>
  <pageMargins left="0.7" right="0.7" top="0.75" bottom="0.75" header="0.3" footer="0.3"/>
  <pageSetup paperSize="9" scale="27" fitToHeight="0"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zoomScale="80" zoomScaleNormal="80" workbookViewId="0">
      <selection activeCell="A3" sqref="A3"/>
    </sheetView>
  </sheetViews>
  <sheetFormatPr defaultColWidth="9.140625" defaultRowHeight="16.5" x14ac:dyDescent="0.3"/>
  <cols>
    <col min="1" max="16384" width="9.140625" style="1"/>
  </cols>
  <sheetData/>
  <pageMargins left="0.7" right="0.7" top="0.75" bottom="0.75" header="0.3" footer="0.3"/>
  <pageSetup paperSize="9" orientation="portrait" horizontalDpi="200" verticalDpi="2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zoomScale="80" zoomScaleNormal="80" workbookViewId="0"/>
  </sheetViews>
  <sheetFormatPr defaultRowHeight="15" x14ac:dyDescent="0.25"/>
  <sheetData/>
  <pageMargins left="0.7" right="0.7" top="0.75" bottom="0.75" header="0.3" footer="0.3"/>
  <pageSetup paperSize="9" orientation="portrait" horizontalDpi="200" verticalDpi="2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F16"/>
  <sheetViews>
    <sheetView showGridLines="0" zoomScale="80" zoomScaleNormal="80" workbookViewId="0"/>
  </sheetViews>
  <sheetFormatPr defaultColWidth="8.85546875" defaultRowHeight="16.5" x14ac:dyDescent="0.3"/>
  <cols>
    <col min="1" max="1" width="3.7109375" style="1" customWidth="1"/>
    <col min="2" max="2" width="28.28515625" style="1" bestFit="1" customWidth="1"/>
    <col min="3" max="3" width="21.5703125" style="1" customWidth="1"/>
    <col min="4" max="4" width="64.140625" style="1" bestFit="1" customWidth="1"/>
    <col min="5" max="16384" width="8.85546875" style="1"/>
  </cols>
  <sheetData>
    <row r="2" spans="2:6" x14ac:dyDescent="0.3">
      <c r="B2" s="296" t="s">
        <v>978</v>
      </c>
      <c r="C2" s="297" t="s">
        <v>969</v>
      </c>
      <c r="F2" s="1" t="s">
        <v>993</v>
      </c>
    </row>
    <row r="3" spans="2:6" x14ac:dyDescent="0.3">
      <c r="B3" s="186">
        <v>1</v>
      </c>
      <c r="C3" s="6" t="s">
        <v>992</v>
      </c>
      <c r="F3" s="1" t="s">
        <v>994</v>
      </c>
    </row>
    <row r="4" spans="2:6" x14ac:dyDescent="0.3">
      <c r="B4" s="298">
        <v>100</v>
      </c>
      <c r="C4" s="6" t="s">
        <v>847</v>
      </c>
      <c r="F4" s="1" t="s">
        <v>995</v>
      </c>
    </row>
    <row r="5" spans="2:6" x14ac:dyDescent="0.3">
      <c r="B5" s="299">
        <v>1000</v>
      </c>
      <c r="C5" s="6" t="s">
        <v>848</v>
      </c>
    </row>
    <row r="6" spans="2:6" x14ac:dyDescent="0.3">
      <c r="B6" s="299">
        <v>100000</v>
      </c>
      <c r="C6" s="6" t="s">
        <v>849</v>
      </c>
    </row>
    <row r="7" spans="2:6" x14ac:dyDescent="0.3">
      <c r="B7" s="299">
        <v>1000000</v>
      </c>
      <c r="C7" s="6" t="s">
        <v>850</v>
      </c>
    </row>
    <row r="8" spans="2:6" x14ac:dyDescent="0.3">
      <c r="B8" s="300">
        <v>10000000</v>
      </c>
      <c r="C8" s="7" t="s">
        <v>851</v>
      </c>
    </row>
    <row r="10" spans="2:6" x14ac:dyDescent="0.3">
      <c r="B10" s="1" t="s">
        <v>989</v>
      </c>
    </row>
    <row r="13" spans="2:6" x14ac:dyDescent="0.3">
      <c r="B13" s="1" t="s">
        <v>1110</v>
      </c>
      <c r="C13" s="10" t="str">
        <f>"For the Year ended 31st March "&amp;'Master Data'!C19</f>
        <v>For the Year ended 31st March 2025</v>
      </c>
    </row>
    <row r="14" spans="2:6" x14ac:dyDescent="0.3">
      <c r="B14" s="1" t="s">
        <v>1111</v>
      </c>
      <c r="C14" s="10" t="str">
        <f>"For the Year ended 31st March "&amp;'Master Data'!C20</f>
        <v>For the Year ended 31st March 2024</v>
      </c>
    </row>
    <row r="15" spans="2:6" x14ac:dyDescent="0.3">
      <c r="B15" s="1" t="s">
        <v>1112</v>
      </c>
      <c r="C15" s="1" t="str">
        <f>"As At 31st March "&amp; 'Master Data'!C19</f>
        <v>As At 31st March 2025</v>
      </c>
    </row>
    <row r="16" spans="2:6" x14ac:dyDescent="0.3">
      <c r="B16" s="1" t="s">
        <v>1113</v>
      </c>
      <c r="C16" s="1" t="str">
        <f>"As At 31st March "&amp; 'Master Data'!C20</f>
        <v>As At 31st March 2024</v>
      </c>
    </row>
  </sheetData>
  <sheetProtection formatCells="0" formatColumns="0" formatRows="0"/>
  <pageMargins left="0.7" right="0.7" top="0.75" bottom="0.75" header="0.3" footer="0.3"/>
  <pageSetup paperSize="9" orientation="portrait" r:id="rId1"/>
  <ignoredErrors>
    <ignoredError sqref="C13:C14" unlockedFormula="1"/>
  </ignoredError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13"/>
  <sheetViews>
    <sheetView zoomScale="80" zoomScaleNormal="80" workbookViewId="0"/>
  </sheetViews>
  <sheetFormatPr defaultRowHeight="15" x14ac:dyDescent="0.25"/>
  <cols>
    <col min="1" max="1" width="39.42578125" bestFit="1" customWidth="1"/>
    <col min="2" max="2" width="4.7109375" bestFit="1" customWidth="1"/>
  </cols>
  <sheetData>
    <row r="1" spans="1:3" ht="16.5" x14ac:dyDescent="0.3">
      <c r="A1" s="1" t="s">
        <v>1015</v>
      </c>
      <c r="B1" s="1" t="s">
        <v>1048</v>
      </c>
      <c r="C1" s="1">
        <f>LEN(B1)</f>
        <v>42</v>
      </c>
    </row>
    <row r="2" spans="1:3" ht="16.5" x14ac:dyDescent="0.3">
      <c r="A2" s="1" t="s">
        <v>750</v>
      </c>
      <c r="B2" s="15" t="s">
        <v>1049</v>
      </c>
      <c r="C2" s="1">
        <f>LEN(B2)</f>
        <v>641</v>
      </c>
    </row>
    <row r="3" spans="1:3" ht="16.5" x14ac:dyDescent="0.3">
      <c r="A3" s="1" t="s">
        <v>983</v>
      </c>
      <c r="B3" s="1" t="s">
        <v>1054</v>
      </c>
      <c r="C3" s="1">
        <f>LEN(B3)</f>
        <v>923</v>
      </c>
    </row>
    <row r="4" spans="1:3" ht="16.5" x14ac:dyDescent="0.3">
      <c r="A4" s="1" t="s">
        <v>752</v>
      </c>
      <c r="B4" s="1" t="s">
        <v>1053</v>
      </c>
      <c r="C4" s="1">
        <f t="shared" ref="C4:C13" si="0">LEN(B4)</f>
        <v>287</v>
      </c>
    </row>
    <row r="5" spans="1:3" ht="16.5" x14ac:dyDescent="0.3">
      <c r="A5" s="1" t="s">
        <v>42</v>
      </c>
      <c r="B5" s="1" t="s">
        <v>1051</v>
      </c>
      <c r="C5" s="1">
        <f t="shared" si="0"/>
        <v>192</v>
      </c>
    </row>
    <row r="6" spans="1:3" ht="16.5" x14ac:dyDescent="0.3">
      <c r="A6" s="1" t="s">
        <v>751</v>
      </c>
      <c r="B6" s="1" t="s">
        <v>1052</v>
      </c>
      <c r="C6" s="1">
        <f t="shared" si="0"/>
        <v>98</v>
      </c>
    </row>
    <row r="7" spans="1:3" ht="16.5" x14ac:dyDescent="0.3">
      <c r="B7" s="1" t="s">
        <v>1055</v>
      </c>
      <c r="C7" s="1">
        <f t="shared" si="0"/>
        <v>411</v>
      </c>
    </row>
    <row r="8" spans="1:3" ht="16.5" x14ac:dyDescent="0.3">
      <c r="A8" s="1" t="s">
        <v>761</v>
      </c>
      <c r="B8" s="1" t="s">
        <v>1077</v>
      </c>
      <c r="C8" s="1">
        <f t="shared" si="0"/>
        <v>640</v>
      </c>
    </row>
    <row r="9" spans="1:3" ht="16.5" x14ac:dyDescent="0.3">
      <c r="A9" s="1" t="s">
        <v>986</v>
      </c>
      <c r="B9" s="1" t="s">
        <v>1078</v>
      </c>
      <c r="C9" s="1">
        <f t="shared" si="0"/>
        <v>607</v>
      </c>
    </row>
    <row r="10" spans="1:3" ht="16.5" x14ac:dyDescent="0.3">
      <c r="A10" s="1" t="s">
        <v>1034</v>
      </c>
      <c r="B10" s="1" t="s">
        <v>1065</v>
      </c>
      <c r="C10" s="1">
        <f t="shared" si="0"/>
        <v>164</v>
      </c>
    </row>
    <row r="11" spans="1:3" ht="16.5" x14ac:dyDescent="0.3">
      <c r="A11" s="1" t="s">
        <v>762</v>
      </c>
      <c r="B11" s="1" t="s">
        <v>1066</v>
      </c>
      <c r="C11" s="1">
        <f t="shared" si="0"/>
        <v>65</v>
      </c>
    </row>
    <row r="12" spans="1:3" ht="16.5" x14ac:dyDescent="0.3">
      <c r="A12" s="354" t="s">
        <v>763</v>
      </c>
      <c r="B12" s="1" t="s">
        <v>1067</v>
      </c>
      <c r="C12" s="1">
        <f t="shared" si="0"/>
        <v>248</v>
      </c>
    </row>
    <row r="13" spans="1:3" ht="16.5" x14ac:dyDescent="0.3">
      <c r="A13" s="323" t="s">
        <v>1007</v>
      </c>
      <c r="B13" s="1" t="s">
        <v>1114</v>
      </c>
      <c r="C13" s="1">
        <f t="shared" si="0"/>
        <v>260</v>
      </c>
    </row>
  </sheetData>
  <sheetProtection formatCells="0" formatColumns="0" formatRow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6590E3E-7C91-4867-8DC3-8DFD267F8BC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57</vt:i4>
      </vt:variant>
    </vt:vector>
  </HeadingPairs>
  <TitlesOfParts>
    <vt:vector size="104" baseType="lpstr">
      <vt:lpstr>SheetWithVisibilityInfo</vt:lpstr>
      <vt:lpstr>Info</vt:lpstr>
      <vt:lpstr>Recharge Summary</vt:lpstr>
      <vt:lpstr>Additional &amp; Presentation Entry</vt:lpstr>
      <vt:lpstr>Grouping Master Data</vt:lpstr>
      <vt:lpstr>Master Data</vt:lpstr>
      <vt:lpstr>TB Link</vt:lpstr>
      <vt:lpstr>TB to be sent to client</vt:lpstr>
      <vt:lpstr>Sheet1</vt:lpstr>
      <vt:lpstr>Additional entries-Pivot</vt:lpstr>
      <vt:lpstr>TB Grouping</vt:lpstr>
      <vt:lpstr>Balance Sheet</vt:lpstr>
      <vt:lpstr>Profit and Loss</vt:lpstr>
      <vt:lpstr>Cash Flow</vt:lpstr>
      <vt:lpstr>Accounting Policies</vt:lpstr>
      <vt:lpstr>Liabilities</vt:lpstr>
      <vt:lpstr>Assets</vt:lpstr>
      <vt:lpstr>FAR</vt:lpstr>
      <vt:lpstr>Notes To P&amp;L</vt:lpstr>
      <vt:lpstr>AS 15 Disclosures</vt:lpstr>
      <vt:lpstr>AS 19 Disclosures</vt:lpstr>
      <vt:lpstr>AS 18 Disclosures</vt:lpstr>
      <vt:lpstr>Addl Info to the FS</vt:lpstr>
      <vt:lpstr>Disclosures under AS</vt:lpstr>
      <vt:lpstr>AS 22 Disclosures</vt:lpstr>
      <vt:lpstr>AS 17 Disclosures</vt:lpstr>
      <vt:lpstr>Balance Sheet-FY 22-23</vt:lpstr>
      <vt:lpstr>Add. Regulatory Disc.</vt:lpstr>
      <vt:lpstr>Qualitative Disclosures for AS</vt:lpstr>
      <vt:lpstr>Master TB</vt:lpstr>
      <vt:lpstr>Sheet2</vt:lpstr>
      <vt:lpstr>FAR Working</vt:lpstr>
      <vt:lpstr>Balance Sheet-FY 22</vt:lpstr>
      <vt:lpstr>Footnotes</vt:lpstr>
      <vt:lpstr>AS 27 Disclosures</vt:lpstr>
      <vt:lpstr>AS 29 Disclosures</vt:lpstr>
      <vt:lpstr>Details of ESOP</vt:lpstr>
      <vt:lpstr>RPT Disclosure-Transactions</vt:lpstr>
      <vt:lpstr>RPT Disclosure-Balances</vt:lpstr>
      <vt:lpstr>Gratuity-FY 23-24</vt:lpstr>
      <vt:lpstr>Deferred Tax Calculation</vt:lpstr>
      <vt:lpstr>AS 19 Disclosure</vt:lpstr>
      <vt:lpstr>Qualitative Disclosures</vt:lpstr>
      <vt:lpstr>Rough 2</vt:lpstr>
      <vt:lpstr>Rough 3</vt:lpstr>
      <vt:lpstr>Backup Data</vt:lpstr>
      <vt:lpstr>Help</vt:lpstr>
      <vt:lpstr>Borrowings</vt:lpstr>
      <vt:lpstr>BSCY</vt:lpstr>
      <vt:lpstr>BSPY</vt:lpstr>
      <vt:lpstr>Cash_and_Cash_Balances</vt:lpstr>
      <vt:lpstr>Company_Name</vt:lpstr>
      <vt:lpstr>Cost_of_materials_consumed</vt:lpstr>
      <vt:lpstr>Current_Investments</vt:lpstr>
      <vt:lpstr>Employee_Benefit_Expenses</vt:lpstr>
      <vt:lpstr>Finance_costs</vt:lpstr>
      <vt:lpstr>'Accounting Policies'!fsgroup</vt:lpstr>
      <vt:lpstr>fsgroup</vt:lpstr>
      <vt:lpstr>Inventories</vt:lpstr>
      <vt:lpstr>Loans_and_advances</vt:lpstr>
      <vt:lpstr>Non_current_investments</vt:lpstr>
      <vt:lpstr>Other_Current_Assets</vt:lpstr>
      <vt:lpstr>Other_current_liabilities</vt:lpstr>
      <vt:lpstr>Other_Expenses</vt:lpstr>
      <vt:lpstr>Other_Income</vt:lpstr>
      <vt:lpstr>Other_long_term_liabilities</vt:lpstr>
      <vt:lpstr>Other_LTL</vt:lpstr>
      <vt:lpstr>Other_NC_assets</vt:lpstr>
      <vt:lpstr>Other_non_current_assets</vt:lpstr>
      <vt:lpstr>PLCY</vt:lpstr>
      <vt:lpstr>PLPY</vt:lpstr>
      <vt:lpstr>'Accounting Policies'!Print_Area</vt:lpstr>
      <vt:lpstr>'Add. Regulatory Disc.'!Print_Area</vt:lpstr>
      <vt:lpstr>'Addl Info to the FS'!Print_Area</vt:lpstr>
      <vt:lpstr>'AS 15 Disclosures'!Print_Area</vt:lpstr>
      <vt:lpstr>'AS 17 Disclosures'!Print_Area</vt:lpstr>
      <vt:lpstr>'AS 18 Disclosures'!Print_Area</vt:lpstr>
      <vt:lpstr>'AS 19 Disclosures'!Print_Area</vt:lpstr>
      <vt:lpstr>'AS 22 Disclosures'!Print_Area</vt:lpstr>
      <vt:lpstr>'AS 27 Disclosures'!Print_Area</vt:lpstr>
      <vt:lpstr>'AS 29 Disclosures'!Print_Area</vt:lpstr>
      <vt:lpstr>Assets!Print_Area</vt:lpstr>
      <vt:lpstr>'Balance Sheet'!Print_Area</vt:lpstr>
      <vt:lpstr>'Balance Sheet-FY 22'!Print_Area</vt:lpstr>
      <vt:lpstr>'Balance Sheet-FY 22-23'!Print_Area</vt:lpstr>
      <vt:lpstr>'Cash Flow'!Print_Area</vt:lpstr>
      <vt:lpstr>'Details of ESOP'!Print_Area</vt:lpstr>
      <vt:lpstr>'Disclosures under AS'!Print_Area</vt:lpstr>
      <vt:lpstr>FAR!Print_Area</vt:lpstr>
      <vt:lpstr>'Gratuity-FY 23-24'!Print_Area</vt:lpstr>
      <vt:lpstr>Liabilities!Print_Area</vt:lpstr>
      <vt:lpstr>'Notes To P&amp;L'!Print_Area</vt:lpstr>
      <vt:lpstr>'Profit and Loss'!Print_Area</vt:lpstr>
      <vt:lpstr>'Qualitative Disclosures for AS'!Print_Area</vt:lpstr>
      <vt:lpstr>Provisions</vt:lpstr>
      <vt:lpstr>Reserves_and_Surplus</vt:lpstr>
      <vt:lpstr>Revenue_from_operations</vt:lpstr>
      <vt:lpstr>Revenue_from_operations___Finance_Company</vt:lpstr>
      <vt:lpstr>Revenue_from_operations_of_Finance_Company</vt:lpstr>
      <vt:lpstr>Rounding_factor</vt:lpstr>
      <vt:lpstr>Rounding_factor_Text</vt:lpstr>
      <vt:lpstr>Tangible_Intangible_Assets</vt:lpstr>
      <vt:lpstr>Trade_Payables</vt:lpstr>
      <vt:lpstr>Trade_Receivables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Madhur Lahoti</dc:creator>
  <cp:lastModifiedBy>Dell</cp:lastModifiedBy>
  <cp:lastPrinted>2025-09-24T20:13:49Z</cp:lastPrinted>
  <dcterms:created xsi:type="dcterms:W3CDTF">2012-03-12T08:36:04Z</dcterms:created>
  <dcterms:modified xsi:type="dcterms:W3CDTF">2026-06-25T17:50:33Z</dcterms:modified>
</cp:coreProperties>
</file>